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E9" i="18" s="1"/>
  <c r="R36" i="18"/>
  <c r="Q36" i="18"/>
  <c r="P36" i="18"/>
  <c r="C9" i="18" s="1"/>
  <c r="O36" i="18"/>
  <c r="N36" i="18"/>
  <c r="B9" i="18" s="1"/>
  <c r="M36" i="18"/>
  <c r="W32" i="18"/>
  <c r="V32" i="18"/>
  <c r="N6" i="17" s="1"/>
  <c r="U32" i="18"/>
  <c r="L6" i="17" s="1"/>
  <c r="T32" i="18"/>
  <c r="S32" i="18"/>
  <c r="R32" i="18"/>
  <c r="Q32" i="18"/>
  <c r="P32" i="18"/>
  <c r="O32" i="18"/>
  <c r="N32" i="18"/>
  <c r="M32" i="18"/>
  <c r="W31" i="18"/>
  <c r="V31" i="18"/>
  <c r="U31" i="18"/>
  <c r="T31" i="18"/>
  <c r="S31" i="18"/>
  <c r="F13" i="15" s="1"/>
  <c r="R31" i="18"/>
  <c r="Q31" i="18"/>
  <c r="P31" i="18"/>
  <c r="D13" i="15" s="1"/>
  <c r="O31" i="18"/>
  <c r="C13" i="15" s="1"/>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6" i="18"/>
  <c r="B74" i="14" s="1"/>
  <c r="B6" i="61" s="1"/>
  <c r="B5" i="18"/>
  <c r="B73" i="14" s="1"/>
  <c r="B5" i="61" s="1"/>
  <c r="B4" i="18"/>
  <c r="B72" i="14" s="1"/>
  <c r="B4" i="61" s="1"/>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F6" i="17"/>
  <c r="B8" i="18"/>
  <c r="B45" i="18"/>
  <c r="G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I48" i="18"/>
  <c r="H8" i="18" s="1"/>
  <c r="E48" i="18"/>
  <c r="E8" i="18" s="1"/>
  <c r="G48" i="18"/>
  <c r="F48" i="18"/>
  <c r="H48" i="18"/>
  <c r="D48" i="18"/>
  <c r="C48" i="18"/>
  <c r="B48" i="18"/>
  <c r="C8" i="18" s="1"/>
  <c r="C49" i="18"/>
  <c r="B49" i="18"/>
  <c r="C17" i="18" s="1"/>
  <c r="H49" i="18"/>
  <c r="D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I49" i="18"/>
  <c r="H17" i="18" s="1"/>
  <c r="F49" i="18"/>
  <c r="E49" i="18"/>
  <c r="E17" i="18" s="1"/>
  <c r="F87" i="14" s="1"/>
  <c r="O9" i="18"/>
  <c r="H78" i="14"/>
  <c r="H9" i="61"/>
  <c r="H10" i="61" s="1"/>
  <c r="O90" i="14"/>
  <c r="O18" i="61"/>
  <c r="O20" i="61" s="1"/>
  <c r="B88" i="14"/>
  <c r="B18" i="61" s="1"/>
  <c r="B77" i="14"/>
  <c r="B9" i="61" s="1"/>
  <c r="Q77" i="14"/>
  <c r="P9" i="61" s="1"/>
  <c r="J17" i="18"/>
  <c r="H20" i="18"/>
  <c r="M87" i="14"/>
  <c r="J8" i="18"/>
  <c r="O8" i="18" s="1"/>
  <c r="O10" i="18" s="1"/>
  <c r="M76" i="14"/>
  <c r="H10" i="18"/>
  <c r="C77" i="14"/>
  <c r="C9" i="61" s="1"/>
  <c r="C20" i="18"/>
  <c r="D87" i="14"/>
  <c r="D17" i="61" s="1"/>
  <c r="D20" i="61" s="1"/>
  <c r="D76" i="14"/>
  <c r="D8" i="61" s="1"/>
  <c r="D10" i="61" s="1"/>
  <c r="C10" i="18"/>
  <c r="C88" i="14"/>
  <c r="C18" i="61" s="1"/>
  <c r="F76" i="14"/>
  <c r="E10" i="18"/>
  <c r="I17" i="18"/>
  <c r="I10" i="18"/>
  <c r="I76" i="14"/>
  <c r="I8" i="61" s="1"/>
  <c r="I10" i="61" s="1"/>
  <c r="Q88" i="14"/>
  <c r="P18" i="61" s="1"/>
  <c r="I33" i="48"/>
  <c r="E20" i="18" l="1"/>
  <c r="F78" i="14"/>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O4" i="48"/>
  <c r="O22" i="48" s="1"/>
  <c r="P11" i="14"/>
  <c r="D4" i="48"/>
  <c r="D22" i="48" s="1"/>
  <c r="E11" i="14"/>
  <c r="Q11" i="14"/>
  <c r="P4" i="48"/>
  <c r="P22" i="48" s="1"/>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Q13" i="14"/>
  <c r="Q16" i="14" s="1"/>
  <c r="Q27" i="14" s="1"/>
  <c r="P8" i="48"/>
  <c r="P26" i="48"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F24" i="14" l="1"/>
  <c r="F26" i="14" s="1"/>
  <c r="E7" i="48"/>
  <c r="E25" i="48" s="1"/>
  <c r="Q63" i="14"/>
  <c r="O8" i="48"/>
  <c r="O26" i="48" s="1"/>
  <c r="P13" i="14"/>
  <c r="P16" i="14" s="1"/>
  <c r="P27" i="14"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E5" i="48"/>
  <c r="E23" i="48" s="1"/>
  <c r="F10" i="14"/>
  <c r="K10" i="14"/>
  <c r="J5" i="48"/>
  <c r="J23" i="48" s="1"/>
  <c r="N52" i="14"/>
  <c r="N61" i="14" s="1"/>
  <c r="N63" i="14" s="1"/>
  <c r="I20" i="14"/>
  <c r="I22" i="14" s="1"/>
  <c r="I27" i="14" s="1"/>
  <c r="J20" i="15"/>
  <c r="K40" i="14" s="1"/>
  <c r="O15" i="48"/>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18" i="22"/>
  <c r="I50" i="14" s="1"/>
  <c r="I52" i="14" s="1"/>
  <c r="I61" i="14" s="1"/>
  <c r="F13" i="14" l="1"/>
  <c r="F16" i="14" s="1"/>
  <c r="F27" i="14" s="1"/>
  <c r="E8" i="48"/>
  <c r="E26" i="48" s="1"/>
  <c r="E33" i="48"/>
  <c r="J8" i="48"/>
  <c r="J26" i="48" s="1"/>
  <c r="J33" i="48" s="1"/>
  <c r="K13" i="14"/>
  <c r="K16" i="14" s="1"/>
  <c r="K27" i="14" s="1"/>
  <c r="I63" i="14"/>
  <c r="H63" i="14"/>
  <c r="E15"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l="1"/>
  <c r="F63" i="14"/>
  <c r="J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<sst xmlns="http://schemas.openxmlformats.org/spreadsheetml/2006/main" count="2407" uniqueCount="893">
  <si>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</si>
  <si>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</si>
  <si>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</si>
  <si>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</si>
  <si>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</si>
  <si>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</si>
  <si>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</si>
  <si>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</si>
  <si>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</si>
  <si>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</si>
  <si>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</si>
  <si>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</si>
  <si>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</si>
  <si>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</si>
  <si>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</si>
  <si>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</si>
  <si>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</si>
  <si>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</si>
  <si>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</si>
  <si>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</si>
  <si>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</si>
  <si>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</si>
  <si>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</si>
  <si>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</si>
  <si>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</si>
  <si>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</si>
  <si>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</si>
  <si>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</si>
  <si>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</si>
  <si>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</si>
  <si>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</si>
  <si>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</si>
  <si>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</si>
  <si>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</si>
  <si>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</si>
  <si>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</si>
  <si>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</si>
  <si>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</si>
  <si>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</si>
  <si>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</si>
  <si>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</si>
  <si>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</si>
  <si>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</si>
  <si>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</si>
  <si>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</si>
  <si>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</si>
  <si>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</si>
  <si>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</si>
  <si>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</si>
  <si>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</si>
  <si>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</si>
  <si>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</si>
  <si>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</si>
  <si>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</si>
  <si>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</si>
  <si>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</si>
  <si>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</si>
  <si>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</si>
  <si>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</si>
  <si>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</si>
  <si>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</si>
  <si>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</si>
  <si>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</si>
  <si>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</si>
  <si>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</si>
  <si>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</si>
  <si>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</si>
  <si>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</si>
  <si>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</si>
  <si>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</si>
  <si>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</si>
  <si>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</si>
  <si>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</si>
  <si>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</si>
  <si>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</si>
  <si>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</si>
  <si>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</si>
  <si>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</si>
  <si>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</si>
  <si>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</si>
  <si>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</si>
  <si>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</si>
  <si>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</si>
  <si>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</si>
  <si>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</si>
  <si>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</si>
  <si>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</si>
  <si>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</si>
  <si>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</si>
  <si>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</si>
  <si>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</si>
  <si>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</si>
  <si>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</si>
  <si>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</si>
  <si>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</si>
  <si>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</si>
  <si>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</si>
  <si>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</si>
  <si>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</si>
  <si>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</si>
  <si>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</si>
  <si>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</si>
  <si>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</si>
  <si>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</si>
  <si>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</si>
  <si>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</si>
  <si>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</si>
  <si>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</si>
  <si>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</si>
  <si>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</si>
  <si>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</si>
  <si>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</si>
  <si>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</si>
  <si>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</si>
  <si>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</si>
  <si>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</si>
  <si>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</si>
  <si>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</si>
  <si>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</si>
  <si>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</si>
  <si>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</si>
  <si>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</si>
  <si>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</si>
  <si>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</si>
  <si>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</si>
  <si>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</si>
  <si>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</si>
  <si>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</si>
  <si>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</si>
  <si>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</si>
  <si>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</si>
  <si>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</si>
  <si>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</si>
  <si>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</si>
  <si>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</si>
  <si>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</si>
  <si>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</si>
  <si>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</si>
  <si>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</si>
  <si>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</si>
  <si>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</si>
  <si>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</si>
  <si>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</si>
  <si>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</si>
  <si>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</si>
  <si>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</si>
  <si>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</si>
  <si>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</si>
  <si>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</si>
  <si>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</si>
  <si>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</si>
  <si>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</si>
  <si>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</si>
  <si>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</si>
  <si>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</si>
  <si>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</si>
  <si>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</si>
  <si>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</si>
  <si>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</si>
  <si>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</si>
  <si>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</si>
  <si>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</si>
  <si>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</si>
  <si>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</si>
  <si>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</si>
  <si>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</si>
  <si>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</si>
  <si>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</si>
  <si>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</si>
  <si>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</si>
  <si>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</si>
  <si>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</si>
  <si>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</si>
  <si>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</si>
  <si>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</si>
  <si>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</si>
  <si>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</si>
  <si>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</si>
  <si>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</si>
  <si>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</si>
  <si>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</si>
  <si>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</si>
  <si>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</si>
  <si>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</si>
  <si>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</si>
  <si>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</si>
  <si>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</si>
  <si>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</si>
  <si>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</si>
  <si>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</si>
  <si>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</si>
  <si>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</si>
  <si>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</si>
  <si>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</si>
  <si>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</si>
  <si>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</si>
  <si>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</si>
  <si>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</si>
  <si>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</si>
  <si>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</si>
  <si>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</si>
  <si>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</si>
  <si>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</si>
  <si>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</si>
  <si>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</si>
  <si>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</si>
  <si>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</si>
  <si>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</si>
  <si>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</si>
  <si>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</si>
  <si>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</si>
  <si>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</si>
  <si>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</si>
  <si>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</si>
  <si>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</si>
  <si>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</si>
  <si>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</si>
  <si>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</si>
  <si>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</si>
  <si>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</si>
  <si>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</si>
  <si>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</si>
  <si>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</si>
  <si>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</si>
  <si>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</si>
  <si>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</si>
  <si>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</si>
  <si>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</si>
  <si>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</si>
  <si>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</si>
  <si>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</si>
  <si>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</si>
  <si>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</si>
  <si>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</si>
  <si>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</si>
  <si>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</si>
  <si>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</si>
  <si>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</si>
  <si>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</si>
  <si>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</si>
  <si>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</si>
  <si>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</si>
  <si>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</si>
  <si>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</si>
  <si>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</si>
  <si>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</si>
  <si>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</si>
  <si>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</si>
  <si>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</si>
  <si>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</si>
  <si>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</si>
  <si>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</si>
  <si>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</si>
  <si>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</si>
  <si>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</si>
  <si>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</si>
  <si>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</si>
  <si>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</si>
  <si>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</si>
  <si>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</si>
  <si>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</si>
  <si>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</si>
  <si>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</si>
  <si>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</si>
  <si>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</si>
  <si>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</si>
  <si>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</si>
  <si>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</si>
  <si>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</si>
  <si>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</si>
  <si>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</si>
  <si>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</si>
  <si>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</si>
  <si>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</si>
  <si>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</si>
  <si>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</si>
  <si>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</si>
  <si>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</si>
  <si>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</si>
  <si>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</si>
  <si>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</si>
  <si>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</si>
  <si>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</si>
  <si>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</si>
  <si>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</si>
  <si>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</si>
  <si>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</si>
  <si>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</si>
  <si>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</si>
  <si>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</si>
  <si>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</si>
  <si>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</si>
  <si>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</si>
  <si>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</si>
  <si>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</si>
  <si>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</si>
  <si>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</si>
  <si>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</si>
  <si>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</si>
  <si>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</si>
  <si>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</si>
  <si>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</si>
  <si>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</si>
  <si>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</si>
  <si>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</si>
  <si>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</si>
  <si>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</si>
  <si>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</si>
  <si>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</si>
  <si>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</si>
  <si>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</si>
  <si>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</si>
  <si>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</si>
  <si>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</si>
  <si>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</si>
  <si>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</si>
  <si>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</si>
  <si>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</si>
  <si>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</si>
  <si>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</si>
  <si>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</si>
  <si>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</si>
  <si>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</si>
  <si>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</si>
  <si>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</si>
  <si>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</si>
  <si>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</si>
  <si>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</si>
  <si>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</si>
  <si>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</si>
  <si>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</si>
  <si>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</si>
  <si>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</si>
  <si>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</si>
  <si>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</si>
  <si>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</si>
  <si>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</si>
  <si>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</si>
  <si>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</si>
  <si>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</si>
  <si>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</si>
  <si>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</si>
  <si>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</si>
  <si>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</si>
  <si>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</si>
  <si>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</si>
  <si>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</si>
  <si>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</si>
  <si>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</si>
  <si>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</si>
  <si>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</si>
  <si>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</si>
  <si>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</si>
  <si>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</si>
  <si>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</si>
  <si>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</si>
  <si>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</si>
  <si>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</si>
  <si>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</si>
  <si>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</si>
  <si>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</si>
  <si>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</si>
  <si>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</si>
  <si>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</si>
  <si>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</si>
  <si>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</si>
  <si>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</si>
  <si>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</si>
  <si>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</si>
  <si>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</si>
  <si>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</si>
  <si>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</si>
  <si>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</si>
  <si>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</si>
  <si>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</si>
  <si>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</si>
  <si>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</si>
  <si>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</si>
  <si>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</si>
  <si>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</si>
  <si>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</si>
  <si>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</si>
  <si>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</si>
  <si>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</si>
  <si>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</si>
  <si>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</si>
  <si>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</si>
  <si>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</si>
  <si>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</si>
  <si>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</si>
  <si>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</si>
  <si>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</si>
  <si>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</si>
  <si>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</si>
  <si>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</si>
  <si>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</si>
  <si>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</si>
  <si>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</si>
  <si>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</si>
  <si>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</si>
  <si>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</si>
  <si>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</si>
  <si>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</si>
  <si>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</si>
  <si>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</si>
  <si>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</si>
  <si>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</si>
  <si>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</si>
  <si>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</si>
  <si>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</si>
  <si>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</si>
  <si>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</si>
  <si>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</si>
  <si>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</si>
  <si>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</si>
  <si>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</si>
  <si>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</si>
  <si>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</si>
  <si>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</si>
  <si>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</si>
  <si>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</si>
  <si>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</si>
  <si>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</si>
  <si>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</si>
  <si>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</si>
  <si>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</si>
  <si>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</si>
  <si>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</si>
  <si>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</si>
  <si>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</si>
  <si>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</si>
  <si>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</si>
  <si>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</si>
  <si>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</si>
  <si>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</si>
  <si>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</si>
  <si>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</si>
  <si>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</si>
  <si>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</si>
  <si>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</si>
  <si>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</si>
  <si>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</si>
  <si>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</si>
  <si>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</si>
  <si>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</si>
  <si>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</si>
  <si>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</si>
  <si>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</si>
  <si>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</si>
  <si>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</si>
  <si>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</si>
  <si>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</si>
  <si>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</si>
  <si>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</si>
  <si>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</si>
  <si>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</si>
  <si>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</si>
  <si>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</si>
  <si>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</si>
  <si>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</si>
  <si>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</si>
  <si>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</si>
  <si>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</si>
  <si>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</si>
  <si>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</si>
  <si>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</si>
  <si>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</si>
  <si>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</si>
  <si>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</si>
  <si>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</si>
  <si>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</si>
  <si>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</si>
  <si>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</si>
  <si>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</si>
  <si>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</si>
  <si>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</si>
  <si>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</si>
  <si>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</si>
  <si>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</si>
  <si>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</si>
  <si>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</si>
  <si>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</si>
  <si>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</si>
  <si>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</si>
  <si>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</si>
  <si>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</si>
  <si>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</si>
  <si>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</si>
  <si>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</si>
  <si>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</si>
  <si>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</si>
  <si>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</si>
  <si>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</si>
  <si>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</si>
  <si>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</si>
  <si>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</si>
  <si>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</si>
  <si>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</si>
  <si>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</si>
  <si>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</si>
  <si>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</si>
  <si>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</si>
  <si>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</si>
  <si>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</si>
  <si>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</si>
  <si>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</si>
  <si>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</si>
  <si>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</si>
  <si>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</si>
  <si>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</si>
  <si>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</si>
  <si>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</si>
  <si>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</si>
  <si>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</si>
  <si>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</si>
  <si>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</si>
  <si>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</si>
  <si>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</si>
  <si>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</si>
  <si>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</si>
  <si>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</si>
  <si>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</si>
  <si>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</si>
  <si>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</si>
  <si>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</si>
  <si>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</si>
  <si>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</si>
  <si>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</si>
  <si>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</si>
  <si>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</si>
  <si>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</si>
  <si>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</si>
  <si>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</si>
  <si>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</si>
  <si>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</si>
  <si>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</si>
  <si>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</si>
  <si>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</si>
  <si>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</si>
  <si>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</si>
  <si>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</si>
  <si>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</si>
  <si>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</si>
  <si>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</si>
  <si>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</si>
  <si>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</si>
  <si>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</si>
  <si>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</si>
  <si>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</si>
  <si>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</si>
  <si>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</si>
  <si>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</si>
  <si>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</si>
  <si>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</si>
  <si>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</si>
  <si>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</si>
  <si>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</si>
  <si>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</si>
  <si>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</si>
  <si>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</si>
  <si>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</si>
  <si>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</si>
  <si>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</si>
  <si>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</si>
  <si>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</si>
  <si>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</si>
  <si>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</si>
  <si>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</si>
  <si>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</si>
  <si>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</si>
  <si>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</si>
  <si>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</si>
  <si>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</si>
  <si>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</si>
  <si>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</si>
  <si>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</si>
  <si>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</si>
  <si>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</si>
  <si>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</si>
  <si>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</si>
  <si>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</si>
  <si>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</si>
  <si>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</si>
  <si>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</si>
  <si>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</si>
  <si>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</si>
  <si>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</si>
  <si>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</si>
  <si>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</si>
  <si>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</si>
  <si>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</si>
  <si>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</si>
  <si>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</si>
  <si>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</si>
  <si>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</si>
  <si>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</si>
  <si>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</si>
  <si>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</si>
  <si>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</si>
  <si>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</si>
  <si>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</si>
  <si>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</si>
  <si>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</si>
  <si>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</si>
  <si>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</si>
  <si>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</si>
  <si>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</si>
  <si>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</si>
  <si>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</si>
  <si>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</si>
  <si>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</si>
  <si>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</si>
  <si>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</si>
  <si>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</si>
  <si>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</si>
  <si>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</si>
  <si>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</si>
  <si>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</si>
  <si>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</si>
  <si>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</si>
  <si>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</si>
  <si>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</si>
  <si>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</si>
  <si>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</si>
  <si>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</si>
  <si>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</si>
  <si>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</si>
  <si>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</si>
  <si>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</si>
  <si>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</si>
  <si>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</si>
  <si>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</si>
  <si>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</si>
  <si>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</si>
  <si>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</si>
  <si>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</si>
  <si>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</si>
  <si>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</si>
  <si>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</si>
  <si>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</si>
  <si>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</si>
  <si>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</si>
  <si>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</si>
  <si>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</si>
  <si>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</si>
  <si>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</si>
  <si>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</si>
  <si>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</si>
  <si>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</si>
  <si>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</si>
  <si>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</si>
  <si>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</si>
  <si>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</si>
  <si>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</si>
  <si>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</si>
  <si>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</si>
  <si>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</si>
  <si>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</si>
  <si>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</si>
  <si>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</si>
  <si>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</si>
  <si>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</si>
  <si>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</si>
  <si>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</si>
  <si>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</si>
  <si>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</si>
  <si>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</si>
  <si>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</si>
  <si>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</si>
  <si>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</si>
  <si>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</si>
  <si>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</si>
  <si>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</si>
  <si>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</si>
  <si>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</si>
  <si>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</si>
  <si>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</si>
  <si>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</si>
  <si>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</si>
  <si>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</si>
  <si>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</si>
  <si>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</si>
  <si>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</si>
  <si>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</si>
  <si>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</si>
  <si>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</si>
  <si>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</si>
  <si>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</si>
  <si>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</si>
  <si>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</si>
  <si>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</si>
  <si>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</si>
  <si>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</si>
  <si>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</si>
  <si>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</si>
  <si>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</si>
  <si>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</si>
  <si>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</si>
  <si>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</si>
  <si>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</si>
  <si>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</si>
  <si>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</si>
  <si>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</si>
  <si>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</si>
  <si>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</si>
  <si>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</si>
  <si>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</si>
  <si>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</si>
  <si>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</si>
  <si>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</si>
  <si>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</si>
  <si>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</si>
  <si>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</si>
  <si>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</si>
  <si>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</si>
  <si>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</si>
  <si>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</si>
  <si>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</si>
  <si>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</si>
  <si>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</si>
  <si>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</si>
  <si>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</si>
  <si>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</si>
  <si>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</si>
  <si>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</si>
  <si>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</si>
  <si>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</si>
  <si>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</si>
  <si>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</si>
  <si>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</si>
  <si>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</si>
  <si>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</si>
  <si>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</si>
  <si>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</si>
  <si>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</si>
  <si>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</si>
  <si>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</si>
  <si>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</si>
  <si>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</si>
  <si>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</si>
  <si>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</si>
  <si>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</si>
  <si>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</si>
  <si>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</si>
  <si>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</si>
  <si>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</si>
  <si>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</si>
  <si>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</si>
  <si>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</si>
  <si>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</si>
  <si>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</si>
  <si>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</si>
  <si>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</si>
  <si>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</si>
  <si>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</si>
  <si>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</si>
  <si>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</si>
  <si>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</si>
  <si>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</si>
  <si>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</si>
  <si>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</si>
  <si>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</si>
  <si>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</si>
  <si>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</si>
  <si>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</si>
  <si>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</si>
  <si>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</si>
  <si>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</si>
  <si>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</si>
  <si>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</si>
  <si>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</si>
  <si>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</si>
  <si>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</si>
  <si>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</si>
  <si>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</si>
  <si>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</si>
  <si>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</si>
  <si>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</si>
  <si>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</si>
  <si>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</si>
  <si>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</si>
  <si>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</si>
  <si>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</si>
  <si>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</si>
  <si>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</si>
  <si>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</si>
  <si>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</si>
  <si>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</si>
  <si>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</si>
  <si>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</si>
  <si>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</si>
  <si>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</si>
  <si>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</si>
  <si>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</si>
  <si>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</si>
  <si>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</si>
  <si>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</si>
  <si>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</si>
  <si>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</si>
  <si>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</si>
  <si>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</si>
  <si>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</si>
  <si>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</si>
  <si>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</si>
  <si>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</si>
  <si>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</si>
  <si>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</si>
  <si>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</si>
  <si>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</si>
  <si>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</si>
  <si>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</si>
  <si>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</si>
  <si>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</si>
  <si>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</si>
  <si>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</si>
  <si>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</si>
  <si>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</si>
  <si>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</si>
  <si>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</si>
  <si>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</si>
  <si>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</si>
  <si>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</si>
  <si>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</si>
  <si>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</si>
  <si>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</si>
  <si>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</si>
  <si>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</si>
  <si>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</si>
  <si>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</si>
  <si>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</si>
  <si>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</si>
  <si>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</si>
  <si>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</si>
  <si>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</si>
  <si>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</si>
  <si>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</si>
  <si>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</si>
  <si>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</si>
  <si>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</si>
  <si>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</si>
  <si>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</si>
  <si>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</si>
  <si>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</si>
  <si>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</si>
  <si>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</si>
  <si>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</si>
  <si>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</si>
  <si>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</si>
  <si>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</si>
  <si>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</si>
  <si>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</si>
  <si>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</si>
  <si>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</si>
  <si>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</si>
  <si>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</si>
  <si>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</si>
  <si>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</si>
  <si>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</si>
  <si>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</si>
  <si>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</si>
  <si>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</si>
  <si>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</si>
  <si>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</si>
  <si>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</si>
  <si>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</si>
  <si>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</si>
  <si>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</si>
  <si>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</si>
  <si>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</si>
  <si>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</si>
  <si>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</si>
  <si>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</si>
  <si>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</si>
  <si>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</si>
  <si>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</si>
  <si>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</si>
  <si>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</si>
  <si>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</si>
  <si>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</si>
  <si>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</si>
  <si>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</si>
  <si>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</si>
  <si>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</si>
  <si>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32006</t>
  </si>
  <si>
    <t>HOUTHULST</t>
  </si>
  <si>
    <t>Fluvius</t>
  </si>
  <si>
    <t>referentietaak LNE (2017); Jaarverslag De Lijn</t>
  </si>
  <si>
    <t>SAP-VSE bvba</t>
  </si>
  <si>
    <t>Heulegoedstraat 9 , 8650 Houthulst</t>
  </si>
  <si>
    <t>WKK-0390 SAP Eneco Energie</t>
  </si>
  <si>
    <t>interne verbrandingsmotor</t>
  </si>
  <si>
    <t>WKK interne verbrandinsgmotor (gas)</t>
  </si>
  <si>
    <t>GASELWEST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</si>
</sst>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106277.63180202074</c:v>
                </c:pt>
                <c:pt idx="1">
                  <c:v>37890.020640372699</c:v>
                </c:pt>
                <c:pt idx="2">
                  <c:v>653.17700000000002</c:v>
                </c:pt>
                <c:pt idx="3">
                  <c:v>44505.077881311998</c:v>
                </c:pt>
                <c:pt idx="4">
                  <c:v>9144.407088046768</c:v>
                </c:pt>
                <c:pt idx="5">
                  <c:v>50479.259992335021</c:v>
                </c:pt>
                <c:pt idx="6">
                  <c:v>635.23967420840154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106277.63180202074</c:v>
                </c:pt>
                <c:pt idx="1">
                  <c:v>37890.020640372699</c:v>
                </c:pt>
                <c:pt idx="2">
                  <c:v>653.17700000000002</c:v>
                </c:pt>
                <c:pt idx="3">
                  <c:v>44505.077881311998</c:v>
                </c:pt>
                <c:pt idx="4">
                  <c:v>9144.407088046768</c:v>
                </c:pt>
                <c:pt idx="5">
                  <c:v>50479.259992335021</c:v>
                </c:pt>
                <c:pt idx="6">
                  <c:v>635.23967420840154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18661.364479674558</c:v>
                </c:pt>
                <c:pt idx="2">
                  <c:v>4808.5262483022789</c:v>
                </c:pt>
                <c:pt idx="3">
                  <c:v>82.165790312891659</c:v>
                </c:pt>
                <c:pt idx="4">
                  <c:v>6356.352907731155</c:v>
                </c:pt>
                <c:pt idx="5">
                  <c:v>1652.0758274301759</c:v>
                </c:pt>
                <c:pt idx="6">
                  <c:v>12624.162240244474</c:v>
                </c:pt>
                <c:pt idx="7">
                  <c:v>160.49431311051453</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18661.364479674558</c:v>
                </c:pt>
                <c:pt idx="2">
                  <c:v>4808.5262483022789</c:v>
                </c:pt>
                <c:pt idx="3">
                  <c:v>82.165790312891659</c:v>
                </c:pt>
                <c:pt idx="4">
                  <c:v>6356.352907731155</c:v>
                </c:pt>
                <c:pt idx="5">
                  <c:v>1652.0758274301759</c:v>
                </c:pt>
                <c:pt idx="6">
                  <c:v>12624.162240244474</c:v>
                </c:pt>
                <c:pt idx="7">
                  <c:v>160.49431311051453</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32006</v>
      </c>
      <c r="B6" s="390"/>
      <c r="C6" s="391"/>
    </row>
    <row r="7" spans="1:7" s="388" customFormat="1" ht="15.75" customHeight="1">
      <c r="A7" s="392" t="str">
        <f>txtMunicipality</f>
        <v>HOUTHULST</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0.12579406548744315</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0.12579406548744315</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4034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4072.55</v>
      </c>
      <c r="C14" s="330"/>
      <c r="D14" s="330"/>
      <c r="E14" s="330"/>
      <c r="F14" s="330"/>
    </row>
    <row r="15" spans="1:6">
      <c r="A15" s="1293" t="s">
        <v>183</v>
      </c>
      <c r="B15" s="1294">
        <v>50</v>
      </c>
      <c r="C15" s="330"/>
      <c r="D15" s="330"/>
      <c r="E15" s="330"/>
      <c r="F15" s="330"/>
    </row>
    <row r="16" spans="1:6">
      <c r="A16" s="1293" t="s">
        <v>6</v>
      </c>
      <c r="B16" s="1294">
        <v>1689</v>
      </c>
      <c r="C16" s="330"/>
      <c r="D16" s="330"/>
      <c r="E16" s="330"/>
      <c r="F16" s="330"/>
    </row>
    <row r="17" spans="1:6">
      <c r="A17" s="1293" t="s">
        <v>7</v>
      </c>
      <c r="B17" s="1294">
        <v>1229</v>
      </c>
      <c r="C17" s="330"/>
      <c r="D17" s="330"/>
      <c r="E17" s="330"/>
      <c r="F17" s="330"/>
    </row>
    <row r="18" spans="1:6">
      <c r="A18" s="1293" t="s">
        <v>8</v>
      </c>
      <c r="B18" s="1294">
        <v>1821</v>
      </c>
      <c r="C18" s="330"/>
      <c r="D18" s="330"/>
      <c r="E18" s="330"/>
      <c r="F18" s="330"/>
    </row>
    <row r="19" spans="1:6">
      <c r="A19" s="1293" t="s">
        <v>9</v>
      </c>
      <c r="B19" s="1294">
        <v>1517</v>
      </c>
      <c r="C19" s="330"/>
      <c r="D19" s="330"/>
      <c r="E19" s="330"/>
      <c r="F19" s="330"/>
    </row>
    <row r="20" spans="1:6">
      <c r="A20" s="1293" t="s">
        <v>10</v>
      </c>
      <c r="B20" s="1294">
        <v>1175</v>
      </c>
      <c r="C20" s="330"/>
      <c r="D20" s="330"/>
      <c r="E20" s="330"/>
      <c r="F20" s="330"/>
    </row>
    <row r="21" spans="1:6">
      <c r="A21" s="1293" t="s">
        <v>11</v>
      </c>
      <c r="B21" s="1294">
        <v>23306</v>
      </c>
      <c r="C21" s="330"/>
      <c r="D21" s="330"/>
      <c r="E21" s="330"/>
      <c r="F21" s="330"/>
    </row>
    <row r="22" spans="1:6">
      <c r="A22" s="1293" t="s">
        <v>12</v>
      </c>
      <c r="B22" s="1294">
        <v>42756</v>
      </c>
      <c r="C22" s="330"/>
      <c r="D22" s="330"/>
      <c r="E22" s="330"/>
      <c r="F22" s="330"/>
    </row>
    <row r="23" spans="1:6">
      <c r="A23" s="1293" t="s">
        <v>13</v>
      </c>
      <c r="B23" s="1294">
        <v>1431</v>
      </c>
      <c r="C23" s="330"/>
      <c r="D23" s="330"/>
      <c r="E23" s="330"/>
      <c r="F23" s="330"/>
    </row>
    <row r="24" spans="1:6">
      <c r="A24" s="1293" t="s">
        <v>14</v>
      </c>
      <c r="B24" s="1294">
        <v>45</v>
      </c>
      <c r="C24" s="330"/>
      <c r="D24" s="330"/>
      <c r="E24" s="330"/>
      <c r="F24" s="330"/>
    </row>
    <row r="25" spans="1:6">
      <c r="A25" s="1293" t="s">
        <v>15</v>
      </c>
      <c r="B25" s="1294">
        <v>6142</v>
      </c>
      <c r="C25" s="330"/>
      <c r="D25" s="330"/>
      <c r="E25" s="330"/>
      <c r="F25" s="330"/>
    </row>
    <row r="26" spans="1:6">
      <c r="A26" s="1293" t="s">
        <v>16</v>
      </c>
      <c r="B26" s="1294">
        <v>372</v>
      </c>
      <c r="C26" s="330"/>
      <c r="D26" s="330"/>
      <c r="E26" s="330"/>
      <c r="F26" s="330"/>
    </row>
    <row r="27" spans="1:6">
      <c r="A27" s="1293" t="s">
        <v>17</v>
      </c>
      <c r="B27" s="1294">
        <v>12</v>
      </c>
      <c r="C27" s="330"/>
      <c r="D27" s="330"/>
      <c r="E27" s="330"/>
      <c r="F27" s="330"/>
    </row>
    <row r="28" spans="1:6" s="43" customFormat="1">
      <c r="A28" s="1295" t="s">
        <v>18</v>
      </c>
      <c r="B28" s="1296">
        <v>116262</v>
      </c>
      <c r="C28" s="336"/>
      <c r="D28" s="336"/>
      <c r="E28" s="336"/>
      <c r="F28" s="336"/>
    </row>
    <row r="29" spans="1:6">
      <c r="A29" s="1295" t="s">
        <v>734</v>
      </c>
      <c r="B29" s="1296">
        <v>49</v>
      </c>
      <c r="C29" s="336"/>
      <c r="D29" s="336"/>
      <c r="E29" s="336"/>
      <c r="F29" s="336"/>
    </row>
    <row r="30" spans="1:6">
      <c r="A30" s="1288" t="s">
        <v>735</v>
      </c>
      <c r="B30" s="1297">
        <v>4</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1</v>
      </c>
      <c r="D38" s="1294">
        <v>147698.363038446</v>
      </c>
      <c r="E38" s="1294">
        <v>4</v>
      </c>
      <c r="F38" s="1294">
        <v>81579.321480190003</v>
      </c>
    </row>
    <row r="39" spans="1:6">
      <c r="A39" s="1293" t="s">
        <v>29</v>
      </c>
      <c r="B39" s="1293" t="s">
        <v>30</v>
      </c>
      <c r="C39" s="1294">
        <v>1673</v>
      </c>
      <c r="D39" s="1294">
        <v>23927647.506283399</v>
      </c>
      <c r="E39" s="1294">
        <v>3769</v>
      </c>
      <c r="F39" s="1294">
        <v>13979316.150431501</v>
      </c>
    </row>
    <row r="40" spans="1:6">
      <c r="A40" s="1293" t="s">
        <v>29</v>
      </c>
      <c r="B40" s="1293" t="s">
        <v>28</v>
      </c>
      <c r="C40" s="1294">
        <v>1</v>
      </c>
      <c r="D40" s="1294">
        <v>18726.219982893501</v>
      </c>
      <c r="E40" s="1294">
        <v>1</v>
      </c>
      <c r="F40" s="1294">
        <v>1480.6721409695999</v>
      </c>
    </row>
    <row r="41" spans="1:6">
      <c r="A41" s="1293" t="s">
        <v>31</v>
      </c>
      <c r="B41" s="1293" t="s">
        <v>32</v>
      </c>
      <c r="C41" s="1294">
        <v>34</v>
      </c>
      <c r="D41" s="1294">
        <v>606790.43111653405</v>
      </c>
      <c r="E41" s="1294">
        <v>103</v>
      </c>
      <c r="F41" s="1294">
        <v>3021013.6604893301</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3</v>
      </c>
      <c r="D44" s="1294">
        <v>67276.620581804804</v>
      </c>
      <c r="E44" s="1294">
        <v>8</v>
      </c>
      <c r="F44" s="1294">
        <v>87395.149831036804</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14</v>
      </c>
      <c r="D48" s="1294">
        <v>200731.46554449899</v>
      </c>
      <c r="E48" s="1294">
        <v>29</v>
      </c>
      <c r="F48" s="1294">
        <v>957360.14624729299</v>
      </c>
    </row>
    <row r="49" spans="1:6">
      <c r="A49" s="1293" t="s">
        <v>31</v>
      </c>
      <c r="B49" s="1293" t="s">
        <v>39</v>
      </c>
      <c r="C49" s="1294">
        <v>0</v>
      </c>
      <c r="D49" s="1294">
        <v>0</v>
      </c>
      <c r="E49" s="1294">
        <v>0</v>
      </c>
      <c r="F49" s="1294">
        <v>0</v>
      </c>
    </row>
    <row r="50" spans="1:6">
      <c r="A50" s="1293" t="s">
        <v>31</v>
      </c>
      <c r="B50" s="1293" t="s">
        <v>40</v>
      </c>
      <c r="C50" s="1294">
        <v>3</v>
      </c>
      <c r="D50" s="1294">
        <v>198261.77806208201</v>
      </c>
      <c r="E50" s="1294">
        <v>6</v>
      </c>
      <c r="F50" s="1294">
        <v>211243.55016738299</v>
      </c>
    </row>
    <row r="51" spans="1:6">
      <c r="A51" s="1293" t="s">
        <v>41</v>
      </c>
      <c r="B51" s="1293" t="s">
        <v>42</v>
      </c>
      <c r="C51" s="1294">
        <v>4</v>
      </c>
      <c r="D51" s="1294">
        <v>692054.91124178795</v>
      </c>
      <c r="E51" s="1294">
        <v>188</v>
      </c>
      <c r="F51" s="1294">
        <v>4768776.9742285898</v>
      </c>
    </row>
    <row r="52" spans="1:6">
      <c r="A52" s="1293" t="s">
        <v>41</v>
      </c>
      <c r="B52" s="1293" t="s">
        <v>28</v>
      </c>
      <c r="C52" s="1294">
        <v>6</v>
      </c>
      <c r="D52" s="1294">
        <v>113565.354270403</v>
      </c>
      <c r="E52" s="1294">
        <v>3</v>
      </c>
      <c r="F52" s="1294">
        <v>22329.578642990899</v>
      </c>
    </row>
    <row r="53" spans="1:6">
      <c r="A53" s="1293" t="s">
        <v>43</v>
      </c>
      <c r="B53" s="1293" t="s">
        <v>44</v>
      </c>
      <c r="C53" s="1294">
        <v>39</v>
      </c>
      <c r="D53" s="1294">
        <v>830276.79071698</v>
      </c>
      <c r="E53" s="1294">
        <v>128</v>
      </c>
      <c r="F53" s="1294">
        <v>485075.40702440002</v>
      </c>
    </row>
    <row r="54" spans="1:6">
      <c r="A54" s="1293" t="s">
        <v>45</v>
      </c>
      <c r="B54" s="1293" t="s">
        <v>46</v>
      </c>
      <c r="C54" s="1294">
        <v>0</v>
      </c>
      <c r="D54" s="1294">
        <v>0</v>
      </c>
      <c r="E54" s="1294">
        <v>1</v>
      </c>
      <c r="F54" s="1294">
        <v>653177</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38</v>
      </c>
      <c r="D57" s="1294">
        <v>1494040.32575731</v>
      </c>
      <c r="E57" s="1294">
        <v>85</v>
      </c>
      <c r="F57" s="1294">
        <v>10438841.4778971</v>
      </c>
    </row>
    <row r="58" spans="1:6">
      <c r="A58" s="1293" t="s">
        <v>48</v>
      </c>
      <c r="B58" s="1293" t="s">
        <v>50</v>
      </c>
      <c r="C58" s="1294">
        <v>17</v>
      </c>
      <c r="D58" s="1294">
        <v>4819732.5127032697</v>
      </c>
      <c r="E58" s="1294">
        <v>27</v>
      </c>
      <c r="F58" s="1294">
        <v>1676839.13798685</v>
      </c>
    </row>
    <row r="59" spans="1:6">
      <c r="A59" s="1293" t="s">
        <v>48</v>
      </c>
      <c r="B59" s="1293" t="s">
        <v>51</v>
      </c>
      <c r="C59" s="1294">
        <v>18</v>
      </c>
      <c r="D59" s="1294">
        <v>414750.506194763</v>
      </c>
      <c r="E59" s="1294">
        <v>77</v>
      </c>
      <c r="F59" s="1294">
        <v>2343409.3722532699</v>
      </c>
    </row>
    <row r="60" spans="1:6">
      <c r="A60" s="1293" t="s">
        <v>48</v>
      </c>
      <c r="B60" s="1293" t="s">
        <v>52</v>
      </c>
      <c r="C60" s="1294">
        <v>17</v>
      </c>
      <c r="D60" s="1294">
        <v>589769.54859490204</v>
      </c>
      <c r="E60" s="1294">
        <v>36</v>
      </c>
      <c r="F60" s="1294">
        <v>627738.73784547194</v>
      </c>
    </row>
    <row r="61" spans="1:6">
      <c r="A61" s="1293" t="s">
        <v>48</v>
      </c>
      <c r="B61" s="1293" t="s">
        <v>53</v>
      </c>
      <c r="C61" s="1294">
        <v>9</v>
      </c>
      <c r="D61" s="1294">
        <v>121058.512209298</v>
      </c>
      <c r="E61" s="1294">
        <v>71</v>
      </c>
      <c r="F61" s="1294">
        <v>632967.38908422401</v>
      </c>
    </row>
    <row r="62" spans="1:6">
      <c r="A62" s="1293" t="s">
        <v>48</v>
      </c>
      <c r="B62" s="1293" t="s">
        <v>54</v>
      </c>
      <c r="C62" s="1294">
        <v>0</v>
      </c>
      <c r="D62" s="1294">
        <v>0</v>
      </c>
      <c r="E62" s="1294">
        <v>3</v>
      </c>
      <c r="F62" s="1294">
        <v>58494.421647569703</v>
      </c>
    </row>
    <row r="63" spans="1:6">
      <c r="A63" s="1293" t="s">
        <v>48</v>
      </c>
      <c r="B63" s="1293" t="s">
        <v>28</v>
      </c>
      <c r="C63" s="1294">
        <v>78</v>
      </c>
      <c r="D63" s="1294">
        <v>1759165.2285166399</v>
      </c>
      <c r="E63" s="1294">
        <v>91</v>
      </c>
      <c r="F63" s="1294">
        <v>901745.04538010899</v>
      </c>
    </row>
    <row r="64" spans="1:6">
      <c r="A64" s="1293" t="s">
        <v>55</v>
      </c>
      <c r="B64" s="1293" t="s">
        <v>56</v>
      </c>
      <c r="C64" s="1294">
        <v>0</v>
      </c>
      <c r="D64" s="1294">
        <v>0</v>
      </c>
      <c r="E64" s="1294">
        <v>0</v>
      </c>
      <c r="F64" s="1294">
        <v>0</v>
      </c>
    </row>
    <row r="65" spans="1:6">
      <c r="A65" s="1293" t="s">
        <v>55</v>
      </c>
      <c r="B65" s="1293" t="s">
        <v>28</v>
      </c>
      <c r="C65" s="1294">
        <v>0</v>
      </c>
      <c r="D65" s="1294">
        <v>0</v>
      </c>
      <c r="E65" s="1294">
        <v>2</v>
      </c>
      <c r="F65" s="1294">
        <v>1675.5086489984001</v>
      </c>
    </row>
    <row r="66" spans="1:6">
      <c r="A66" s="1293" t="s">
        <v>55</v>
      </c>
      <c r="B66" s="1293" t="s">
        <v>57</v>
      </c>
      <c r="C66" s="1294">
        <v>0</v>
      </c>
      <c r="D66" s="1294">
        <v>0</v>
      </c>
      <c r="E66" s="1294">
        <v>0</v>
      </c>
      <c r="F66" s="1294">
        <v>0</v>
      </c>
    </row>
    <row r="67" spans="1:6">
      <c r="A67" s="1295" t="s">
        <v>55</v>
      </c>
      <c r="B67" s="1295" t="s">
        <v>58</v>
      </c>
      <c r="C67" s="1294">
        <v>0</v>
      </c>
      <c r="D67" s="1294">
        <v>0</v>
      </c>
      <c r="E67" s="1294">
        <v>0</v>
      </c>
      <c r="F67" s="1294">
        <v>0</v>
      </c>
    </row>
    <row r="68" spans="1:6">
      <c r="A68" s="1288" t="s">
        <v>55</v>
      </c>
      <c r="B68" s="1288" t="s">
        <v>59</v>
      </c>
      <c r="C68" s="1297">
        <v>3</v>
      </c>
      <c r="D68" s="1297">
        <v>71974.366596809705</v>
      </c>
      <c r="E68" s="1297">
        <v>6</v>
      </c>
      <c r="F68" s="1297">
        <v>79596.885405946305</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29612839</v>
      </c>
      <c r="E73" s="449"/>
      <c r="F73" s="330"/>
    </row>
    <row r="74" spans="1:6">
      <c r="A74" s="1293" t="s">
        <v>63</v>
      </c>
      <c r="B74" s="1293" t="s">
        <v>656</v>
      </c>
      <c r="C74" s="1307" t="s">
        <v>658</v>
      </c>
      <c r="D74" s="1308">
        <v>2362142</v>
      </c>
      <c r="E74" s="449"/>
      <c r="F74" s="330"/>
    </row>
    <row r="75" spans="1:6">
      <c r="A75" s="1293" t="s">
        <v>64</v>
      </c>
      <c r="B75" s="1293" t="s">
        <v>655</v>
      </c>
      <c r="C75" s="1307" t="s">
        <v>659</v>
      </c>
      <c r="D75" s="1308">
        <v>23205432</v>
      </c>
      <c r="E75" s="449"/>
      <c r="F75" s="330"/>
    </row>
    <row r="76" spans="1:6">
      <c r="A76" s="1293" t="s">
        <v>64</v>
      </c>
      <c r="B76" s="1293" t="s">
        <v>656</v>
      </c>
      <c r="C76" s="1307" t="s">
        <v>660</v>
      </c>
      <c r="D76" s="1308">
        <v>1153156</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173250</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2852.1102310545079</v>
      </c>
      <c r="C91" s="330"/>
      <c r="D91" s="330"/>
      <c r="E91" s="330"/>
      <c r="F91" s="330"/>
    </row>
    <row r="92" spans="1:6">
      <c r="A92" s="1288" t="s">
        <v>68</v>
      </c>
      <c r="B92" s="1289">
        <v>3254.6087895417127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340</v>
      </c>
      <c r="C97" s="330"/>
      <c r="D97" s="330"/>
      <c r="E97" s="330"/>
      <c r="F97" s="330"/>
    </row>
    <row r="98" spans="1:6">
      <c r="A98" s="1293" t="s">
        <v>71</v>
      </c>
      <c r="B98" s="1294">
        <v>1</v>
      </c>
      <c r="C98" s="330"/>
      <c r="D98" s="330"/>
      <c r="E98" s="330"/>
      <c r="F98" s="330"/>
    </row>
    <row r="99" spans="1:6">
      <c r="A99" s="1293" t="s">
        <v>72</v>
      </c>
      <c r="B99" s="1294">
        <v>307</v>
      </c>
      <c r="C99" s="330"/>
      <c r="D99" s="330"/>
      <c r="E99" s="330"/>
      <c r="F99" s="330"/>
    </row>
    <row r="100" spans="1:6">
      <c r="A100" s="1293" t="s">
        <v>73</v>
      </c>
      <c r="B100" s="1294">
        <v>296</v>
      </c>
      <c r="C100" s="330"/>
      <c r="D100" s="330"/>
      <c r="E100" s="330"/>
      <c r="F100" s="330"/>
    </row>
    <row r="101" spans="1:6">
      <c r="A101" s="1293" t="s">
        <v>74</v>
      </c>
      <c r="B101" s="1294">
        <v>121</v>
      </c>
      <c r="C101" s="330"/>
      <c r="D101" s="330"/>
      <c r="E101" s="330"/>
      <c r="F101" s="330"/>
    </row>
    <row r="102" spans="1:6">
      <c r="A102" s="1293" t="s">
        <v>75</v>
      </c>
      <c r="B102" s="1294">
        <v>54</v>
      </c>
      <c r="C102" s="330"/>
      <c r="D102" s="330"/>
      <c r="E102" s="330"/>
      <c r="F102" s="330"/>
    </row>
    <row r="103" spans="1:6">
      <c r="A103" s="1293" t="s">
        <v>76</v>
      </c>
      <c r="B103" s="1294">
        <v>320</v>
      </c>
      <c r="C103" s="330"/>
      <c r="D103" s="330"/>
      <c r="E103" s="330"/>
      <c r="F103" s="330"/>
    </row>
    <row r="104" spans="1:6">
      <c r="A104" s="1293" t="s">
        <v>77</v>
      </c>
      <c r="B104" s="1294">
        <v>1912</v>
      </c>
      <c r="C104" s="330"/>
      <c r="D104" s="330"/>
      <c r="E104" s="330"/>
      <c r="F104" s="330"/>
    </row>
    <row r="105" spans="1:6">
      <c r="A105" s="1288" t="s">
        <v>78</v>
      </c>
      <c r="B105" s="1297">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1</v>
      </c>
      <c r="C121" s="1294">
        <v>0</v>
      </c>
      <c r="D121" s="330"/>
      <c r="E121" s="330"/>
      <c r="F121" s="330"/>
    </row>
    <row r="122" spans="1:6">
      <c r="A122" s="1293" t="s">
        <v>86</v>
      </c>
      <c r="B122" s="1294">
        <v>0</v>
      </c>
      <c r="C122" s="1294">
        <v>0</v>
      </c>
      <c r="D122" s="330"/>
      <c r="E122" s="330"/>
      <c r="F122" s="330"/>
    </row>
    <row r="123" spans="1:6">
      <c r="A123" s="1293" t="s">
        <v>87</v>
      </c>
      <c r="B123" s="1294">
        <v>16</v>
      </c>
      <c r="C123" s="1294">
        <v>8</v>
      </c>
      <c r="D123" s="330"/>
      <c r="E123" s="330"/>
      <c r="F123" s="330"/>
    </row>
    <row r="124" spans="1:6" s="43" customFormat="1">
      <c r="A124" s="1295" t="s">
        <v>88</v>
      </c>
      <c r="B124" s="1316">
        <v>0</v>
      </c>
      <c r="C124" s="1316">
        <v>1</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150</v>
      </c>
      <c r="C129" s="330"/>
      <c r="D129" s="330"/>
      <c r="E129" s="330"/>
      <c r="F129" s="330"/>
    </row>
    <row r="130" spans="1:6">
      <c r="A130" s="1293" t="s">
        <v>294</v>
      </c>
      <c r="B130" s="1294">
        <v>1</v>
      </c>
      <c r="C130" s="330"/>
      <c r="D130" s="330"/>
      <c r="E130" s="330"/>
      <c r="F130" s="330"/>
    </row>
    <row r="131" spans="1:6">
      <c r="A131" s="1293" t="s">
        <v>295</v>
      </c>
      <c r="B131" s="1294">
        <v>1</v>
      </c>
      <c r="C131" s="330"/>
      <c r="D131" s="330"/>
      <c r="E131" s="330"/>
      <c r="F131" s="330"/>
    </row>
    <row r="132" spans="1:6">
      <c r="A132" s="1288" t="s">
        <v>296</v>
      </c>
      <c r="B132" s="1289">
        <v>7</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43736.978423362525</v>
      </c>
      <c r="C3" s="43" t="s">
        <v>169</v>
      </c>
      <c r="D3" s="43"/>
      <c r="E3" s="154"/>
      <c r="F3" s="43"/>
      <c r="G3" s="43"/>
      <c r="H3" s="43"/>
      <c r="I3" s="43"/>
      <c r="J3" s="43"/>
      <c r="K3" s="96"/>
    </row>
    <row r="4" spans="1:11">
      <c r="A4" s="358" t="s">
        <v>170</v>
      </c>
      <c r="B4" s="49">
        <f>IF(ISERROR('SEAP template'!B78+'SEAP template'!C78),0,'SEAP template'!B78+'SEAP template'!C78)</f>
        <v>18841.719020596222</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0.12579406548744315</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18192.857142857145</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653.17700000000002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653.17700000000002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0.12579406548744315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82.165790312891659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13980.796822572469</v>
      </c>
      <c r="C5" s="17">
        <f>IF(ISERROR('Eigen informatie GS &amp; warmtenet'!B57),0,'Eigen informatie GS &amp; warmtenet'!B57)</f>
        <v>0</v>
      </c>
      <c r="D5" s="30">
        <f>(SUM(HH_hh_gas_kWh,HH_rest_gas_kWh)/1000)*0.902</f>
        <v>21599.629101092196</v>
      </c>
      <c r="E5" s="17">
        <f>B46*B57</f>
        <v>32264.432951894632</v>
      </c>
      <c r="F5" s="17">
        <f>B51*B62</f>
        <v>14839.470733395488</v>
      </c>
      <c r="G5" s="18"/>
      <c r="H5" s="17"/>
      <c r="I5" s="17"/>
      <c r="J5" s="17">
        <f>B50*B61+C50*C61</f>
        <v>2527.1034551109096</v>
      </c>
      <c r="K5" s="17"/>
      <c r="L5" s="17"/>
      <c r="M5" s="17"/>
      <c r="N5" s="17">
        <f>B48*B59+C48*C59</f>
        <v>17526.985173567198</v>
      </c>
      <c r="O5" s="17">
        <f>B69*B70*B71</f>
        <v>248.57000000000002</v>
      </c>
      <c r="P5" s="17">
        <f>B77*B78*B79/1000-B77*B78*B79/1000/B80</f>
        <v>438.5333333333333</v>
      </c>
    </row>
    <row r="6" spans="1:16">
      <c r="A6" s="16" t="s">
        <v>620</v>
      </c>
      <c r="B6" s="762">
        <f>kWh_PV_kleiner_dan_10kW</f>
        <v>2852.1102310545079</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16832.907053626976</v>
      </c>
      <c r="C8" s="21">
        <f>C5</f>
        <v>0</v>
      </c>
      <c r="D8" s="21">
        <f>D5</f>
        <v>21599.629101092196</v>
      </c>
      <c r="E8" s="21">
        <f>E5</f>
        <v>32264.432951894632</v>
      </c>
      <c r="F8" s="21">
        <f>F5</f>
        <v>14839.470733395488</v>
      </c>
      <c r="G8" s="21"/>
      <c r="H8" s="21"/>
      <c r="I8" s="21"/>
      <c r="J8" s="21">
        <f>J5</f>
        <v>2527.1034551109096</v>
      </c>
      <c r="K8" s="21"/>
      <c r="L8" s="21">
        <f>L5</f>
        <v>0</v>
      </c>
      <c r="M8" s="21">
        <f>M5</f>
        <v>0</v>
      </c>
      <c r="N8" s="21">
        <f>N5</f>
        <v>17526.985173567198</v>
      </c>
      <c r="O8" s="21">
        <f>O5</f>
        <v>248.57000000000002</v>
      </c>
      <c r="P8" s="21">
        <f>P5</f>
        <v>438.5333333333333</v>
      </c>
    </row>
    <row r="9" spans="1:16">
      <c r="B9" s="19"/>
      <c r="C9" s="19"/>
      <c r="D9" s="258"/>
      <c r="E9" s="19"/>
      <c r="F9" s="19"/>
      <c r="G9" s="19"/>
      <c r="H9" s="19"/>
      <c r="I9" s="19"/>
      <c r="J9" s="19"/>
      <c r="K9" s="19"/>
      <c r="L9" s="19"/>
      <c r="M9" s="19"/>
      <c r="N9" s="19"/>
      <c r="O9" s="19"/>
      <c r="P9" s="19"/>
    </row>
    <row r="10" spans="1:16">
      <c r="A10" s="24" t="s">
        <v>213</v>
      </c>
      <c r="B10" s="25">
        <f ca="1">'EF ele_warmte'!B12</f>
        <v>0.12579406548744315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2117.4798122479956</v>
      </c>
      <c r="C12" s="23">
        <f ca="1">C10*C8</f>
        <v>0</v>
      </c>
      <c r="D12" s="23">
        <f>D8*D10</f>
        <v>4363.125078420624</v>
      </c>
      <c r="E12" s="23">
        <f>E10*E8</f>
        <v>7324.026280080082</v>
      </c>
      <c r="F12" s="23">
        <f>F10*F8</f>
        <v>3962.1386858165956</v>
      </c>
      <c r="G12" s="23"/>
      <c r="H12" s="23"/>
      <c r="I12" s="23"/>
      <c r="J12" s="23">
        <f>J10*J8</f>
        <v>894.59462310926199</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340</v>
      </c>
      <c r="C18" s="166" t="s">
        <v>110</v>
      </c>
      <c r="D18" s="228"/>
      <c r="E18" s="15"/>
    </row>
    <row r="19" spans="1:7">
      <c r="A19" s="171" t="s">
        <v>71</v>
      </c>
      <c r="B19" s="37">
        <f>aantalw2001_ander</f>
        <v>1</v>
      </c>
      <c r="C19" s="166" t="s">
        <v>110</v>
      </c>
      <c r="D19" s="229"/>
      <c r="E19" s="15"/>
    </row>
    <row r="20" spans="1:7">
      <c r="A20" s="171" t="s">
        <v>72</v>
      </c>
      <c r="B20" s="37">
        <f>aantalw2001_propaan</f>
        <v>307</v>
      </c>
      <c r="C20" s="167">
        <f>IF(ISERROR(B20/SUM($B$20,$B$21,$B$22)*100),0,B20/SUM($B$20,$B$21,$B$22)*100)</f>
        <v>42.403314917127069</v>
      </c>
      <c r="D20" s="229"/>
      <c r="E20" s="15"/>
    </row>
    <row r="21" spans="1:7">
      <c r="A21" s="171" t="s">
        <v>73</v>
      </c>
      <c r="B21" s="37">
        <f>aantalw2001_elektriciteit</f>
        <v>296</v>
      </c>
      <c r="C21" s="167">
        <f>IF(ISERROR(B21/SUM($B$20,$B$21,$B$22)*100),0,B21/SUM($B$20,$B$21,$B$22)*100)</f>
        <v>40.883977900552487</v>
      </c>
      <c r="D21" s="229"/>
      <c r="E21" s="15"/>
    </row>
    <row r="22" spans="1:7">
      <c r="A22" s="171" t="s">
        <v>74</v>
      </c>
      <c r="B22" s="37">
        <f>aantalw2001_hout</f>
        <v>121</v>
      </c>
      <c r="C22" s="167">
        <f>IF(ISERROR(B22/SUM($B$20,$B$21,$B$22)*100),0,B22/SUM($B$20,$B$21,$B$22)*100)</f>
        <v>16.71270718232044</v>
      </c>
      <c r="D22" s="229"/>
      <c r="E22" s="15"/>
    </row>
    <row r="23" spans="1:7">
      <c r="A23" s="171" t="s">
        <v>75</v>
      </c>
      <c r="B23" s="37">
        <f>aantalw2001_niet_gespec</f>
        <v>54</v>
      </c>
      <c r="C23" s="166" t="s">
        <v>110</v>
      </c>
      <c r="D23" s="228"/>
      <c r="E23" s="15"/>
    </row>
    <row r="24" spans="1:7">
      <c r="A24" s="171" t="s">
        <v>76</v>
      </c>
      <c r="B24" s="37">
        <f>aantalw2001_steenkool</f>
        <v>320</v>
      </c>
      <c r="C24" s="166" t="s">
        <v>110</v>
      </c>
      <c r="D24" s="229"/>
      <c r="E24" s="15"/>
    </row>
    <row r="25" spans="1:7">
      <c r="A25" s="171" t="s">
        <v>77</v>
      </c>
      <c r="B25" s="37">
        <f>aantalw2001_stookolie</f>
        <v>1912</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780</v>
      </c>
      <c r="B28" s="37">
        <f>aantalHuishoudens</f>
        <v>4034</v>
      </c>
      <c r="C28" s="36"/>
      <c r="D28" s="228"/>
    </row>
    <row r="29" spans="1:7" s="15" customFormat="1">
      <c r="A29" s="230" t="s">
        <v>781</v>
      </c>
      <c r="B29" s="37">
        <f>SUM(HH_hh_gas_aantal,HH_rest_gas_aantal)</f>
        <v>1674</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1674</v>
      </c>
      <c r="C32" s="167">
        <f>IF(ISERROR(B32/SUM($B$32,$B$34,$B$35,$B$36,$B$38,$B$39)*100),0,B32/SUM($B$32,$B$34,$B$35,$B$36,$B$38,$B$39)*100)</f>
        <v>41.735228122662676</v>
      </c>
      <c r="D32" s="233"/>
      <c r="G32" s="15"/>
    </row>
    <row r="33" spans="1:7">
      <c r="A33" s="171" t="s">
        <v>71</v>
      </c>
      <c r="B33" s="34" t="s">
        <v>110</v>
      </c>
      <c r="C33" s="167"/>
      <c r="D33" s="233"/>
      <c r="G33" s="15"/>
    </row>
    <row r="34" spans="1:7">
      <c r="A34" s="171" t="s">
        <v>72</v>
      </c>
      <c r="B34" s="33">
        <f>IF((($B$28-$B$32-$B$39-$B$77-$B$38)*C20/100)&lt;0,0,($B$28-$B$32-$B$39-$B$77-$B$38)*C20/100)</f>
        <v>610.18370165745864</v>
      </c>
      <c r="C34" s="167">
        <f>IF(ISERROR(B34/SUM($B$32,$B$34,$B$35,$B$36,$B$38,$B$39)*100),0,B34/SUM($B$32,$B$34,$B$35,$B$36,$B$38,$B$39)*100)</f>
        <v>15.212757458425797</v>
      </c>
      <c r="D34" s="233"/>
      <c r="G34" s="15"/>
    </row>
    <row r="35" spans="1:7">
      <c r="A35" s="171" t="s">
        <v>73</v>
      </c>
      <c r="B35" s="33">
        <f>IF((($B$28-$B$32-$B$39-$B$77-$B$38)*C21/100)&lt;0,0,($B$28-$B$32-$B$39-$B$77-$B$38)*C21/100)</f>
        <v>588.32044198895039</v>
      </c>
      <c r="C35" s="167">
        <f>IF(ISERROR(B35/SUM($B$32,$B$34,$B$35,$B$36,$B$38,$B$39)*100),0,B35/SUM($B$32,$B$34,$B$35,$B$36,$B$38,$B$39)*100)</f>
        <v>14.66767494362878</v>
      </c>
      <c r="D35" s="233"/>
      <c r="G35" s="15"/>
    </row>
    <row r="36" spans="1:7">
      <c r="A36" s="171" t="s">
        <v>74</v>
      </c>
      <c r="B36" s="33">
        <f>IF((($B$28-$B$32-$B$39-$B$77-$B$38)*C22/100)&lt;0,0,($B$28-$B$32-$B$39-$B$77-$B$38)*C22/100)</f>
        <v>240.49585635359117</v>
      </c>
      <c r="C36" s="167">
        <f>IF(ISERROR(B36/SUM($B$32,$B$34,$B$35,$B$36,$B$38,$B$39)*100),0,B36/SUM($B$32,$B$34,$B$35,$B$36,$B$38,$B$39)*100)</f>
        <v>5.995907662767169</v>
      </c>
      <c r="D36" s="233"/>
      <c r="G36" s="15"/>
    </row>
    <row r="37" spans="1:7">
      <c r="A37" s="171" t="s">
        <v>75</v>
      </c>
      <c r="B37" s="34" t="s">
        <v>110</v>
      </c>
      <c r="C37" s="167"/>
      <c r="D37" s="173"/>
      <c r="G37" s="15"/>
    </row>
    <row r="38" spans="1:7">
      <c r="A38" s="171" t="s">
        <v>76</v>
      </c>
      <c r="B38" s="33">
        <f>IF((B24-(B29-B18)*0.1)&lt;0,0,B24-(B29-B18)*0.1)</f>
        <v>186.6</v>
      </c>
      <c r="C38" s="167">
        <f>IF(ISERROR(B38/SUM($B$32,$B$34,$B$35,$B$36,$B$38,$B$39)*100),0,B38/SUM($B$32,$B$34,$B$35,$B$36,$B$38,$B$39)*100)</f>
        <v>4.6522064323111438</v>
      </c>
      <c r="D38" s="234"/>
      <c r="G38" s="15"/>
    </row>
    <row r="39" spans="1:7">
      <c r="A39" s="171" t="s">
        <v>77</v>
      </c>
      <c r="B39" s="33">
        <f>IF((B25-(B29-B18))&lt;0,0,B25-(B29-B18)*0.9)</f>
        <v>711.39999999999986</v>
      </c>
      <c r="C39" s="167">
        <f>IF(ISERROR(B39/SUM($B$32,$B$34,$B$35,$B$36,$B$38,$B$39)*100),0,B39/SUM($B$32,$B$34,$B$35,$B$36,$B$38,$B$39)*100)</f>
        <v>17.736225380204434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1674</v>
      </c>
      <c r="C44" s="34" t="s">
        <v>110</v>
      </c>
      <c r="D44" s="174"/>
    </row>
    <row r="45" spans="1:7">
      <c r="A45" s="171" t="s">
        <v>71</v>
      </c>
      <c r="B45" s="33" t="str">
        <f t="shared" si="0"/>
        <v>-</v>
      </c>
      <c r="C45" s="34" t="s">
        <v>110</v>
      </c>
      <c r="D45" s="174"/>
    </row>
    <row r="46" spans="1:7">
      <c r="A46" s="171" t="s">
        <v>72</v>
      </c>
      <c r="B46" s="33">
        <f t="shared" si="0"/>
        <v>610.18370165745864</v>
      </c>
      <c r="C46" s="34" t="s">
        <v>110</v>
      </c>
      <c r="D46" s="174"/>
    </row>
    <row r="47" spans="1:7">
      <c r="A47" s="171" t="s">
        <v>73</v>
      </c>
      <c r="B47" s="33">
        <f t="shared" si="0"/>
        <v>588.32044198895039</v>
      </c>
      <c r="C47" s="34" t="s">
        <v>110</v>
      </c>
      <c r="D47" s="174"/>
    </row>
    <row r="48" spans="1:7">
      <c r="A48" s="171" t="s">
        <v>74</v>
      </c>
      <c r="B48" s="33">
        <f t="shared" si="0"/>
        <v>240.49585635359117</v>
      </c>
      <c r="C48" s="33">
        <f>B48*10</f>
        <v>2404.9585635359117</v>
      </c>
      <c r="D48" s="234"/>
    </row>
    <row r="49" spans="1:6">
      <c r="A49" s="171" t="s">
        <v>75</v>
      </c>
      <c r="B49" s="33" t="str">
        <f t="shared" si="0"/>
        <v>-</v>
      </c>
      <c r="C49" s="34" t="s">
        <v>110</v>
      </c>
      <c r="D49" s="234"/>
    </row>
    <row r="50" spans="1:6">
      <c r="A50" s="171" t="s">
        <v>76</v>
      </c>
      <c r="B50" s="33">
        <f t="shared" si="0"/>
        <v>186.6</v>
      </c>
      <c r="C50" s="33">
        <f>B50*2</f>
        <v>373.2</v>
      </c>
      <c r="D50" s="234"/>
    </row>
    <row r="51" spans="1:6">
      <c r="A51" s="171" t="s">
        <v>77</v>
      </c>
      <c r="B51" s="33">
        <f t="shared" si="0"/>
        <v>711.39999999999986</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159</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23</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16680.035582094595</v>
      </c>
      <c r="C5" s="17">
        <f>IF(ISERROR('Eigen informatie GS &amp; warmtenet'!B58),0,'Eigen informatie GS &amp; warmtenet'!B58)</f>
        <v>0</v>
      </c>
      <c r="D5" s="30">
        <f>SUM(D6:D12)</f>
        <v>8297.0620038465167</v>
      </c>
      <c r="E5" s="17">
        <f>SUM(E6:E12)</f>
        <v>118.61640373343522</v>
      </c>
      <c r="F5" s="17">
        <f>SUM(F6:F12)</f>
        <v>3772.5218238819562</v>
      </c>
      <c r="G5" s="18"/>
      <c r="H5" s="17"/>
      <c r="I5" s="17"/>
      <c r="J5" s="17">
        <f>SUM(J6:J12)</f>
        <v>0.22876992774070312</v>
      </c>
      <c r="K5" s="17"/>
      <c r="L5" s="17"/>
      <c r="M5" s="17"/>
      <c r="N5" s="17">
        <f>SUM(N6:N12)</f>
        <v>8981.8593902217981</v>
      </c>
      <c r="O5" s="17">
        <f>B38*B39*B40</f>
        <v>1.5633333333333335</v>
      </c>
      <c r="P5" s="17">
        <f>B46*B47*B48/1000-B46*B47*B48/1000/B49</f>
        <v>38.133333333333333</v>
      </c>
      <c r="R5" s="32"/>
    </row>
    <row r="6" spans="1:18">
      <c r="A6" s="32" t="s">
        <v>53</v>
      </c>
      <c r="B6" s="37">
        <f>B26</f>
        <v>632.96738908422401</v>
      </c>
      <c r="C6" s="33"/>
      <c r="D6" s="37">
        <f>IF(ISERROR(TER_kantoor_gas_kWh/1000),0,TER_kantoor_gas_kWh/1000)*0.902</f>
        <v>109.1947780127868</v>
      </c>
      <c r="E6" s="33">
        <f>$C$26*'E Balans VL '!I12/100/3.6*1000000</f>
        <v>3.9672290731244259E-3</v>
      </c>
      <c r="F6" s="33">
        <f>$C$26*('E Balans VL '!L12+'E Balans VL '!N12)/100/3.6*1000000</f>
        <v>95.117311783651601</v>
      </c>
      <c r="G6" s="34"/>
      <c r="H6" s="33"/>
      <c r="I6" s="33"/>
      <c r="J6" s="33">
        <f>$C$26*('E Balans VL '!D12+'E Balans VL '!E12)/100/3.6*1000000</f>
        <v>0</v>
      </c>
      <c r="K6" s="33"/>
      <c r="L6" s="33"/>
      <c r="M6" s="33"/>
      <c r="N6" s="33">
        <f>$C$26*'E Balans VL '!Y12/100/3.6*1000000</f>
        <v>0.60533945994438942</v>
      </c>
      <c r="O6" s="33"/>
      <c r="P6" s="33"/>
      <c r="R6" s="32"/>
    </row>
    <row r="7" spans="1:18">
      <c r="A7" s="32" t="s">
        <v>52</v>
      </c>
      <c r="B7" s="37">
        <f t="shared" ref="B7:B12" si="0">B27</f>
        <v>627.73873784547197</v>
      </c>
      <c r="C7" s="33"/>
      <c r="D7" s="37">
        <f>IF(ISERROR(TER_horeca_gas_kWh/1000),0,TER_horeca_gas_kWh/1000)*0.902</f>
        <v>531.97213283260169</v>
      </c>
      <c r="E7" s="33">
        <f>$C$27*'E Balans VL '!I9/100/3.6*1000000</f>
        <v>8.9891141646339925</v>
      </c>
      <c r="F7" s="33">
        <f>$C$27*('E Balans VL '!L9+'E Balans VL '!N9)/100/3.6*1000000</f>
        <v>79.492427832435823</v>
      </c>
      <c r="G7" s="34"/>
      <c r="H7" s="33"/>
      <c r="I7" s="33"/>
      <c r="J7" s="33">
        <f>$C$27*('E Balans VL '!D9+'E Balans VL '!E9)/100/3.6*1000000</f>
        <v>0</v>
      </c>
      <c r="K7" s="33"/>
      <c r="L7" s="33"/>
      <c r="M7" s="33"/>
      <c r="N7" s="33">
        <f>$C$27*'E Balans VL '!Y9/100/3.6*1000000</f>
        <v>0.18046104667946347</v>
      </c>
      <c r="O7" s="33"/>
      <c r="P7" s="33"/>
      <c r="R7" s="32"/>
    </row>
    <row r="8" spans="1:18">
      <c r="A8" s="6" t="s">
        <v>51</v>
      </c>
      <c r="B8" s="37">
        <f t="shared" si="0"/>
        <v>2343.4093722532698</v>
      </c>
      <c r="C8" s="33"/>
      <c r="D8" s="37">
        <f>IF(ISERROR(TER_handel_gas_kWh/1000),0,TER_handel_gas_kWh/1000)*0.902</f>
        <v>374.10495658767621</v>
      </c>
      <c r="E8" s="33">
        <f>$C$28*'E Balans VL '!I13/100/3.6*1000000</f>
        <v>84.995168955328893</v>
      </c>
      <c r="F8" s="33">
        <f>$C$28*('E Balans VL '!L13+'E Balans VL '!N13)/100/3.6*1000000</f>
        <v>451.36437362448652</v>
      </c>
      <c r="G8" s="34"/>
      <c r="H8" s="33"/>
      <c r="I8" s="33"/>
      <c r="J8" s="33">
        <f>$C$28*('E Balans VL '!D13+'E Balans VL '!E13)/100/3.6*1000000</f>
        <v>0</v>
      </c>
      <c r="K8" s="33"/>
      <c r="L8" s="33"/>
      <c r="M8" s="33"/>
      <c r="N8" s="33">
        <f>$C$28*'E Balans VL '!Y13/100/3.6*1000000</f>
        <v>3.2461611750199819</v>
      </c>
      <c r="O8" s="33"/>
      <c r="P8" s="33"/>
      <c r="R8" s="32"/>
    </row>
    <row r="9" spans="1:18">
      <c r="A9" s="32" t="s">
        <v>50</v>
      </c>
      <c r="B9" s="37">
        <f t="shared" si="0"/>
        <v>1676.8391379868499</v>
      </c>
      <c r="C9" s="33"/>
      <c r="D9" s="37">
        <f>IF(ISERROR(TER_gezond_gas_kWh/1000),0,TER_gezond_gas_kWh/1000)*0.902</f>
        <v>4347.3987264583493</v>
      </c>
      <c r="E9" s="33">
        <f>$C$29*'E Balans VL '!I10/100/3.6*1000000</f>
        <v>0.10498668583348703</v>
      </c>
      <c r="F9" s="33">
        <f>$C$29*('E Balans VL '!L10+'E Balans VL '!N10)/100/3.6*1000000</f>
        <v>249.09955943690068</v>
      </c>
      <c r="G9" s="34"/>
      <c r="H9" s="33"/>
      <c r="I9" s="33"/>
      <c r="J9" s="33">
        <f>$C$29*('E Balans VL '!D10+'E Balans VL '!E10)/100/3.6*1000000</f>
        <v>0</v>
      </c>
      <c r="K9" s="33"/>
      <c r="L9" s="33"/>
      <c r="M9" s="33"/>
      <c r="N9" s="33">
        <f>$C$29*'E Balans VL '!Y10/100/3.6*1000000</f>
        <v>25.937509587526623</v>
      </c>
      <c r="O9" s="33"/>
      <c r="P9" s="33"/>
      <c r="R9" s="32"/>
    </row>
    <row r="10" spans="1:18">
      <c r="A10" s="32" t="s">
        <v>49</v>
      </c>
      <c r="B10" s="37">
        <f t="shared" si="0"/>
        <v>10438.8414778971</v>
      </c>
      <c r="C10" s="33"/>
      <c r="D10" s="37">
        <f>IF(ISERROR(TER_ander_gas_kWh/1000),0,TER_ander_gas_kWh/1000)*0.902</f>
        <v>1347.6243738330936</v>
      </c>
      <c r="E10" s="33">
        <f>$C$30*'E Balans VL '!I14/100/3.6*1000000</f>
        <v>12.442726020488426</v>
      </c>
      <c r="F10" s="33">
        <f>$C$30*('E Balans VL '!L14+'E Balans VL '!N14)/100/3.6*1000000</f>
        <v>2731.2650050601233</v>
      </c>
      <c r="G10" s="34"/>
      <c r="H10" s="33"/>
      <c r="I10" s="33"/>
      <c r="J10" s="33">
        <f>$C$30*('E Balans VL '!D14+'E Balans VL '!E14)/100/3.6*1000000</f>
        <v>0.22658632935640999</v>
      </c>
      <c r="K10" s="33"/>
      <c r="L10" s="33"/>
      <c r="M10" s="33"/>
      <c r="N10" s="33">
        <f>$C$30*'E Balans VL '!Y14/100/3.6*1000000</f>
        <v>8864.4087481747556</v>
      </c>
      <c r="O10" s="33"/>
      <c r="P10" s="33"/>
      <c r="R10" s="32"/>
    </row>
    <row r="11" spans="1:18">
      <c r="A11" s="32" t="s">
        <v>54</v>
      </c>
      <c r="B11" s="37">
        <f t="shared" si="0"/>
        <v>58.494421647569702</v>
      </c>
      <c r="C11" s="33"/>
      <c r="D11" s="37">
        <f>IF(ISERROR(TER_onderwijs_gas_kWh/1000),0,TER_onderwijs_gas_kWh/1000)*0.902</f>
        <v>0</v>
      </c>
      <c r="E11" s="33">
        <f>$C$31*'E Balans VL '!I11/100/3.6*1000000</f>
        <v>0.88258660843696135</v>
      </c>
      <c r="F11" s="33">
        <f>$C$31*('E Balans VL '!L11+'E Balans VL '!N11)/100/3.6*1000000</f>
        <v>10.249157148840382</v>
      </c>
      <c r="G11" s="34"/>
      <c r="H11" s="33"/>
      <c r="I11" s="33"/>
      <c r="J11" s="33">
        <f>$C$31*('E Balans VL '!D11+'E Balans VL '!E11)/100/3.6*1000000</f>
        <v>0</v>
      </c>
      <c r="K11" s="33"/>
      <c r="L11" s="33"/>
      <c r="M11" s="33"/>
      <c r="N11" s="33">
        <f>$C$31*'E Balans VL '!Y11/100/3.6*1000000</f>
        <v>0.16460774943154163</v>
      </c>
      <c r="O11" s="33"/>
      <c r="P11" s="33"/>
      <c r="R11" s="32"/>
    </row>
    <row r="12" spans="1:18">
      <c r="A12" s="32" t="s">
        <v>259</v>
      </c>
      <c r="B12" s="37">
        <f t="shared" si="0"/>
        <v>901.74504538010899</v>
      </c>
      <c r="C12" s="33"/>
      <c r="D12" s="37">
        <f>IF(ISERROR(TER_rest_gas_kWh/1000),0,TER_rest_gas_kWh/1000)*0.902</f>
        <v>1586.7670361220091</v>
      </c>
      <c r="E12" s="33">
        <f>$C$32*'E Balans VL '!I8/100/3.6*1000000</f>
        <v>11.197854069640341</v>
      </c>
      <c r="F12" s="33">
        <f>$C$32*('E Balans VL '!L8+'E Balans VL '!N8)/100/3.6*1000000</f>
        <v>155.93398899551744</v>
      </c>
      <c r="G12" s="34"/>
      <c r="H12" s="33"/>
      <c r="I12" s="33"/>
      <c r="J12" s="33">
        <f>$C$32*('E Balans VL '!D8+'E Balans VL '!E8)/100/3.6*1000000</f>
        <v>2.1835983842931235E-3</v>
      </c>
      <c r="K12" s="33"/>
      <c r="L12" s="33"/>
      <c r="M12" s="33"/>
      <c r="N12" s="33">
        <f>$C$32*'E Balans VL '!Y8/100/3.6*1000000</f>
        <v>87.316563028439916</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16680.035582094595</v>
      </c>
      <c r="C16" s="21">
        <f t="shared" ca="1" si="1"/>
        <v>0</v>
      </c>
      <c r="D16" s="21">
        <f t="shared" ca="1" si="1"/>
        <v>8297.0620038465167</v>
      </c>
      <c r="E16" s="21">
        <f t="shared" si="1"/>
        <v>118.61640373343522</v>
      </c>
      <c r="F16" s="21">
        <f t="shared" ca="1" si="1"/>
        <v>3772.5218238819562</v>
      </c>
      <c r="G16" s="21">
        <f t="shared" si="1"/>
        <v>0</v>
      </c>
      <c r="H16" s="21">
        <f t="shared" si="1"/>
        <v>0</v>
      </c>
      <c r="I16" s="21">
        <f t="shared" si="1"/>
        <v>0</v>
      </c>
      <c r="J16" s="21">
        <f t="shared" si="1"/>
        <v>0.22876992774070312</v>
      </c>
      <c r="K16" s="21">
        <f t="shared" si="1"/>
        <v>0</v>
      </c>
      <c r="L16" s="21">
        <f t="shared" ca="1" si="1"/>
        <v>0</v>
      </c>
      <c r="M16" s="21">
        <f t="shared" si="1"/>
        <v>0</v>
      </c>
      <c r="N16" s="21">
        <f t="shared" ca="1" si="1"/>
        <v>8981.8593902217981</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0.12579406548744315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2098.2494883468894</v>
      </c>
      <c r="C20" s="23">
        <f t="shared" ref="C20:P20" ca="1" si="2">C16*C18</f>
        <v>0</v>
      </c>
      <c r="D20" s="23">
        <f t="shared" ca="1" si="2"/>
        <v>1676.0065247769965</v>
      </c>
      <c r="E20" s="23">
        <f t="shared" si="2"/>
        <v>26.925923647489796</v>
      </c>
      <c r="F20" s="23">
        <f t="shared" ca="1" si="2"/>
        <v>1007.2633269764824</v>
      </c>
      <c r="G20" s="23">
        <f t="shared" si="2"/>
        <v>0</v>
      </c>
      <c r="H20" s="23">
        <f t="shared" si="2"/>
        <v>0</v>
      </c>
      <c r="I20" s="23">
        <f t="shared" si="2"/>
        <v>0</v>
      </c>
      <c r="J20" s="23">
        <f t="shared" si="2"/>
        <v>8.0984554420208896E-2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632.96738908422401</v>
      </c>
      <c r="C26" s="39">
        <f>IF(ISERROR(B26*3.6/1000000/'E Balans VL '!Z12*100),0,B26*3.6/1000000/'E Balans VL '!Z12*100)</f>
        <v>1.3379927903902918E-2</v>
      </c>
      <c r="D26" s="237" t="s">
        <v>744</v>
      </c>
      <c r="F26" s="6"/>
    </row>
    <row r="27" spans="1:18">
      <c r="A27" s="231" t="s">
        <v>52</v>
      </c>
      <c r="B27" s="33">
        <f>IF(ISERROR(TER_horeca_ele_kWh/1000),0,TER_horeca_ele_kWh/1000)</f>
        <v>627.73873784547197</v>
      </c>
      <c r="C27" s="39">
        <f>IF(ISERROR(B27*3.6/1000000/'E Balans VL '!Z9*100),0,B27*3.6/1000000/'E Balans VL '!Z9*100)</f>
        <v>4.9484410734186364E-2</v>
      </c>
      <c r="D27" s="237" t="s">
        <v>744</v>
      </c>
      <c r="F27" s="6"/>
    </row>
    <row r="28" spans="1:18">
      <c r="A28" s="171" t="s">
        <v>51</v>
      </c>
      <c r="B28" s="33">
        <f>IF(ISERROR(TER_handel_ele_kWh/1000),0,TER_handel_ele_kWh/1000)</f>
        <v>2343.4093722532698</v>
      </c>
      <c r="C28" s="39">
        <f>IF(ISERROR(B28*3.6/1000000/'E Balans VL '!Z13*100),0,B28*3.6/1000000/'E Balans VL '!Z13*100)</f>
        <v>6.8015208417649714E-2</v>
      </c>
      <c r="D28" s="237" t="s">
        <v>744</v>
      </c>
      <c r="F28" s="6"/>
    </row>
    <row r="29" spans="1:18">
      <c r="A29" s="231" t="s">
        <v>50</v>
      </c>
      <c r="B29" s="33">
        <f>IF(ISERROR(TER_gezond_ele_kWh/1000),0,TER_gezond_ele_kWh/1000)</f>
        <v>1676.8391379868499</v>
      </c>
      <c r="C29" s="39">
        <f>IF(ISERROR(B29*3.6/1000000/'E Balans VL '!Z10*100),0,B29*3.6/1000000/'E Balans VL '!Z10*100)</f>
        <v>0.17659869565546346</v>
      </c>
      <c r="D29" s="237" t="s">
        <v>744</v>
      </c>
      <c r="F29" s="6"/>
    </row>
    <row r="30" spans="1:18">
      <c r="A30" s="231" t="s">
        <v>49</v>
      </c>
      <c r="B30" s="33">
        <f>IF(ISERROR(TER_ander_ele_kWh/1000),0,TER_ander_ele_kWh/1000)</f>
        <v>10438.8414778971</v>
      </c>
      <c r="C30" s="39">
        <f>IF(ISERROR(B30*3.6/1000000/'E Balans VL '!Z14*100),0,B30*3.6/1000000/'E Balans VL '!Z14*100)</f>
        <v>0.76997121471478069</v>
      </c>
      <c r="D30" s="237" t="s">
        <v>744</v>
      </c>
      <c r="F30" s="6"/>
    </row>
    <row r="31" spans="1:18">
      <c r="A31" s="231" t="s">
        <v>54</v>
      </c>
      <c r="B31" s="33">
        <f>IF(ISERROR(TER_onderwijs_ele_kWh/1000),0,TER_onderwijs_ele_kWh/1000)</f>
        <v>58.494421647569702</v>
      </c>
      <c r="C31" s="39">
        <f>IF(ISERROR(B31*3.6/1000000/'E Balans VL '!Z11*100),0,B31*3.6/1000000/'E Balans VL '!Z11*100)</f>
        <v>1.4526904935168131E-2</v>
      </c>
      <c r="D31" s="237" t="s">
        <v>744</v>
      </c>
    </row>
    <row r="32" spans="1:18">
      <c r="A32" s="231" t="s">
        <v>259</v>
      </c>
      <c r="B32" s="33">
        <f>IF(ISERROR(TER_rest_ele_kWh/1000),0,TER_rest_ele_kWh/1000)</f>
        <v>901.74504538010899</v>
      </c>
      <c r="C32" s="39">
        <f>IF(ISERROR(B32*3.6/1000000/'E Balans VL '!Z8*100),0,B32*3.6/1000000/'E Balans VL '!Z8*100)</f>
        <v>7.420164778603161E-3</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4277.0125067350427</v>
      </c>
      <c r="C5" s="17">
        <f>IF(ISERROR('Eigen informatie GS &amp; warmtenet'!B59),0,'Eigen informatie GS &amp; warmtenet'!B59)</f>
        <v>0</v>
      </c>
      <c r="D5" s="30">
        <f>SUM(D6:D15)</f>
        <v>967.90038636503766</v>
      </c>
      <c r="E5" s="17">
        <f>SUM(E6:E15)</f>
        <v>937.21304976500301</v>
      </c>
      <c r="F5" s="17">
        <f>SUM(F6:F15)</f>
        <v>2638.8633726925077</v>
      </c>
      <c r="G5" s="18"/>
      <c r="H5" s="17"/>
      <c r="I5" s="17"/>
      <c r="J5" s="17">
        <f>SUM(J6:J15)</f>
        <v>3.4273311187611308</v>
      </c>
      <c r="K5" s="17"/>
      <c r="L5" s="17"/>
      <c r="M5" s="17"/>
      <c r="N5" s="17">
        <f>SUM(N6:N15)</f>
        <v>319.99044137041489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87.395149831036804</v>
      </c>
      <c r="C8" s="33"/>
      <c r="D8" s="37">
        <f>IF( ISERROR(IND_metaal_Gas_kWH/1000),0,IND_metaal_Gas_kWH/1000)*0.902</f>
        <v>60.683511764787937</v>
      </c>
      <c r="E8" s="33">
        <f>C30*'E Balans VL '!I18/100/3.6*1000000</f>
        <v>0.80351399565796333</v>
      </c>
      <c r="F8" s="33">
        <f>C30*'E Balans VL '!L18/100/3.6*1000000+C30*'E Balans VL '!N18/100/3.6*1000000</f>
        <v>8.1947553750823214</v>
      </c>
      <c r="G8" s="34"/>
      <c r="H8" s="33"/>
      <c r="I8" s="33"/>
      <c r="J8" s="40">
        <f>C30*'E Balans VL '!D18/100/3.6*1000000+C30*'E Balans VL '!E18/100/3.6*1000000</f>
        <v>0</v>
      </c>
      <c r="K8" s="33"/>
      <c r="L8" s="33"/>
      <c r="M8" s="33"/>
      <c r="N8" s="33">
        <f>C30*'E Balans VL '!Y18/100/3.6*1000000</f>
        <v>1.24683623890679</v>
      </c>
      <c r="O8" s="33"/>
      <c r="P8" s="33"/>
      <c r="R8" s="32"/>
    </row>
    <row r="9" spans="1:18">
      <c r="A9" s="6" t="s">
        <v>32</v>
      </c>
      <c r="B9" s="37">
        <f t="shared" si="0"/>
        <v>3021.0136604893301</v>
      </c>
      <c r="C9" s="33"/>
      <c r="D9" s="37">
        <f>IF( ISERROR(IND_andere_gas_kWh/1000),0,IND_andere_gas_kWh/1000)*0.902</f>
        <v>547.32496886711374</v>
      </c>
      <c r="E9" s="33">
        <f>C31*'E Balans VL '!I19/100/3.6*1000000</f>
        <v>883.10110516014208</v>
      </c>
      <c r="F9" s="33">
        <f>C31*'E Balans VL '!L19/100/3.6*1000000+C31*'E Balans VL '!N19/100/3.6*1000000</f>
        <v>2427.6131459257472</v>
      </c>
      <c r="G9" s="34"/>
      <c r="H9" s="33"/>
      <c r="I9" s="33"/>
      <c r="J9" s="40">
        <f>C31*'E Balans VL '!D19/100/3.6*1000000+C31*'E Balans VL '!E19/100/3.6*1000000</f>
        <v>0</v>
      </c>
      <c r="K9" s="33"/>
      <c r="L9" s="33"/>
      <c r="M9" s="33"/>
      <c r="N9" s="33">
        <f>C31*'E Balans VL '!Y19/100/3.6*1000000</f>
        <v>236.96420848207305</v>
      </c>
      <c r="O9" s="33"/>
      <c r="P9" s="33"/>
      <c r="R9" s="32"/>
    </row>
    <row r="10" spans="1:18">
      <c r="A10" s="6" t="s">
        <v>40</v>
      </c>
      <c r="B10" s="37">
        <f t="shared" si="0"/>
        <v>211.24355016738298</v>
      </c>
      <c r="C10" s="33"/>
      <c r="D10" s="37">
        <f>IF( ISERROR(IND_voed_gas_kWh/1000),0,IND_voed_gas_kWh/1000)*0.902</f>
        <v>178.83212381199797</v>
      </c>
      <c r="E10" s="33">
        <f>C32*'E Balans VL '!I20/100/3.6*1000000</f>
        <v>0.44688900574913709</v>
      </c>
      <c r="F10" s="33">
        <f>C32*'E Balans VL '!L20/100/3.6*1000000+C32*'E Balans VL '!N20/100/3.6*1000000</f>
        <v>13.431080698601084</v>
      </c>
      <c r="G10" s="34"/>
      <c r="H10" s="33"/>
      <c r="I10" s="33"/>
      <c r="J10" s="40">
        <f>C32*'E Balans VL '!D20/100/3.6*1000000+C32*'E Balans VL '!E20/100/3.6*1000000</f>
        <v>0</v>
      </c>
      <c r="K10" s="33"/>
      <c r="L10" s="33"/>
      <c r="M10" s="33"/>
      <c r="N10" s="33">
        <f>C32*'E Balans VL '!Y20/100/3.6*1000000</f>
        <v>14.577889563838863</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957.36014624729296</v>
      </c>
      <c r="C15" s="33"/>
      <c r="D15" s="37">
        <f>IF( ISERROR(IND_rest_gas_kWh/1000),0,IND_rest_gas_kWh/1000)*0.902</f>
        <v>181.0597819211381</v>
      </c>
      <c r="E15" s="33">
        <f>C37*'E Balans VL '!I15/100/3.6*1000000</f>
        <v>52.861541603453936</v>
      </c>
      <c r="F15" s="33">
        <f>C37*'E Balans VL '!L15/100/3.6*1000000+C37*'E Balans VL '!N15/100/3.6*1000000</f>
        <v>189.6243906930772</v>
      </c>
      <c r="G15" s="34"/>
      <c r="H15" s="33"/>
      <c r="I15" s="33"/>
      <c r="J15" s="40">
        <f>C37*'E Balans VL '!D15/100/3.6*1000000+C37*'E Balans VL '!E15/100/3.6*1000000</f>
        <v>3.4273311187611308</v>
      </c>
      <c r="K15" s="33"/>
      <c r="L15" s="33"/>
      <c r="M15" s="33"/>
      <c r="N15" s="33">
        <f>C37*'E Balans VL '!Y15/100/3.6*1000000</f>
        <v>67.201507085596191</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4277.0125067350427</v>
      </c>
      <c r="C18" s="21">
        <f>C5+C16</f>
        <v>0</v>
      </c>
      <c r="D18" s="21">
        <f>MAX((D5+D16),0)</f>
        <v>967.90038636503766</v>
      </c>
      <c r="E18" s="21">
        <f>MAX((E5+E16),0)</f>
        <v>937.21304976500301</v>
      </c>
      <c r="F18" s="21">
        <f>MAX((F5+F16),0)</f>
        <v>2638.8633726925077</v>
      </c>
      <c r="G18" s="21"/>
      <c r="H18" s="21"/>
      <c r="I18" s="21"/>
      <c r="J18" s="21">
        <f>MAX((J5+J16),0)</f>
        <v>3.4273311187611308</v>
      </c>
      <c r="K18" s="21"/>
      <c r="L18" s="21">
        <f>MAX((L5+L16),0)</f>
        <v>0</v>
      </c>
      <c r="M18" s="21"/>
      <c r="N18" s="21">
        <f>MAX((N5+N16),0)</f>
        <v>319.99044137041489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0.12579406548744315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538.02279136284142</v>
      </c>
      <c r="C22" s="23">
        <f ca="1">C18*C20</f>
        <v>0</v>
      </c>
      <c r="D22" s="23">
        <f>D18*D20</f>
        <v>195.51587804573762</v>
      </c>
      <c r="E22" s="23">
        <f>E18*E20</f>
        <v>212.74736229665569</v>
      </c>
      <c r="F22" s="23">
        <f>F18*F20</f>
        <v>704.57652050889965</v>
      </c>
      <c r="G22" s="23"/>
      <c r="H22" s="23"/>
      <c r="I22" s="23"/>
      <c r="J22" s="23">
        <f>J18*J20</f>
        <v>1.2132752160414402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87.395149831036804</v>
      </c>
      <c r="C30" s="39">
        <f>IF(ISERROR(B30*3.6/1000000/'E Balans VL '!Z18*100),0,B30*3.6/1000000/'E Balans VL '!Z18*100)</f>
        <v>4.9529072367459738E-3</v>
      </c>
      <c r="D30" s="237" t="s">
        <v>744</v>
      </c>
    </row>
    <row r="31" spans="1:18">
      <c r="A31" s="6" t="s">
        <v>32</v>
      </c>
      <c r="B31" s="37">
        <f>IF( ISERROR(IND_ander_ele_kWh/1000),0,IND_ander_ele_kWh/1000)</f>
        <v>3021.0136604893301</v>
      </c>
      <c r="C31" s="39">
        <f>IF(ISERROR(B31*3.6/1000000/'E Balans VL '!Z19*100),0,B31*3.6/1000000/'E Balans VL '!Z19*100)</f>
        <v>0.13702060035785227</v>
      </c>
      <c r="D31" s="237" t="s">
        <v>744</v>
      </c>
    </row>
    <row r="32" spans="1:18">
      <c r="A32" s="171" t="s">
        <v>40</v>
      </c>
      <c r="B32" s="37">
        <f>IF( ISERROR(IND_voed_ele_kWh/1000),0,IND_voed_ele_kWh/1000)</f>
        <v>211.24355016738298</v>
      </c>
      <c r="C32" s="39">
        <f>IF(ISERROR(B32*3.6/1000000/'E Balans VL '!Z20*100),0,B32*3.6/1000000/'E Balans VL '!Z20*100)</f>
        <v>6.5347219714242538E-3</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957.36014624729296</v>
      </c>
      <c r="C37" s="39">
        <f>IF(ISERROR(B37*3.6/1000000/'E Balans VL '!Z15*100),0,B37*3.6/1000000/'E Balans VL '!Z15*100)</f>
        <v>7.5882549090888806E-3</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4791.1065528715799</v>
      </c>
      <c r="C5" s="17">
        <f>'Eigen informatie GS &amp; warmtenet'!B60</f>
        <v>0</v>
      </c>
      <c r="D5" s="30">
        <f>IF(ISERROR(SUM(LB_lb_gas_kWh,LB_rest_gas_kWh)/1000),0,SUM(LB_lb_gas_kWh,LB_rest_gas_kWh)/1000)*0.902</f>
        <v>726.6694794919963</v>
      </c>
      <c r="E5" s="17">
        <f>B17*'E Balans VL '!I25/3.6*1000000/100</f>
        <v>140.8252553173551</v>
      </c>
      <c r="F5" s="17">
        <f>B17*('E Balans VL '!L25/3.6*1000000+'E Balans VL '!N25/3.6*1000000)/100</f>
        <v>19959.491001453829</v>
      </c>
      <c r="G5" s="18"/>
      <c r="H5" s="17"/>
      <c r="I5" s="17"/>
      <c r="J5" s="17">
        <f>('E Balans VL '!D25+'E Balans VL '!E25)/3.6*1000000*landbouw!B17/100</f>
        <v>694.12844932009671</v>
      </c>
      <c r="K5" s="17"/>
      <c r="L5" s="17">
        <f>L6*(-1)</f>
        <v>0</v>
      </c>
      <c r="M5" s="17"/>
      <c r="N5" s="17">
        <f>N6*(-1)</f>
        <v>36385.71428571429</v>
      </c>
      <c r="O5" s="17"/>
      <c r="P5" s="17"/>
      <c r="R5" s="32"/>
    </row>
    <row r="6" spans="1:18">
      <c r="A6" s="16" t="s">
        <v>487</v>
      </c>
      <c r="B6" s="17" t="s">
        <v>210</v>
      </c>
      <c r="C6" s="17">
        <f>'lokale energieproductie'!O39+'lokale energieproductie'!O32</f>
        <v>18192.857142857145</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-36385.71428571429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4791.1065528715799</v>
      </c>
      <c r="C8" s="21">
        <f>C5+C6</f>
        <v>18192.857142857145</v>
      </c>
      <c r="D8" s="21">
        <f>MAX((D5+D6),0)</f>
        <v>726.6694794919963</v>
      </c>
      <c r="E8" s="21">
        <f>MAX((E5+E6),0)</f>
        <v>140.8252553173551</v>
      </c>
      <c r="F8" s="21">
        <f>MAX((F5+F6),0)</f>
        <v>19959.491001453829</v>
      </c>
      <c r="G8" s="21"/>
      <c r="H8" s="21"/>
      <c r="I8" s="21"/>
      <c r="J8" s="21">
        <f>MAX((J5+J6),0)</f>
        <v>694.12844932009671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0.12579406548744315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602.69277146924549</v>
      </c>
      <c r="C12" s="23">
        <f ca="1">C8*C10</f>
        <v>0</v>
      </c>
      <c r="D12" s="23">
        <f>D8*D10</f>
        <v>146.78723485738325</v>
      </c>
      <c r="E12" s="23">
        <f>E8*E10</f>
        <v>31.967332957039609</v>
      </c>
      <c r="F12" s="23">
        <f>F8*F10</f>
        <v>5329.1840973881726</v>
      </c>
      <c r="G12" s="23"/>
      <c r="H12" s="23"/>
      <c r="I12" s="23"/>
      <c r="J12" s="23">
        <f>J8*J10</f>
        <v>245.72147105931421</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0.67987305149086874</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669.13828288048501</v>
      </c>
      <c r="C26" s="247">
        <f>B26*'GWP N2O_CH4'!B5</f>
        <v>14051.903940490185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412.0687815385557</v>
      </c>
      <c r="C27" s="247">
        <f>B27*'GWP N2O_CH4'!B5</f>
        <v>8653.4444123096691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9.0825910292699419</v>
      </c>
      <c r="C28" s="247">
        <f>B28*'GWP N2O_CH4'!B4</f>
        <v>2815.6032190736819</v>
      </c>
      <c r="D28" s="50"/>
    </row>
    <row r="29" spans="1:4">
      <c r="A29" s="41" t="s">
        <v>276</v>
      </c>
      <c r="B29" s="247">
        <f>B34*'ha_N2O bodem landbouw'!B4</f>
        <v>26.496989280010151</v>
      </c>
      <c r="C29" s="247">
        <f>B29*'GWP N2O_CH4'!B4</f>
        <v>8214.066676803146</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6.0465216410110229E-3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6.3591555635771898E-5</v>
      </c>
      <c r="C5" s="437" t="s">
        <v>210</v>
      </c>
      <c r="D5" s="422">
        <f>SUM(D6:D11)</f>
        <v>2.0538513969676591E-4</v>
      </c>
      <c r="E5" s="422">
        <f>SUM(E6:E11)</f>
        <v>3.4248065246210294E-4</v>
      </c>
      <c r="F5" s="435" t="s">
        <v>210</v>
      </c>
      <c r="G5" s="422">
        <f>SUM(G6:G11)</f>
        <v>0.13760087182000627</v>
      </c>
      <c r="H5" s="422">
        <f>SUM(H6:H11)</f>
        <v>3.4459120250187492E-2</v>
      </c>
      <c r="I5" s="437" t="s">
        <v>210</v>
      </c>
      <c r="J5" s="437" t="s">
        <v>210</v>
      </c>
      <c r="K5" s="437" t="s">
        <v>210</v>
      </c>
      <c r="L5" s="437" t="s">
        <v>210</v>
      </c>
      <c r="M5" s="422">
        <f>SUM(M6:M11)</f>
        <v>9.0538865544176617E-3</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3.5652937196707098E-5</v>
      </c>
      <c r="C6" s="423"/>
      <c r="D6" s="865">
        <f>vkm_GW_PW*SUMIFS(TableVerdeelsleutelVkm[CNG],TableVerdeelsleutelVkm[Voertuigtype],"Lichte voertuigen")*SUMIFS(TableECFTransport[EnergieConsumptieFactor (PJ per km)],TableECFTransport[Index],CONCATENATE($A6,"_CNG_CNG"))</f>
        <v>8.8356683696697827E-5</v>
      </c>
      <c r="E6" s="865">
        <f>vkm_GW_PW*SUMIFS(TableVerdeelsleutelVkm[LPG],TableVerdeelsleutelVkm[Voertuigtype],"Lichte voertuigen")*SUMIFS(TableECFTransport[EnergieConsumptieFactor (PJ per km)],TableECFTransport[Index],CONCATENATE($A6,"_LPG_LPG"))</f>
        <v>1.5168636202258042E-4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4.6478904106714743E-2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1.501216966306671E-2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3.1575218600323751E-3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2.2192035601425721E-2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3.7123238883415106E-7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1.2965820191694361E-3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2.79386184390648E-5</v>
      </c>
      <c r="C8" s="423"/>
      <c r="D8" s="425">
        <f>vkm_NGW_PW*SUMIFS(TableVerdeelsleutelVkm[CNG],TableVerdeelsleutelVkm[Voertuigtype],"Lichte voertuigen")*SUMIFS(TableECFTransport[EnergieConsumptieFactor (PJ per km)],TableECFTransport[Index],CONCATENATE($A8,"_CNG_CNG"))</f>
        <v>1.1702845600006809E-4</v>
      </c>
      <c r="E8" s="425">
        <f>vkm_NGW_PW*SUMIFS(TableVerdeelsleutelVkm[LPG],TableVerdeelsleutelVkm[Voertuigtype],"Lichte voertuigen")*SUMIFS(TableECFTransport[EnergieConsumptieFactor (PJ per km)],TableECFTransport[Index],CONCATENATE($A8,"_LPG_LPG"))</f>
        <v>1.9079429043952249E-4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5.4991442813420166E-2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1.9446292125093932E-2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3.7854170961561938E-3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1.3938489298445643E-2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2.8722963802016126E-7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8.1436557905965683E-4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17.664321009936639</v>
      </c>
      <c r="C14" s="21"/>
      <c r="D14" s="21">
        <f t="shared" ref="D14:M14" si="0">((D5)*10^9/3600)+D12</f>
        <v>57.051427693546088</v>
      </c>
      <c r="E14" s="21">
        <f t="shared" si="0"/>
        <v>95.133514572806376</v>
      </c>
      <c r="F14" s="21"/>
      <c r="G14" s="21">
        <f t="shared" si="0"/>
        <v>38222.464394446186</v>
      </c>
      <c r="H14" s="21">
        <f t="shared" si="0"/>
        <v>9571.9778472743037</v>
      </c>
      <c r="I14" s="21"/>
      <c r="J14" s="21"/>
      <c r="K14" s="21"/>
      <c r="L14" s="21"/>
      <c r="M14" s="21">
        <f t="shared" si="0"/>
        <v>2514.9684873382394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0.12579406548744315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2.2220667539151875</v>
      </c>
      <c r="C18" s="23"/>
      <c r="D18" s="23">
        <f t="shared" ref="D18:M18" si="1">D14*D16</f>
        <v>11.524388394096311</v>
      </c>
      <c r="E18" s="23">
        <f t="shared" si="1"/>
        <v>21.595307808027048</v>
      </c>
      <c r="F18" s="23"/>
      <c r="G18" s="23">
        <f t="shared" si="1"/>
        <v>10205.397993317132</v>
      </c>
      <c r="H18" s="23">
        <f t="shared" si="1"/>
        <v>2383.4224839713015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2.1639682666586228E-3</v>
      </c>
      <c r="H50" s="319">
        <f t="shared" si="2"/>
        <v>0</v>
      </c>
      <c r="I50" s="319">
        <f t="shared" si="2"/>
        <v>0</v>
      </c>
      <c r="J50" s="319">
        <f t="shared" si="2"/>
        <v>0</v>
      </c>
      <c r="K50" s="319">
        <f t="shared" si="2"/>
        <v>0</v>
      </c>
      <c r="L50" s="319">
        <f t="shared" si="2"/>
        <v>0</v>
      </c>
      <c r="M50" s="319">
        <f t="shared" si="2"/>
        <v>1.2289456049162297E-4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2.1639682666586228E-3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1.2289456049162297E-4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601.10229629406183</v>
      </c>
      <c r="H54" s="21">
        <f t="shared" si="3"/>
        <v>0</v>
      </c>
      <c r="I54" s="21">
        <f t="shared" si="3"/>
        <v>0</v>
      </c>
      <c r="J54" s="21">
        <f t="shared" si="3"/>
        <v>0</v>
      </c>
      <c r="K54" s="21">
        <f t="shared" si="3"/>
        <v>0</v>
      </c>
      <c r="L54" s="21">
        <f t="shared" si="3"/>
        <v>0</v>
      </c>
      <c r="M54" s="21">
        <f t="shared" si="3"/>
        <v>34.137377914339709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0.12579406548744315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160.49431311051453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17333.212582094595</v>
      </c>
      <c r="D10" s="979">
        <f ca="1">tertiair!C16</f>
        <v>0</v>
      </c>
      <c r="E10" s="979">
        <f ca="1">tertiair!D16</f>
        <v>8297.0620038465167</v>
      </c>
      <c r="F10" s="979">
        <f>tertiair!E16</f>
        <v>118.61640373343522</v>
      </c>
      <c r="G10" s="979">
        <f ca="1">tertiair!F16</f>
        <v>3772.5218238819562</v>
      </c>
      <c r="H10" s="979">
        <f>tertiair!G16</f>
        <v>0</v>
      </c>
      <c r="I10" s="979">
        <f>tertiair!H16</f>
        <v>0</v>
      </c>
      <c r="J10" s="979">
        <f>tertiair!I16</f>
        <v>0</v>
      </c>
      <c r="K10" s="979">
        <f>tertiair!J16</f>
        <v>0.22876992774070312</v>
      </c>
      <c r="L10" s="979">
        <f>tertiair!K16</f>
        <v>0</v>
      </c>
      <c r="M10" s="979">
        <f ca="1">tertiair!L16</f>
        <v>0</v>
      </c>
      <c r="N10" s="979">
        <f>tertiair!M16</f>
        <v>0</v>
      </c>
      <c r="O10" s="979">
        <f ca="1">tertiair!N16</f>
        <v>8981.8593902217981</v>
      </c>
      <c r="P10" s="979">
        <f>tertiair!O16</f>
        <v>1.5633333333333335</v>
      </c>
      <c r="Q10" s="980">
        <f>tertiair!P16</f>
        <v>38.133333333333333</v>
      </c>
      <c r="R10" s="674">
        <f ca="1">SUM(C10:Q10)</f>
        <v>38543.197640372709</v>
      </c>
      <c r="S10" s="67"/>
    </row>
    <row r="11" spans="1:19" s="447" customFormat="1">
      <c r="A11" s="783" t="s">
        <v>224</v>
      </c>
      <c r="B11" s="788"/>
      <c r="C11" s="979">
        <f>huishoudens!B8</f>
        <v>16832.907053626976</v>
      </c>
      <c r="D11" s="979">
        <f>huishoudens!C8</f>
        <v>0</v>
      </c>
      <c r="E11" s="979">
        <f>huishoudens!D8</f>
        <v>21599.629101092196</v>
      </c>
      <c r="F11" s="979">
        <f>huishoudens!E8</f>
        <v>32264.432951894632</v>
      </c>
      <c r="G11" s="979">
        <f>huishoudens!F8</f>
        <v>14839.470733395488</v>
      </c>
      <c r="H11" s="979">
        <f>huishoudens!G8</f>
        <v>0</v>
      </c>
      <c r="I11" s="979">
        <f>huishoudens!H8</f>
        <v>0</v>
      </c>
      <c r="J11" s="979">
        <f>huishoudens!I8</f>
        <v>0</v>
      </c>
      <c r="K11" s="979">
        <f>huishoudens!J8</f>
        <v>2527.1034551109096</v>
      </c>
      <c r="L11" s="979">
        <f>huishoudens!K8</f>
        <v>0</v>
      </c>
      <c r="M11" s="979">
        <f>huishoudens!L8</f>
        <v>0</v>
      </c>
      <c r="N11" s="979">
        <f>huishoudens!M8</f>
        <v>0</v>
      </c>
      <c r="O11" s="979">
        <f>huishoudens!N8</f>
        <v>17526.985173567198</v>
      </c>
      <c r="P11" s="979">
        <f>huishoudens!O8</f>
        <v>248.57000000000002</v>
      </c>
      <c r="Q11" s="980">
        <f>huishoudens!P8</f>
        <v>438.5333333333333</v>
      </c>
      <c r="R11" s="674">
        <f>SUM(C11:Q11)</f>
        <v>106277.63180202074</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4277.0125067350427</v>
      </c>
      <c r="D13" s="979">
        <f>industrie!C18</f>
        <v>0</v>
      </c>
      <c r="E13" s="979">
        <f>industrie!D18</f>
        <v>967.90038636503766</v>
      </c>
      <c r="F13" s="979">
        <f>industrie!E18</f>
        <v>937.21304976500301</v>
      </c>
      <c r="G13" s="979">
        <f>industrie!F18</f>
        <v>2638.8633726925077</v>
      </c>
      <c r="H13" s="979">
        <f>industrie!G18</f>
        <v>0</v>
      </c>
      <c r="I13" s="979">
        <f>industrie!H18</f>
        <v>0</v>
      </c>
      <c r="J13" s="979">
        <f>industrie!I18</f>
        <v>0</v>
      </c>
      <c r="K13" s="979">
        <f>industrie!J18</f>
        <v>3.4273311187611308</v>
      </c>
      <c r="L13" s="979">
        <f>industrie!K18</f>
        <v>0</v>
      </c>
      <c r="M13" s="979">
        <f>industrie!L18</f>
        <v>0</v>
      </c>
      <c r="N13" s="979">
        <f>industrie!M18</f>
        <v>0</v>
      </c>
      <c r="O13" s="979">
        <f>industrie!N18</f>
        <v>319.99044137041489</v>
      </c>
      <c r="P13" s="979">
        <f>industrie!O18</f>
        <v>0</v>
      </c>
      <c r="Q13" s="980">
        <f>industrie!P18</f>
        <v>0</v>
      </c>
      <c r="R13" s="674">
        <f>SUM(C13:Q13)</f>
        <v>9144.407088046768</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38443.132142456612</v>
      </c>
      <c r="D16" s="706">
        <f t="shared" ref="D16:R16" ca="1" si="0">SUM(D9:D15)</f>
        <v>0</v>
      </c>
      <c r="E16" s="706">
        <f t="shared" ca="1" si="0"/>
        <v>30864.591491303749</v>
      </c>
      <c r="F16" s="706">
        <f t="shared" si="0"/>
        <v>33320.26240539307</v>
      </c>
      <c r="G16" s="706">
        <f t="shared" ca="1" si="0"/>
        <v>21250.855929969952</v>
      </c>
      <c r="H16" s="706">
        <f t="shared" si="0"/>
        <v>0</v>
      </c>
      <c r="I16" s="706">
        <f t="shared" si="0"/>
        <v>0</v>
      </c>
      <c r="J16" s="706">
        <f t="shared" si="0"/>
        <v>0</v>
      </c>
      <c r="K16" s="706">
        <f t="shared" si="0"/>
        <v>2530.7595561574117</v>
      </c>
      <c r="L16" s="706">
        <f t="shared" si="0"/>
        <v>0</v>
      </c>
      <c r="M16" s="706">
        <f t="shared" ca="1" si="0"/>
        <v>0</v>
      </c>
      <c r="N16" s="706">
        <f t="shared" si="0"/>
        <v>0</v>
      </c>
      <c r="O16" s="706">
        <f t="shared" ca="1" si="0"/>
        <v>26828.83500515941</v>
      </c>
      <c r="P16" s="706">
        <f t="shared" si="0"/>
        <v>250.13333333333335</v>
      </c>
      <c r="Q16" s="706">
        <f t="shared" si="0"/>
        <v>476.66666666666663</v>
      </c>
      <c r="R16" s="706">
        <f t="shared" ca="1" si="0"/>
        <v>153965.23653044022</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601.10229629406183</v>
      </c>
      <c r="I19" s="979">
        <f>transport!H54</f>
        <v>0</v>
      </c>
      <c r="J19" s="979">
        <f>transport!I54</f>
        <v>0</v>
      </c>
      <c r="K19" s="979">
        <f>transport!J54</f>
        <v>0</v>
      </c>
      <c r="L19" s="979">
        <f>transport!K54</f>
        <v>0</v>
      </c>
      <c r="M19" s="979">
        <f>transport!L54</f>
        <v>0</v>
      </c>
      <c r="N19" s="979">
        <f>transport!M54</f>
        <v>34.137377914339709</v>
      </c>
      <c r="O19" s="979">
        <f>transport!N54</f>
        <v>0</v>
      </c>
      <c r="P19" s="979">
        <f>transport!O54</f>
        <v>0</v>
      </c>
      <c r="Q19" s="980">
        <f>transport!P54</f>
        <v>0</v>
      </c>
      <c r="R19" s="674">
        <f>SUM(C19:Q19)</f>
        <v>635.23967420840154</v>
      </c>
      <c r="S19" s="67"/>
    </row>
    <row r="20" spans="1:19" s="447" customFormat="1">
      <c r="A20" s="783" t="s">
        <v>306</v>
      </c>
      <c r="B20" s="788"/>
      <c r="C20" s="979">
        <f>transport!B14</f>
        <v>17.664321009936639</v>
      </c>
      <c r="D20" s="979">
        <f>transport!C14</f>
        <v>0</v>
      </c>
      <c r="E20" s="979">
        <f>transport!D14</f>
        <v>57.051427693546088</v>
      </c>
      <c r="F20" s="979">
        <f>transport!E14</f>
        <v>95.133514572806376</v>
      </c>
      <c r="G20" s="979">
        <f>transport!F14</f>
        <v>0</v>
      </c>
      <c r="H20" s="979">
        <f>transport!G14</f>
        <v>38222.464394446186</v>
      </c>
      <c r="I20" s="979">
        <f>transport!H14</f>
        <v>9571.9778472743037</v>
      </c>
      <c r="J20" s="979">
        <f>transport!I14</f>
        <v>0</v>
      </c>
      <c r="K20" s="979">
        <f>transport!J14</f>
        <v>0</v>
      </c>
      <c r="L20" s="979">
        <f>transport!K14</f>
        <v>0</v>
      </c>
      <c r="M20" s="979">
        <f>transport!L14</f>
        <v>0</v>
      </c>
      <c r="N20" s="979">
        <f>transport!M14</f>
        <v>2514.9684873382394</v>
      </c>
      <c r="O20" s="979">
        <f>transport!N14</f>
        <v>0</v>
      </c>
      <c r="P20" s="979">
        <f>transport!O14</f>
        <v>0</v>
      </c>
      <c r="Q20" s="980">
        <f>transport!P14</f>
        <v>0</v>
      </c>
      <c r="R20" s="674">
        <f>SUM(C20:Q20)</f>
        <v>50479.259992335021</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17.664321009936639</v>
      </c>
      <c r="D22" s="786">
        <f t="shared" ref="D22:R22" si="1">SUM(D18:D21)</f>
        <v>0</v>
      </c>
      <c r="E22" s="786">
        <f t="shared" si="1"/>
        <v>57.051427693546088</v>
      </c>
      <c r="F22" s="786">
        <f t="shared" si="1"/>
        <v>95.133514572806376</v>
      </c>
      <c r="G22" s="786">
        <f t="shared" si="1"/>
        <v>0</v>
      </c>
      <c r="H22" s="786">
        <f t="shared" si="1"/>
        <v>38823.566690740248</v>
      </c>
      <c r="I22" s="786">
        <f t="shared" si="1"/>
        <v>9571.9778472743037</v>
      </c>
      <c r="J22" s="786">
        <f t="shared" si="1"/>
        <v>0</v>
      </c>
      <c r="K22" s="786">
        <f t="shared" si="1"/>
        <v>0</v>
      </c>
      <c r="L22" s="786">
        <f t="shared" si="1"/>
        <v>0</v>
      </c>
      <c r="M22" s="786">
        <f t="shared" si="1"/>
        <v>0</v>
      </c>
      <c r="N22" s="786">
        <f t="shared" si="1"/>
        <v>2549.105865252579</v>
      </c>
      <c r="O22" s="786">
        <f t="shared" si="1"/>
        <v>0</v>
      </c>
      <c r="P22" s="786">
        <f t="shared" si="1"/>
        <v>0</v>
      </c>
      <c r="Q22" s="786">
        <f t="shared" si="1"/>
        <v>0</v>
      </c>
      <c r="R22" s="786">
        <f t="shared" si="1"/>
        <v>51114.499666543423</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4791.1065528715799</v>
      </c>
      <c r="D24" s="979">
        <f>+landbouw!C8</f>
        <v>18192.857142857145</v>
      </c>
      <c r="E24" s="979">
        <f>+landbouw!D8</f>
        <v>726.6694794919963</v>
      </c>
      <c r="F24" s="979">
        <f>+landbouw!E8</f>
        <v>140.8252553173551</v>
      </c>
      <c r="G24" s="979">
        <f>+landbouw!F8</f>
        <v>19959.491001453829</v>
      </c>
      <c r="H24" s="979">
        <f>+landbouw!G8</f>
        <v>0</v>
      </c>
      <c r="I24" s="979">
        <f>+landbouw!H8</f>
        <v>0</v>
      </c>
      <c r="J24" s="979">
        <f>+landbouw!I8</f>
        <v>0</v>
      </c>
      <c r="K24" s="979">
        <f>+landbouw!J8</f>
        <v>694.12844932009671</v>
      </c>
      <c r="L24" s="979">
        <f>+landbouw!K8</f>
        <v>0</v>
      </c>
      <c r="M24" s="979">
        <f>+landbouw!L8</f>
        <v>0</v>
      </c>
      <c r="N24" s="979">
        <f>+landbouw!M8</f>
        <v>0</v>
      </c>
      <c r="O24" s="979">
        <f>+landbouw!N8</f>
        <v>0</v>
      </c>
      <c r="P24" s="979">
        <f>+landbouw!O8</f>
        <v>0</v>
      </c>
      <c r="Q24" s="980">
        <f>+landbouw!P8</f>
        <v>0</v>
      </c>
      <c r="R24" s="674">
        <f>SUM(C24:Q24)</f>
        <v>44505.077881311998</v>
      </c>
      <c r="S24" s="67"/>
    </row>
    <row r="25" spans="1:19" s="447" customFormat="1" ht="15" thickBot="1">
      <c r="A25" s="805" t="s">
        <v>823</v>
      </c>
      <c r="B25" s="982"/>
      <c r="C25" s="983">
        <f>IF(Onbekend_ele_kWh="---",0,Onbekend_ele_kWh)/1000+IF(REST_rest_ele_kWh="---",0,REST_rest_ele_kWh)/1000</f>
        <v>485.07540702440002</v>
      </c>
      <c r="D25" s="983"/>
      <c r="E25" s="983">
        <f>IF(onbekend_gas_kWh="---",0,onbekend_gas_kWh)/1000+IF(REST_rest_gas_kWh="---",0,REST_rest_gas_kWh)/1000</f>
        <v>830.27679071698003</v>
      </c>
      <c r="F25" s="983"/>
      <c r="G25" s="983"/>
      <c r="H25" s="983"/>
      <c r="I25" s="983"/>
      <c r="J25" s="983"/>
      <c r="K25" s="983"/>
      <c r="L25" s="983"/>
      <c r="M25" s="983"/>
      <c r="N25" s="983"/>
      <c r="O25" s="983"/>
      <c r="P25" s="983"/>
      <c r="Q25" s="984"/>
      <c r="R25" s="674">
        <f>SUM(C25:Q25)</f>
        <v>1315.35219774138</v>
      </c>
      <c r="S25" s="67"/>
    </row>
    <row r="26" spans="1:19" s="447" customFormat="1" ht="15.75" thickBot="1">
      <c r="A26" s="679" t="s">
        <v>824</v>
      </c>
      <c r="B26" s="791"/>
      <c r="C26" s="786">
        <f>SUM(C24:C25)</f>
        <v>5276.1819598959801</v>
      </c>
      <c r="D26" s="786">
        <f t="shared" ref="D26:R26" si="2">SUM(D24:D25)</f>
        <v>18192.857142857145</v>
      </c>
      <c r="E26" s="786">
        <f t="shared" si="2"/>
        <v>1556.9462702089763</v>
      </c>
      <c r="F26" s="786">
        <f t="shared" si="2"/>
        <v>140.8252553173551</v>
      </c>
      <c r="G26" s="786">
        <f t="shared" si="2"/>
        <v>19959.491001453829</v>
      </c>
      <c r="H26" s="786">
        <f t="shared" si="2"/>
        <v>0</v>
      </c>
      <c r="I26" s="786">
        <f t="shared" si="2"/>
        <v>0</v>
      </c>
      <c r="J26" s="786">
        <f t="shared" si="2"/>
        <v>0</v>
      </c>
      <c r="K26" s="786">
        <f t="shared" si="2"/>
        <v>694.12844932009671</v>
      </c>
      <c r="L26" s="786">
        <f t="shared" si="2"/>
        <v>0</v>
      </c>
      <c r="M26" s="786">
        <f t="shared" si="2"/>
        <v>0</v>
      </c>
      <c r="N26" s="786">
        <f t="shared" si="2"/>
        <v>0</v>
      </c>
      <c r="O26" s="786">
        <f t="shared" si="2"/>
        <v>0</v>
      </c>
      <c r="P26" s="786">
        <f t="shared" si="2"/>
        <v>0</v>
      </c>
      <c r="Q26" s="786">
        <f t="shared" si="2"/>
        <v>0</v>
      </c>
      <c r="R26" s="786">
        <f t="shared" si="2"/>
        <v>45820.430079053374</v>
      </c>
      <c r="S26" s="67"/>
    </row>
    <row r="27" spans="1:19" s="447" customFormat="1" ht="17.25" thickTop="1" thickBot="1">
      <c r="A27" s="680" t="s">
        <v>115</v>
      </c>
      <c r="B27" s="779"/>
      <c r="C27" s="681">
        <f ca="1">C22+C16+C26</f>
        <v>43736.978423362525</v>
      </c>
      <c r="D27" s="681">
        <f t="shared" ref="D27:R27" ca="1" si="3">D22+D16+D26</f>
        <v>18192.857142857145</v>
      </c>
      <c r="E27" s="681">
        <f t="shared" ca="1" si="3"/>
        <v>32478.589189206272</v>
      </c>
      <c r="F27" s="681">
        <f t="shared" si="3"/>
        <v>33556.22117528323</v>
      </c>
      <c r="G27" s="681">
        <f t="shared" ca="1" si="3"/>
        <v>41210.346931423781</v>
      </c>
      <c r="H27" s="681">
        <f t="shared" si="3"/>
        <v>38823.566690740248</v>
      </c>
      <c r="I27" s="681">
        <f t="shared" si="3"/>
        <v>9571.9778472743037</v>
      </c>
      <c r="J27" s="681">
        <f t="shared" si="3"/>
        <v>0</v>
      </c>
      <c r="K27" s="681">
        <f t="shared" si="3"/>
        <v>3224.8880054775082</v>
      </c>
      <c r="L27" s="681">
        <f t="shared" si="3"/>
        <v>0</v>
      </c>
      <c r="M27" s="681">
        <f t="shared" ca="1" si="3"/>
        <v>0</v>
      </c>
      <c r="N27" s="681">
        <f t="shared" si="3"/>
        <v>2549.105865252579</v>
      </c>
      <c r="O27" s="681">
        <f t="shared" ca="1" si="3"/>
        <v>26828.83500515941</v>
      </c>
      <c r="P27" s="681">
        <f t="shared" si="3"/>
        <v>250.13333333333335</v>
      </c>
      <c r="Q27" s="681">
        <f t="shared" si="3"/>
        <v>476.66666666666663</v>
      </c>
      <c r="R27" s="681">
        <f t="shared" ca="1" si="3"/>
        <v>250900.16627603699</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2180.4152786597811</v>
      </c>
      <c r="D40" s="979">
        <f ca="1">tertiair!C20</f>
        <v>0</v>
      </c>
      <c r="E40" s="979">
        <f ca="1">tertiair!D20</f>
        <v>1676.0065247769965</v>
      </c>
      <c r="F40" s="979">
        <f>tertiair!E20</f>
        <v>26.925923647489796</v>
      </c>
      <c r="G40" s="979">
        <f ca="1">tertiair!F20</f>
        <v>1007.2633269764824</v>
      </c>
      <c r="H40" s="979">
        <f>tertiair!G20</f>
        <v>0</v>
      </c>
      <c r="I40" s="979">
        <f>tertiair!H20</f>
        <v>0</v>
      </c>
      <c r="J40" s="979">
        <f>tertiair!I20</f>
        <v>0</v>
      </c>
      <c r="K40" s="979">
        <f>tertiair!J20</f>
        <v>8.0984554420208896E-2</v>
      </c>
      <c r="L40" s="979">
        <f>tertiair!K20</f>
        <v>0</v>
      </c>
      <c r="M40" s="979">
        <f ca="1">tertiair!L20</f>
        <v>0</v>
      </c>
      <c r="N40" s="979">
        <f>tertiair!M20</f>
        <v>0</v>
      </c>
      <c r="O40" s="979">
        <f ca="1">tertiair!N20</f>
        <v>0</v>
      </c>
      <c r="P40" s="979">
        <f>tertiair!O20</f>
        <v>0</v>
      </c>
      <c r="Q40" s="748">
        <f>tertiair!P20</f>
        <v>0</v>
      </c>
      <c r="R40" s="824">
        <f t="shared" ca="1" si="4"/>
        <v>4890.6920386151696</v>
      </c>
    </row>
    <row r="41" spans="1:18">
      <c r="A41" s="796" t="s">
        <v>224</v>
      </c>
      <c r="B41" s="803"/>
      <c r="C41" s="979">
        <f ca="1">huishoudens!B12</f>
        <v>2117.4798122479956</v>
      </c>
      <c r="D41" s="979">
        <f ca="1">huishoudens!C12</f>
        <v>0</v>
      </c>
      <c r="E41" s="979">
        <f>huishoudens!D12</f>
        <v>4363.125078420624</v>
      </c>
      <c r="F41" s="979">
        <f>huishoudens!E12</f>
        <v>7324.026280080082</v>
      </c>
      <c r="G41" s="979">
        <f>huishoudens!F12</f>
        <v>3962.1386858165956</v>
      </c>
      <c r="H41" s="979">
        <f>huishoudens!G12</f>
        <v>0</v>
      </c>
      <c r="I41" s="979">
        <f>huishoudens!H12</f>
        <v>0</v>
      </c>
      <c r="J41" s="979">
        <f>huishoudens!I12</f>
        <v>0</v>
      </c>
      <c r="K41" s="979">
        <f>huishoudens!J12</f>
        <v>894.59462310926199</v>
      </c>
      <c r="L41" s="979">
        <f>huishoudens!K12</f>
        <v>0</v>
      </c>
      <c r="M41" s="979">
        <f>huishoudens!L12</f>
        <v>0</v>
      </c>
      <c r="N41" s="979">
        <f>huishoudens!M12</f>
        <v>0</v>
      </c>
      <c r="O41" s="979">
        <f>huishoudens!N12</f>
        <v>0</v>
      </c>
      <c r="P41" s="979">
        <f>huishoudens!O12</f>
        <v>0</v>
      </c>
      <c r="Q41" s="748">
        <f>huishoudens!P12</f>
        <v>0</v>
      </c>
      <c r="R41" s="824">
        <f t="shared" ca="1" si="4"/>
        <v>18661.364479674558</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538.02279136284142</v>
      </c>
      <c r="D43" s="979">
        <f ca="1">industrie!C22</f>
        <v>0</v>
      </c>
      <c r="E43" s="979">
        <f>industrie!D22</f>
        <v>195.51587804573762</v>
      </c>
      <c r="F43" s="979">
        <f>industrie!E22</f>
        <v>212.74736229665569</v>
      </c>
      <c r="G43" s="979">
        <f>industrie!F22</f>
        <v>704.57652050889965</v>
      </c>
      <c r="H43" s="979">
        <f>industrie!G22</f>
        <v>0</v>
      </c>
      <c r="I43" s="979">
        <f>industrie!H22</f>
        <v>0</v>
      </c>
      <c r="J43" s="979">
        <f>industrie!I22</f>
        <v>0</v>
      </c>
      <c r="K43" s="979">
        <f>industrie!J22</f>
        <v>1.2132752160414402</v>
      </c>
      <c r="L43" s="979">
        <f>industrie!K22</f>
        <v>0</v>
      </c>
      <c r="M43" s="979">
        <f>industrie!L22</f>
        <v>0</v>
      </c>
      <c r="N43" s="979">
        <f>industrie!M22</f>
        <v>0</v>
      </c>
      <c r="O43" s="979">
        <f>industrie!N22</f>
        <v>0</v>
      </c>
      <c r="P43" s="979">
        <f>industrie!O22</f>
        <v>0</v>
      </c>
      <c r="Q43" s="748">
        <f>industrie!P22</f>
        <v>0</v>
      </c>
      <c r="R43" s="823">
        <f t="shared" ca="1" si="4"/>
        <v>1652.0758274301759</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4835.9178822706181</v>
      </c>
      <c r="D46" s="706">
        <f t="shared" ref="D46:Q46" ca="1" si="5">SUM(D39:D45)</f>
        <v>0</v>
      </c>
      <c r="E46" s="706">
        <f t="shared" ca="1" si="5"/>
        <v>6234.647481243358</v>
      </c>
      <c r="F46" s="706">
        <f t="shared" si="5"/>
        <v>7563.6995660242274</v>
      </c>
      <c r="G46" s="706">
        <f t="shared" ca="1" si="5"/>
        <v>5673.9785333019772</v>
      </c>
      <c r="H46" s="706">
        <f t="shared" si="5"/>
        <v>0</v>
      </c>
      <c r="I46" s="706">
        <f t="shared" si="5"/>
        <v>0</v>
      </c>
      <c r="J46" s="706">
        <f t="shared" si="5"/>
        <v>0</v>
      </c>
      <c r="K46" s="706">
        <f t="shared" si="5"/>
        <v>895.88888287972361</v>
      </c>
      <c r="L46" s="706">
        <f t="shared" si="5"/>
        <v>0</v>
      </c>
      <c r="M46" s="706">
        <f t="shared" ca="1" si="5"/>
        <v>0</v>
      </c>
      <c r="N46" s="706">
        <f t="shared" si="5"/>
        <v>0</v>
      </c>
      <c r="O46" s="706">
        <f t="shared" ca="1" si="5"/>
        <v>0</v>
      </c>
      <c r="P46" s="706">
        <f t="shared" si="5"/>
        <v>0</v>
      </c>
      <c r="Q46" s="706">
        <f t="shared" si="5"/>
        <v>0</v>
      </c>
      <c r="R46" s="706">
        <f ca="1">SUM(R39:R45)</f>
        <v>25204.132345719903</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160.49431311051453</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160.49431311051453</v>
      </c>
    </row>
    <row r="50" spans="1:18">
      <c r="A50" s="799" t="s">
        <v>306</v>
      </c>
      <c r="B50" s="809"/>
      <c r="C50" s="677">
        <f ca="1">transport!B18</f>
        <v>2.2220667539151875</v>
      </c>
      <c r="D50" s="677">
        <f>transport!C18</f>
        <v>0</v>
      </c>
      <c r="E50" s="677">
        <f>transport!D18</f>
        <v>11.524388394096311</v>
      </c>
      <c r="F50" s="677">
        <f>transport!E18</f>
        <v>21.595307808027048</v>
      </c>
      <c r="G50" s="677">
        <f>transport!F18</f>
        <v>0</v>
      </c>
      <c r="H50" s="677">
        <f>transport!G18</f>
        <v>10205.397993317132</v>
      </c>
      <c r="I50" s="677">
        <f>transport!H18</f>
        <v>2383.4224839713015</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12624.162240244474</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2.2220667539151875</v>
      </c>
      <c r="D52" s="706">
        <f t="shared" ref="D52:Q52" ca="1" si="6">SUM(D48:D51)</f>
        <v>0</v>
      </c>
      <c r="E52" s="706">
        <f t="shared" si="6"/>
        <v>11.524388394096311</v>
      </c>
      <c r="F52" s="706">
        <f t="shared" si="6"/>
        <v>21.595307808027048</v>
      </c>
      <c r="G52" s="706">
        <f t="shared" si="6"/>
        <v>0</v>
      </c>
      <c r="H52" s="706">
        <f t="shared" si="6"/>
        <v>10365.892306427646</v>
      </c>
      <c r="I52" s="706">
        <f t="shared" si="6"/>
        <v>2383.4224839713015</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12784.656553354987</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602.69277146924549</v>
      </c>
      <c r="D54" s="677">
        <f ca="1">+landbouw!C12</f>
        <v>0</v>
      </c>
      <c r="E54" s="677">
        <f>+landbouw!D12</f>
        <v>146.78723485738325</v>
      </c>
      <c r="F54" s="677">
        <f>+landbouw!E12</f>
        <v>31.967332957039609</v>
      </c>
      <c r="G54" s="677">
        <f>+landbouw!F12</f>
        <v>5329.1840973881726</v>
      </c>
      <c r="H54" s="677">
        <f>+landbouw!G12</f>
        <v>0</v>
      </c>
      <c r="I54" s="677">
        <f>+landbouw!H12</f>
        <v>0</v>
      </c>
      <c r="J54" s="677">
        <f>+landbouw!I12</f>
        <v>0</v>
      </c>
      <c r="K54" s="677">
        <f>+landbouw!J12</f>
        <v>245.72147105931421</v>
      </c>
      <c r="L54" s="677">
        <f>+landbouw!K12</f>
        <v>0</v>
      </c>
      <c r="M54" s="677">
        <f>+landbouw!L12</f>
        <v>0</v>
      </c>
      <c r="N54" s="677">
        <f>+landbouw!M12</f>
        <v>0</v>
      </c>
      <c r="O54" s="677">
        <f>+landbouw!N12</f>
        <v>0</v>
      </c>
      <c r="P54" s="677">
        <f>+landbouw!O12</f>
        <v>0</v>
      </c>
      <c r="Q54" s="678">
        <f>+landbouw!P12</f>
        <v>0</v>
      </c>
      <c r="R54" s="705">
        <f ca="1">SUM(C54:Q54)</f>
        <v>6356.352907731155</v>
      </c>
    </row>
    <row r="55" spans="1:18" ht="15" thickBot="1">
      <c r="A55" s="799" t="s">
        <v>823</v>
      </c>
      <c r="B55" s="809"/>
      <c r="C55" s="677">
        <f ca="1">C25*'EF ele_warmte'!B12</f>
        <v>61.019607517575515</v>
      </c>
      <c r="D55" s="677"/>
      <c r="E55" s="677">
        <f>E25*EF_CO2_aardgas</f>
        <v>167.71591172482997</v>
      </c>
      <c r="F55" s="677"/>
      <c r="G55" s="677"/>
      <c r="H55" s="677"/>
      <c r="I55" s="677"/>
      <c r="J55" s="677"/>
      <c r="K55" s="677"/>
      <c r="L55" s="677"/>
      <c r="M55" s="677"/>
      <c r="N55" s="677"/>
      <c r="O55" s="677"/>
      <c r="P55" s="677"/>
      <c r="Q55" s="678"/>
      <c r="R55" s="705">
        <f ca="1">SUM(C55:Q55)</f>
        <v>228.73551924240547</v>
      </c>
    </row>
    <row r="56" spans="1:18" ht="15.75" thickBot="1">
      <c r="A56" s="797" t="s">
        <v>824</v>
      </c>
      <c r="B56" s="810"/>
      <c r="C56" s="706">
        <f ca="1">SUM(C54:C55)</f>
        <v>663.71237898682102</v>
      </c>
      <c r="D56" s="706">
        <f t="shared" ref="D56:Q56" ca="1" si="7">SUM(D54:D55)</f>
        <v>0</v>
      </c>
      <c r="E56" s="706">
        <f t="shared" si="7"/>
        <v>314.50314658221322</v>
      </c>
      <c r="F56" s="706">
        <f t="shared" si="7"/>
        <v>31.967332957039609</v>
      </c>
      <c r="G56" s="706">
        <f t="shared" si="7"/>
        <v>5329.1840973881726</v>
      </c>
      <c r="H56" s="706">
        <f t="shared" si="7"/>
        <v>0</v>
      </c>
      <c r="I56" s="706">
        <f t="shared" si="7"/>
        <v>0</v>
      </c>
      <c r="J56" s="706">
        <f t="shared" si="7"/>
        <v>0</v>
      </c>
      <c r="K56" s="706">
        <f t="shared" si="7"/>
        <v>245.72147105931421</v>
      </c>
      <c r="L56" s="706">
        <f t="shared" si="7"/>
        <v>0</v>
      </c>
      <c r="M56" s="706">
        <f t="shared" si="7"/>
        <v>0</v>
      </c>
      <c r="N56" s="706">
        <f t="shared" si="7"/>
        <v>0</v>
      </c>
      <c r="O56" s="706">
        <f t="shared" si="7"/>
        <v>0</v>
      </c>
      <c r="P56" s="706">
        <f t="shared" si="7"/>
        <v>0</v>
      </c>
      <c r="Q56" s="707">
        <f t="shared" si="7"/>
        <v>0</v>
      </c>
      <c r="R56" s="708">
        <f ca="1">SUM(R54:R55)</f>
        <v>6585.0884269735607</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5501.8523280113541</v>
      </c>
      <c r="D61" s="714">
        <f t="shared" ref="D61:Q61" ca="1" si="8">D46+D52+D56</f>
        <v>0</v>
      </c>
      <c r="E61" s="714">
        <f t="shared" ca="1" si="8"/>
        <v>6560.6750162196677</v>
      </c>
      <c r="F61" s="714">
        <f t="shared" si="8"/>
        <v>7617.2622067892944</v>
      </c>
      <c r="G61" s="714">
        <f t="shared" ca="1" si="8"/>
        <v>11003.162630690149</v>
      </c>
      <c r="H61" s="714">
        <f t="shared" si="8"/>
        <v>10365.892306427646</v>
      </c>
      <c r="I61" s="714">
        <f t="shared" si="8"/>
        <v>2383.4224839713015</v>
      </c>
      <c r="J61" s="714">
        <f t="shared" si="8"/>
        <v>0</v>
      </c>
      <c r="K61" s="714">
        <f t="shared" si="8"/>
        <v>1141.6103539390379</v>
      </c>
      <c r="L61" s="714">
        <f t="shared" si="8"/>
        <v>0</v>
      </c>
      <c r="M61" s="714">
        <f t="shared" ca="1" si="8"/>
        <v>0</v>
      </c>
      <c r="N61" s="714">
        <f t="shared" si="8"/>
        <v>0</v>
      </c>
      <c r="O61" s="714">
        <f t="shared" ca="1" si="8"/>
        <v>0</v>
      </c>
      <c r="P61" s="714">
        <f t="shared" si="8"/>
        <v>0</v>
      </c>
      <c r="Q61" s="714">
        <f t="shared" si="8"/>
        <v>0</v>
      </c>
      <c r="R61" s="714">
        <f ca="1">R46+R52+R56</f>
        <v>44573.877326048452</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0.12579406548744315</v>
      </c>
      <c r="D63" s="755">
        <f t="shared" ca="1" si="9"/>
        <v>0</v>
      </c>
      <c r="E63" s="990">
        <f t="shared" ca="1" si="9"/>
        <v>0.20200000000000001</v>
      </c>
      <c r="F63" s="755">
        <f t="shared" si="9"/>
        <v>0.22700000000000004</v>
      </c>
      <c r="G63" s="755">
        <f t="shared" ca="1" si="9"/>
        <v>0.26699999999999996</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6106.7190205962206</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12735</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14982.352941176472</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18841.719020596222</v>
      </c>
      <c r="C78" s="729">
        <f>SUM(C72:C77)</f>
        <v>0</v>
      </c>
      <c r="D78" s="730">
        <f t="shared" ref="D78:H78" si="10">SUM(D76:D77)</f>
        <v>0</v>
      </c>
      <c r="E78" s="730">
        <f t="shared" si="10"/>
        <v>0</v>
      </c>
      <c r="F78" s="730">
        <f t="shared" si="10"/>
        <v>0</v>
      </c>
      <c r="G78" s="730">
        <f t="shared" si="10"/>
        <v>0</v>
      </c>
      <c r="H78" s="730">
        <f t="shared" si="10"/>
        <v>0</v>
      </c>
      <c r="I78" s="730">
        <f>SUM(I76:I77)</f>
        <v>0</v>
      </c>
      <c r="J78" s="730">
        <f>SUM(J76:J77)</f>
        <v>14982.352941176472</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18192.857142857145</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21403.361344537818</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18192.857142857145</v>
      </c>
      <c r="C90" s="729">
        <f>SUM(C87:C89)</f>
        <v>0</v>
      </c>
      <c r="D90" s="729">
        <f t="shared" ref="D90:H90" si="12">SUM(D87:D89)</f>
        <v>0</v>
      </c>
      <c r="E90" s="729">
        <f t="shared" si="12"/>
        <v>0</v>
      </c>
      <c r="F90" s="729">
        <f t="shared" si="12"/>
        <v>0</v>
      </c>
      <c r="G90" s="729">
        <f t="shared" si="12"/>
        <v>0</v>
      </c>
      <c r="H90" s="729">
        <f t="shared" si="12"/>
        <v>0</v>
      </c>
      <c r="I90" s="729">
        <f>SUM(I87:I89)</f>
        <v>0</v>
      </c>
      <c r="J90" s="729">
        <f>SUM(J87:J89)</f>
        <v>21403.361344537818</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6106.7190205962206</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12735</v>
      </c>
      <c r="C8" s="544">
        <f>B48</f>
        <v>0</v>
      </c>
      <c r="D8" s="1010"/>
      <c r="E8" s="1010">
        <f>E48</f>
        <v>0</v>
      </c>
      <c r="F8" s="1011"/>
      <c r="G8" s="545"/>
      <c r="H8" s="1010">
        <f>I48</f>
        <v>0</v>
      </c>
      <c r="I8" s="1010">
        <f>G48+F48</f>
        <v>0</v>
      </c>
      <c r="J8" s="1010">
        <f>H48+D48+C48</f>
        <v>14982.352941176472</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18841.719020596222</v>
      </c>
      <c r="C10" s="557">
        <f t="shared" ref="C10:L10" si="0">SUM(C8:C9)</f>
        <v>0</v>
      </c>
      <c r="D10" s="557">
        <f t="shared" si="0"/>
        <v>0</v>
      </c>
      <c r="E10" s="557">
        <f t="shared" si="0"/>
        <v>0</v>
      </c>
      <c r="F10" s="557">
        <f t="shared" si="0"/>
        <v>0</v>
      </c>
      <c r="G10" s="557">
        <f t="shared" si="0"/>
        <v>0</v>
      </c>
      <c r="H10" s="557">
        <f t="shared" si="0"/>
        <v>0</v>
      </c>
      <c r="I10" s="557">
        <f t="shared" si="0"/>
        <v>0</v>
      </c>
      <c r="J10" s="557">
        <f t="shared" si="0"/>
        <v>14982.352941176472</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18192.857142857145</v>
      </c>
      <c r="C17" s="569">
        <f>B49</f>
        <v>0</v>
      </c>
      <c r="D17" s="570"/>
      <c r="E17" s="570">
        <f>E49</f>
        <v>0</v>
      </c>
      <c r="F17" s="1016"/>
      <c r="G17" s="571"/>
      <c r="H17" s="569">
        <f>I49</f>
        <v>0</v>
      </c>
      <c r="I17" s="570">
        <f>G49+F49</f>
        <v>0</v>
      </c>
      <c r="J17" s="570">
        <f>H49+D49+C49</f>
        <v>21403.361344537818</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18192.857142857145</v>
      </c>
      <c r="C20" s="556">
        <f>SUM(C17:C19)</f>
        <v>0</v>
      </c>
      <c r="D20" s="556">
        <f t="shared" ref="D20:L20" si="1">SUM(D17:D19)</f>
        <v>0</v>
      </c>
      <c r="E20" s="556">
        <f t="shared" si="1"/>
        <v>0</v>
      </c>
      <c r="F20" s="556">
        <f t="shared" si="1"/>
        <v>0</v>
      </c>
      <c r="G20" s="556">
        <f t="shared" si="1"/>
        <v>0</v>
      </c>
      <c r="H20" s="556">
        <f t="shared" si="1"/>
        <v>0</v>
      </c>
      <c r="I20" s="556">
        <f t="shared" si="1"/>
        <v>0</v>
      </c>
      <c r="J20" s="556">
        <f t="shared" si="1"/>
        <v>21403.361344537818</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32006</v>
      </c>
      <c r="C28" s="770">
        <v>8650</v>
      </c>
      <c r="D28" s="627" t="s">
        <v>887</v>
      </c>
      <c r="E28" s="626" t="s">
        <v>888</v>
      </c>
      <c r="F28" s="626" t="s">
        <v>889</v>
      </c>
      <c r="G28" s="626" t="s">
        <v>890</v>
      </c>
      <c r="H28" s="626" t="s">
        <v>891</v>
      </c>
      <c r="I28" s="626" t="s">
        <v>888</v>
      </c>
      <c r="J28" s="769">
        <v>40919</v>
      </c>
      <c r="K28" s="769">
        <v>40919</v>
      </c>
      <c r="L28" s="626" t="s">
        <v>892</v>
      </c>
      <c r="M28" s="626">
        <v>2830</v>
      </c>
      <c r="N28" s="626">
        <v>12735</v>
      </c>
      <c r="O28" s="626">
        <v>18192.857142857145</v>
      </c>
      <c r="P28" s="626">
        <v>0</v>
      </c>
      <c r="Q28" s="626">
        <v>36385.71428571429</v>
      </c>
      <c r="R28" s="626">
        <v>0</v>
      </c>
      <c r="S28" s="626">
        <v>0</v>
      </c>
      <c r="T28" s="626">
        <v>0</v>
      </c>
      <c r="U28" s="626">
        <v>0</v>
      </c>
      <c r="V28" s="626">
        <v>0</v>
      </c>
      <c r="W28" s="626">
        <v>0</v>
      </c>
      <c r="X28" s="626">
        <v>10</v>
      </c>
      <c r="Y28" s="626" t="s">
        <v>111</v>
      </c>
      <c r="Z28" s="628" t="s">
        <v>111</v>
      </c>
    </row>
    <row r="29" spans="1:26" s="564" customFormat="1">
      <c r="A29" s="582" t="s">
        <v>279</v>
      </c>
      <c r="B29" s="583"/>
      <c r="C29" s="583"/>
      <c r="D29" s="583"/>
      <c r="E29" s="583"/>
      <c r="F29" s="583"/>
      <c r="G29" s="583"/>
      <c r="H29" s="583"/>
      <c r="I29" s="583"/>
      <c r="J29" s="583"/>
      <c r="K29" s="583"/>
      <c r="L29" s="584"/>
      <c r="M29" s="584">
        <f>SUM(M28:M28)</f>
        <v>2830</v>
      </c>
      <c r="N29" s="584">
        <f>SUM(N28:N28)</f>
        <v>12735</v>
      </c>
      <c r="O29" s="584">
        <f>SUM(O28:O28)</f>
        <v>18192.857142857145</v>
      </c>
      <c r="P29" s="584">
        <f>SUM(P28:P28)</f>
        <v>0</v>
      </c>
      <c r="Q29" s="584">
        <f>SUM(Q28:Q28)</f>
        <v>36385.71428571429</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2830</v>
      </c>
      <c r="N32" s="589">
        <f>SUMIF($Z$28:$Z$28,"landbouw",N28:N28)</f>
        <v>12735</v>
      </c>
      <c r="O32" s="589">
        <f>SUMIF($Z$28:$Z$28,"landbouw",O28:O28)</f>
        <v>18192.857142857145</v>
      </c>
      <c r="P32" s="589">
        <f>SUMIF($Z$28:$Z$28,"landbouw",P28:P28)</f>
        <v>0</v>
      </c>
      <c r="Q32" s="589">
        <f>SUMIF($Z$28:$Z$28,"landbouw",Q28:Q28)</f>
        <v>36385.71428571429</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0.41176470588235292</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14982.352941176472</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21403.361344537818</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16832.907053626976</v>
      </c>
      <c r="C4" s="451">
        <f>huishoudens!C8</f>
        <v>0</v>
      </c>
      <c r="D4" s="451">
        <f>huishoudens!D8</f>
        <v>21599.629101092196</v>
      </c>
      <c r="E4" s="451">
        <f>huishoudens!E8</f>
        <v>32264.432951894632</v>
      </c>
      <c r="F4" s="451">
        <f>huishoudens!F8</f>
        <v>14839.470733395488</v>
      </c>
      <c r="G4" s="451">
        <f>huishoudens!G8</f>
        <v>0</v>
      </c>
      <c r="H4" s="451">
        <f>huishoudens!H8</f>
        <v>0</v>
      </c>
      <c r="I4" s="451">
        <f>huishoudens!I8</f>
        <v>0</v>
      </c>
      <c r="J4" s="451">
        <f>huishoudens!J8</f>
        <v>2527.1034551109096</v>
      </c>
      <c r="K4" s="451">
        <f>huishoudens!K8</f>
        <v>0</v>
      </c>
      <c r="L4" s="451">
        <f>huishoudens!L8</f>
        <v>0</v>
      </c>
      <c r="M4" s="451">
        <f>huishoudens!M8</f>
        <v>0</v>
      </c>
      <c r="N4" s="451">
        <f>huishoudens!N8</f>
        <v>17526.985173567198</v>
      </c>
      <c r="O4" s="451">
        <f>huishoudens!O8</f>
        <v>248.57000000000002</v>
      </c>
      <c r="P4" s="452">
        <f>huishoudens!P8</f>
        <v>438.5333333333333</v>
      </c>
      <c r="Q4" s="453">
        <f>SUM(B4:P4)</f>
        <v>106277.63180202074</v>
      </c>
    </row>
    <row r="5" spans="1:17">
      <c r="A5" s="450" t="s">
        <v>155</v>
      </c>
      <c r="B5" s="451">
        <f ca="1">tertiair!B16</f>
        <v>16680.035582094595</v>
      </c>
      <c r="C5" s="451">
        <f ca="1">tertiair!C16</f>
        <v>0</v>
      </c>
      <c r="D5" s="451">
        <f ca="1">tertiair!D16</f>
        <v>8297.0620038465167</v>
      </c>
      <c r="E5" s="451">
        <f>tertiair!E16</f>
        <v>118.61640373343522</v>
      </c>
      <c r="F5" s="451">
        <f ca="1">tertiair!F16</f>
        <v>3772.5218238819562</v>
      </c>
      <c r="G5" s="451">
        <f>tertiair!G16</f>
        <v>0</v>
      </c>
      <c r="H5" s="451">
        <f>tertiair!H16</f>
        <v>0</v>
      </c>
      <c r="I5" s="451">
        <f>tertiair!I16</f>
        <v>0</v>
      </c>
      <c r="J5" s="451">
        <f>tertiair!J16</f>
        <v>0.22876992774070312</v>
      </c>
      <c r="K5" s="451">
        <f>tertiair!K16</f>
        <v>0</v>
      </c>
      <c r="L5" s="451">
        <f ca="1">tertiair!L16</f>
        <v>0</v>
      </c>
      <c r="M5" s="451">
        <f>tertiair!M16</f>
        <v>0</v>
      </c>
      <c r="N5" s="451">
        <f ca="1">tertiair!N16</f>
        <v>8981.8593902217981</v>
      </c>
      <c r="O5" s="451">
        <f>tertiair!O16</f>
        <v>1.5633333333333335</v>
      </c>
      <c r="P5" s="452">
        <f>tertiair!P16</f>
        <v>38.133333333333333</v>
      </c>
      <c r="Q5" s="450">
        <f t="shared" ref="Q5:Q14" ca="1" si="0">SUM(B5:P5)</f>
        <v>37890.020640372699</v>
      </c>
    </row>
    <row r="6" spans="1:17">
      <c r="A6" s="450" t="s">
        <v>193</v>
      </c>
      <c r="B6" s="451">
        <f>'openbare verlichting'!B8</f>
        <v>653.17700000000002</v>
      </c>
      <c r="C6" s="451"/>
      <c r="D6" s="451"/>
      <c r="E6" s="451"/>
      <c r="F6" s="451"/>
      <c r="G6" s="451"/>
      <c r="H6" s="451"/>
      <c r="I6" s="451"/>
      <c r="J6" s="451"/>
      <c r="K6" s="451"/>
      <c r="L6" s="451"/>
      <c r="M6" s="451"/>
      <c r="N6" s="451"/>
      <c r="O6" s="451"/>
      <c r="P6" s="452"/>
      <c r="Q6" s="450">
        <f t="shared" si="0"/>
        <v>653.17700000000002</v>
      </c>
    </row>
    <row r="7" spans="1:17">
      <c r="A7" s="450" t="s">
        <v>111</v>
      </c>
      <c r="B7" s="451">
        <f>landbouw!B8</f>
        <v>4791.1065528715799</v>
      </c>
      <c r="C7" s="451">
        <f>landbouw!C8</f>
        <v>18192.857142857145</v>
      </c>
      <c r="D7" s="451">
        <f>landbouw!D8</f>
        <v>726.6694794919963</v>
      </c>
      <c r="E7" s="451">
        <f>landbouw!E8</f>
        <v>140.8252553173551</v>
      </c>
      <c r="F7" s="451">
        <f>landbouw!F8</f>
        <v>19959.491001453829</v>
      </c>
      <c r="G7" s="451">
        <f>landbouw!G8</f>
        <v>0</v>
      </c>
      <c r="H7" s="451">
        <f>landbouw!H8</f>
        <v>0</v>
      </c>
      <c r="I7" s="451">
        <f>landbouw!I8</f>
        <v>0</v>
      </c>
      <c r="J7" s="451">
        <f>landbouw!J8</f>
        <v>694.12844932009671</v>
      </c>
      <c r="K7" s="451">
        <f>landbouw!K8</f>
        <v>0</v>
      </c>
      <c r="L7" s="451">
        <f>landbouw!L8</f>
        <v>0</v>
      </c>
      <c r="M7" s="451">
        <f>landbouw!M8</f>
        <v>0</v>
      </c>
      <c r="N7" s="451">
        <f>landbouw!N8</f>
        <v>0</v>
      </c>
      <c r="O7" s="451">
        <f>landbouw!O8</f>
        <v>0</v>
      </c>
      <c r="P7" s="452">
        <f>landbouw!P8</f>
        <v>0</v>
      </c>
      <c r="Q7" s="450">
        <f t="shared" si="0"/>
        <v>44505.077881311998</v>
      </c>
    </row>
    <row r="8" spans="1:17">
      <c r="A8" s="450" t="s">
        <v>634</v>
      </c>
      <c r="B8" s="451">
        <f>industrie!B18</f>
        <v>4277.0125067350427</v>
      </c>
      <c r="C8" s="451">
        <f>industrie!C18</f>
        <v>0</v>
      </c>
      <c r="D8" s="451">
        <f>industrie!D18</f>
        <v>967.90038636503766</v>
      </c>
      <c r="E8" s="451">
        <f>industrie!E18</f>
        <v>937.21304976500301</v>
      </c>
      <c r="F8" s="451">
        <f>industrie!F18</f>
        <v>2638.8633726925077</v>
      </c>
      <c r="G8" s="451">
        <f>industrie!G18</f>
        <v>0</v>
      </c>
      <c r="H8" s="451">
        <f>industrie!H18</f>
        <v>0</v>
      </c>
      <c r="I8" s="451">
        <f>industrie!I18</f>
        <v>0</v>
      </c>
      <c r="J8" s="451">
        <f>industrie!J18</f>
        <v>3.4273311187611308</v>
      </c>
      <c r="K8" s="451">
        <f>industrie!K18</f>
        <v>0</v>
      </c>
      <c r="L8" s="451">
        <f>industrie!L18</f>
        <v>0</v>
      </c>
      <c r="M8" s="451">
        <f>industrie!M18</f>
        <v>0</v>
      </c>
      <c r="N8" s="451">
        <f>industrie!N18</f>
        <v>319.99044137041489</v>
      </c>
      <c r="O8" s="451">
        <f>industrie!O18</f>
        <v>0</v>
      </c>
      <c r="P8" s="452">
        <f>industrie!P18</f>
        <v>0</v>
      </c>
      <c r="Q8" s="450">
        <f t="shared" si="0"/>
        <v>9144.407088046768</v>
      </c>
    </row>
    <row r="9" spans="1:17" s="456" customFormat="1">
      <c r="A9" s="454" t="s">
        <v>560</v>
      </c>
      <c r="B9" s="455">
        <f>transport!B14</f>
        <v>17.664321009936639</v>
      </c>
      <c r="C9" s="455">
        <f>transport!C14</f>
        <v>0</v>
      </c>
      <c r="D9" s="455">
        <f>transport!D14</f>
        <v>57.051427693546088</v>
      </c>
      <c r="E9" s="455">
        <f>transport!E14</f>
        <v>95.133514572806376</v>
      </c>
      <c r="F9" s="455">
        <f>transport!F14</f>
        <v>0</v>
      </c>
      <c r="G9" s="455">
        <f>transport!G14</f>
        <v>38222.464394446186</v>
      </c>
      <c r="H9" s="455">
        <f>transport!H14</f>
        <v>9571.9778472743037</v>
      </c>
      <c r="I9" s="455">
        <f>transport!I14</f>
        <v>0</v>
      </c>
      <c r="J9" s="455">
        <f>transport!J14</f>
        <v>0</v>
      </c>
      <c r="K9" s="455">
        <f>transport!K14</f>
        <v>0</v>
      </c>
      <c r="L9" s="455">
        <f>transport!L14</f>
        <v>0</v>
      </c>
      <c r="M9" s="455">
        <f>transport!M14</f>
        <v>2514.9684873382394</v>
      </c>
      <c r="N9" s="455">
        <f>transport!N14</f>
        <v>0</v>
      </c>
      <c r="O9" s="455">
        <f>transport!O14</f>
        <v>0</v>
      </c>
      <c r="P9" s="455">
        <f>transport!P14</f>
        <v>0</v>
      </c>
      <c r="Q9" s="454">
        <f>SUM(B9:P9)</f>
        <v>50479.259992335021</v>
      </c>
    </row>
    <row r="10" spans="1:17">
      <c r="A10" s="450" t="s">
        <v>550</v>
      </c>
      <c r="B10" s="451">
        <f>transport!B54</f>
        <v>0</v>
      </c>
      <c r="C10" s="451">
        <f>transport!C54</f>
        <v>0</v>
      </c>
      <c r="D10" s="451">
        <f>transport!D54</f>
        <v>0</v>
      </c>
      <c r="E10" s="451">
        <f>transport!E54</f>
        <v>0</v>
      </c>
      <c r="F10" s="451">
        <f>transport!F54</f>
        <v>0</v>
      </c>
      <c r="G10" s="451">
        <f>transport!G54</f>
        <v>601.10229629406183</v>
      </c>
      <c r="H10" s="451">
        <f>transport!H54</f>
        <v>0</v>
      </c>
      <c r="I10" s="451">
        <f>transport!I54</f>
        <v>0</v>
      </c>
      <c r="J10" s="451">
        <f>transport!J54</f>
        <v>0</v>
      </c>
      <c r="K10" s="451">
        <f>transport!K54</f>
        <v>0</v>
      </c>
      <c r="L10" s="451">
        <f>transport!L54</f>
        <v>0</v>
      </c>
      <c r="M10" s="451">
        <f>transport!M54</f>
        <v>34.137377914339709</v>
      </c>
      <c r="N10" s="451">
        <f>transport!N54</f>
        <v>0</v>
      </c>
      <c r="O10" s="451">
        <f>transport!O54</f>
        <v>0</v>
      </c>
      <c r="P10" s="452">
        <f>transport!P54</f>
        <v>0</v>
      </c>
      <c r="Q10" s="450">
        <f t="shared" si="0"/>
        <v>635.23967420840154</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485.07540702440002</v>
      </c>
      <c r="C14" s="458"/>
      <c r="D14" s="458">
        <f>'SEAP template'!E25</f>
        <v>830.27679071698003</v>
      </c>
      <c r="E14" s="458"/>
      <c r="F14" s="458"/>
      <c r="G14" s="458"/>
      <c r="H14" s="458"/>
      <c r="I14" s="458"/>
      <c r="J14" s="458"/>
      <c r="K14" s="458"/>
      <c r="L14" s="458"/>
      <c r="M14" s="458"/>
      <c r="N14" s="458"/>
      <c r="O14" s="458"/>
      <c r="P14" s="459"/>
      <c r="Q14" s="450">
        <f t="shared" si="0"/>
        <v>1315.35219774138</v>
      </c>
    </row>
    <row r="15" spans="1:17" s="460" customFormat="1">
      <c r="A15" s="1005" t="s">
        <v>554</v>
      </c>
      <c r="B15" s="953">
        <f ca="1">SUM(B4:B14)</f>
        <v>43736.978423362532</v>
      </c>
      <c r="C15" s="953">
        <f t="shared" ref="C15:Q15" ca="1" si="1">SUM(C4:C14)</f>
        <v>18192.857142857145</v>
      </c>
      <c r="D15" s="953">
        <f t="shared" ca="1" si="1"/>
        <v>32478.589189206272</v>
      </c>
      <c r="E15" s="953">
        <f t="shared" si="1"/>
        <v>33556.22117528323</v>
      </c>
      <c r="F15" s="953">
        <f t="shared" ca="1" si="1"/>
        <v>41210.346931423781</v>
      </c>
      <c r="G15" s="953">
        <f t="shared" si="1"/>
        <v>38823.566690740248</v>
      </c>
      <c r="H15" s="953">
        <f t="shared" si="1"/>
        <v>9571.9778472743037</v>
      </c>
      <c r="I15" s="953">
        <f t="shared" si="1"/>
        <v>0</v>
      </c>
      <c r="J15" s="953">
        <f t="shared" si="1"/>
        <v>3224.8880054775086</v>
      </c>
      <c r="K15" s="953">
        <f t="shared" si="1"/>
        <v>0</v>
      </c>
      <c r="L15" s="953">
        <f t="shared" ca="1" si="1"/>
        <v>0</v>
      </c>
      <c r="M15" s="953">
        <f t="shared" si="1"/>
        <v>2549.105865252579</v>
      </c>
      <c r="N15" s="953">
        <f t="shared" ca="1" si="1"/>
        <v>26828.83500515941</v>
      </c>
      <c r="O15" s="953">
        <f t="shared" si="1"/>
        <v>250.13333333333335</v>
      </c>
      <c r="P15" s="953">
        <f t="shared" si="1"/>
        <v>476.66666666666663</v>
      </c>
      <c r="Q15" s="953">
        <f t="shared" ca="1" si="1"/>
        <v>250900.16627603702</v>
      </c>
    </row>
    <row r="17" spans="1:17">
      <c r="A17" s="461" t="s">
        <v>555</v>
      </c>
      <c r="B17" s="760">
        <f ca="1">huishoudens!B10</f>
        <v>0.12579406548744315</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2117.4798122479956</v>
      </c>
      <c r="C22" s="451">
        <f t="shared" ref="C22:C32" ca="1" si="3">C4*$C$17</f>
        <v>0</v>
      </c>
      <c r="D22" s="451">
        <f t="shared" ref="D22:D32" si="4">D4*$D$17</f>
        <v>4363.125078420624</v>
      </c>
      <c r="E22" s="451">
        <f t="shared" ref="E22:E32" si="5">E4*$E$17</f>
        <v>7324.026280080082</v>
      </c>
      <c r="F22" s="451">
        <f t="shared" ref="F22:F32" si="6">F4*$F$17</f>
        <v>3962.1386858165956</v>
      </c>
      <c r="G22" s="451">
        <f t="shared" ref="G22:G32" si="7">G4*$G$17</f>
        <v>0</v>
      </c>
      <c r="H22" s="451">
        <f t="shared" ref="H22:H32" si="8">H4*$H$17</f>
        <v>0</v>
      </c>
      <c r="I22" s="451">
        <f t="shared" ref="I22:I32" si="9">I4*$I$17</f>
        <v>0</v>
      </c>
      <c r="J22" s="451">
        <f t="shared" ref="J22:J32" si="10">J4*$J$17</f>
        <v>894.59462310926199</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18661.364479674558</v>
      </c>
    </row>
    <row r="23" spans="1:17">
      <c r="A23" s="450" t="s">
        <v>155</v>
      </c>
      <c r="B23" s="451">
        <f t="shared" ca="1" si="2"/>
        <v>2098.2494883468894</v>
      </c>
      <c r="C23" s="451">
        <f t="shared" ca="1" si="3"/>
        <v>0</v>
      </c>
      <c r="D23" s="451">
        <f t="shared" ca="1" si="4"/>
        <v>1676.0065247769965</v>
      </c>
      <c r="E23" s="451">
        <f t="shared" si="5"/>
        <v>26.925923647489796</v>
      </c>
      <c r="F23" s="451">
        <f t="shared" ca="1" si="6"/>
        <v>1007.2633269764824</v>
      </c>
      <c r="G23" s="451">
        <f t="shared" si="7"/>
        <v>0</v>
      </c>
      <c r="H23" s="451">
        <f t="shared" si="8"/>
        <v>0</v>
      </c>
      <c r="I23" s="451">
        <f t="shared" si="9"/>
        <v>0</v>
      </c>
      <c r="J23" s="451">
        <f t="shared" si="10"/>
        <v>8.0984554420208896E-2</v>
      </c>
      <c r="K23" s="451">
        <f t="shared" si="11"/>
        <v>0</v>
      </c>
      <c r="L23" s="451">
        <f t="shared" ca="1" si="12"/>
        <v>0</v>
      </c>
      <c r="M23" s="451">
        <f t="shared" si="13"/>
        <v>0</v>
      </c>
      <c r="N23" s="451">
        <f t="shared" ca="1" si="14"/>
        <v>0</v>
      </c>
      <c r="O23" s="451">
        <f t="shared" si="15"/>
        <v>0</v>
      </c>
      <c r="P23" s="452">
        <f t="shared" si="16"/>
        <v>0</v>
      </c>
      <c r="Q23" s="450">
        <f t="shared" ref="Q23:Q32" ca="1" si="17">SUM(B23:P23)</f>
        <v>4808.5262483022789</v>
      </c>
    </row>
    <row r="24" spans="1:17">
      <c r="A24" s="450" t="s">
        <v>193</v>
      </c>
      <c r="B24" s="451">
        <f t="shared" ca="1" si="2"/>
        <v>82.165790312891659</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82.165790312891659</v>
      </c>
    </row>
    <row r="25" spans="1:17">
      <c r="A25" s="450" t="s">
        <v>111</v>
      </c>
      <c r="B25" s="451">
        <f t="shared" ca="1" si="2"/>
        <v>602.69277146924549</v>
      </c>
      <c r="C25" s="451">
        <f t="shared" ca="1" si="3"/>
        <v>0</v>
      </c>
      <c r="D25" s="451">
        <f t="shared" si="4"/>
        <v>146.78723485738325</v>
      </c>
      <c r="E25" s="451">
        <f t="shared" si="5"/>
        <v>31.967332957039609</v>
      </c>
      <c r="F25" s="451">
        <f t="shared" si="6"/>
        <v>5329.1840973881726</v>
      </c>
      <c r="G25" s="451">
        <f t="shared" si="7"/>
        <v>0</v>
      </c>
      <c r="H25" s="451">
        <f t="shared" si="8"/>
        <v>0</v>
      </c>
      <c r="I25" s="451">
        <f t="shared" si="9"/>
        <v>0</v>
      </c>
      <c r="J25" s="451">
        <f t="shared" si="10"/>
        <v>245.72147105931421</v>
      </c>
      <c r="K25" s="451">
        <f t="shared" si="11"/>
        <v>0</v>
      </c>
      <c r="L25" s="451">
        <f t="shared" si="12"/>
        <v>0</v>
      </c>
      <c r="M25" s="451">
        <f t="shared" si="13"/>
        <v>0</v>
      </c>
      <c r="N25" s="451">
        <f t="shared" si="14"/>
        <v>0</v>
      </c>
      <c r="O25" s="451">
        <f t="shared" si="15"/>
        <v>0</v>
      </c>
      <c r="P25" s="452">
        <f t="shared" si="16"/>
        <v>0</v>
      </c>
      <c r="Q25" s="450">
        <f t="shared" ca="1" si="17"/>
        <v>6356.352907731155</v>
      </c>
    </row>
    <row r="26" spans="1:17">
      <c r="A26" s="450" t="s">
        <v>634</v>
      </c>
      <c r="B26" s="451">
        <f t="shared" ca="1" si="2"/>
        <v>538.02279136284142</v>
      </c>
      <c r="C26" s="451">
        <f t="shared" ca="1" si="3"/>
        <v>0</v>
      </c>
      <c r="D26" s="451">
        <f t="shared" si="4"/>
        <v>195.51587804573762</v>
      </c>
      <c r="E26" s="451">
        <f t="shared" si="5"/>
        <v>212.74736229665569</v>
      </c>
      <c r="F26" s="451">
        <f t="shared" si="6"/>
        <v>704.57652050889965</v>
      </c>
      <c r="G26" s="451">
        <f t="shared" si="7"/>
        <v>0</v>
      </c>
      <c r="H26" s="451">
        <f t="shared" si="8"/>
        <v>0</v>
      </c>
      <c r="I26" s="451">
        <f t="shared" si="9"/>
        <v>0</v>
      </c>
      <c r="J26" s="451">
        <f t="shared" si="10"/>
        <v>1.2132752160414402</v>
      </c>
      <c r="K26" s="451">
        <f t="shared" si="11"/>
        <v>0</v>
      </c>
      <c r="L26" s="451">
        <f t="shared" si="12"/>
        <v>0</v>
      </c>
      <c r="M26" s="451">
        <f t="shared" si="13"/>
        <v>0</v>
      </c>
      <c r="N26" s="451">
        <f t="shared" si="14"/>
        <v>0</v>
      </c>
      <c r="O26" s="451">
        <f t="shared" si="15"/>
        <v>0</v>
      </c>
      <c r="P26" s="452">
        <f t="shared" si="16"/>
        <v>0</v>
      </c>
      <c r="Q26" s="450">
        <f t="shared" ca="1" si="17"/>
        <v>1652.0758274301759</v>
      </c>
    </row>
    <row r="27" spans="1:17" s="456" customFormat="1">
      <c r="A27" s="454" t="s">
        <v>560</v>
      </c>
      <c r="B27" s="754">
        <f t="shared" ca="1" si="2"/>
        <v>2.2220667539151875</v>
      </c>
      <c r="C27" s="455">
        <f t="shared" ca="1" si="3"/>
        <v>0</v>
      </c>
      <c r="D27" s="455">
        <f t="shared" si="4"/>
        <v>11.524388394096311</v>
      </c>
      <c r="E27" s="455">
        <f t="shared" si="5"/>
        <v>21.595307808027048</v>
      </c>
      <c r="F27" s="455">
        <f t="shared" si="6"/>
        <v>0</v>
      </c>
      <c r="G27" s="455">
        <f t="shared" si="7"/>
        <v>10205.397993317132</v>
      </c>
      <c r="H27" s="455">
        <f t="shared" si="8"/>
        <v>2383.4224839713015</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12624.162240244474</v>
      </c>
    </row>
    <row r="28" spans="1:17">
      <c r="A28" s="450" t="s">
        <v>550</v>
      </c>
      <c r="B28" s="451">
        <f t="shared" ca="1" si="2"/>
        <v>0</v>
      </c>
      <c r="C28" s="451">
        <f t="shared" ca="1" si="3"/>
        <v>0</v>
      </c>
      <c r="D28" s="451">
        <f t="shared" si="4"/>
        <v>0</v>
      </c>
      <c r="E28" s="451">
        <f t="shared" si="5"/>
        <v>0</v>
      </c>
      <c r="F28" s="451">
        <f t="shared" si="6"/>
        <v>0</v>
      </c>
      <c r="G28" s="451">
        <f t="shared" si="7"/>
        <v>160.49431311051453</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160.49431311051453</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61.019607517575515</v>
      </c>
      <c r="C32" s="451">
        <f t="shared" ca="1" si="3"/>
        <v>0</v>
      </c>
      <c r="D32" s="451">
        <f t="shared" si="4"/>
        <v>167.71591172482997</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228.73551924240547</v>
      </c>
    </row>
    <row r="33" spans="1:17" s="460" customFormat="1">
      <c r="A33" s="1005" t="s">
        <v>554</v>
      </c>
      <c r="B33" s="953">
        <f ca="1">SUM(B22:B32)</f>
        <v>5501.8523280113541</v>
      </c>
      <c r="C33" s="953">
        <f t="shared" ref="C33:Q33" ca="1" si="18">SUM(C22:C32)</f>
        <v>0</v>
      </c>
      <c r="D33" s="953">
        <f t="shared" ca="1" si="18"/>
        <v>6560.6750162196677</v>
      </c>
      <c r="E33" s="953">
        <f t="shared" si="18"/>
        <v>7617.2622067892944</v>
      </c>
      <c r="F33" s="953">
        <f t="shared" ca="1" si="18"/>
        <v>11003.162630690151</v>
      </c>
      <c r="G33" s="953">
        <f t="shared" si="18"/>
        <v>10365.892306427646</v>
      </c>
      <c r="H33" s="953">
        <f t="shared" si="18"/>
        <v>2383.4224839713015</v>
      </c>
      <c r="I33" s="953">
        <f t="shared" si="18"/>
        <v>0</v>
      </c>
      <c r="J33" s="953">
        <f t="shared" si="18"/>
        <v>1141.6103539390379</v>
      </c>
      <c r="K33" s="953">
        <f t="shared" si="18"/>
        <v>0</v>
      </c>
      <c r="L33" s="953">
        <f t="shared" ca="1" si="18"/>
        <v>0</v>
      </c>
      <c r="M33" s="953">
        <f t="shared" si="18"/>
        <v>0</v>
      </c>
      <c r="N33" s="953">
        <f t="shared" ca="1" si="18"/>
        <v>0</v>
      </c>
      <c r="O33" s="953">
        <f t="shared" si="18"/>
        <v>0</v>
      </c>
      <c r="P33" s="953">
        <f t="shared" si="18"/>
        <v>0</v>
      </c>
      <c r="Q33" s="953">
        <f t="shared" ca="1" si="18"/>
        <v>44573.87732604846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6106.7190205962206</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12735</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14982.352941176472</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18841.719020596222</v>
      </c>
      <c r="C10" s="1026">
        <f>SUM(C4:C9)</f>
        <v>0</v>
      </c>
      <c r="D10" s="1026">
        <f t="shared" ref="D10:H10" si="0">SUM(D8:D9)</f>
        <v>0</v>
      </c>
      <c r="E10" s="1026">
        <f t="shared" si="0"/>
        <v>0</v>
      </c>
      <c r="F10" s="1026">
        <f t="shared" si="0"/>
        <v>0</v>
      </c>
      <c r="G10" s="1026">
        <f t="shared" si="0"/>
        <v>0</v>
      </c>
      <c r="H10" s="1026">
        <f t="shared" si="0"/>
        <v>0</v>
      </c>
      <c r="I10" s="1026">
        <f>SUM(I8:I9)</f>
        <v>0</v>
      </c>
      <c r="J10" s="1026">
        <f>SUM(J8:J9)</f>
        <v>14982.352941176472</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0.12579406548744315</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18192.857142857145</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21403.361344537818</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18192.857142857145</v>
      </c>
      <c r="C20" s="1026">
        <f>SUM(C17:C19)</f>
        <v>0</v>
      </c>
      <c r="D20" s="1026">
        <f t="shared" ref="D20:H20" si="2">SUM(D17:D19)</f>
        <v>0</v>
      </c>
      <c r="E20" s="1026">
        <f t="shared" si="2"/>
        <v>0</v>
      </c>
      <c r="F20" s="1026">
        <f t="shared" si="2"/>
        <v>0</v>
      </c>
      <c r="G20" s="1026">
        <f t="shared" si="2"/>
        <v>0</v>
      </c>
      <c r="H20" s="1026">
        <f t="shared" si="2"/>
        <v>0</v>
      </c>
      <c r="I20" s="1026">
        <f>SUM(I17:I19)</f>
        <v>0</v>
      </c>
      <c r="J20" s="1026">
        <f>SUM(J17:J19)</f>
        <v>21403.361344537818</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0.12579406548744315</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2020-06-20T15:43:43Z</dcterms:modified>
</cp:coreProperties>
</file>