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L6" i="17" s="1"/>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8" i="18" l="1"/>
  <c r="E8" i="18" s="1"/>
  <c r="I8" i="18"/>
  <c r="I48"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D4" i="48"/>
  <c r="D22" i="48" s="1"/>
  <c r="E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E5" i="48"/>
  <c r="E23" i="48" s="1"/>
  <c r="F10" i="14"/>
  <c r="J20" i="15"/>
  <c r="K40" i="14" s="1"/>
  <c r="I20" i="14"/>
  <c r="I22" i="14" s="1"/>
  <c r="I27"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<sst xmlns="http://schemas.openxmlformats.org/spreadsheetml/2006/main" count="2398" uniqueCount="887">
  <si>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</si>
  <si>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</si>
  <si>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</si>
  <si>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</si>
  <si>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</si>
  <si>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</si>
  <si>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</si>
  <si>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</si>
  <si>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</si>
  <si>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</si>
  <si>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</si>
  <si>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</si>
  <si>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</si>
  <si>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</si>
  <si>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</si>
  <si>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</si>
  <si>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</si>
  <si>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</si>
  <si>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</si>
  <si>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</si>
  <si>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</si>
  <si>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</si>
  <si>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</si>
  <si>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</si>
  <si>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</si>
  <si>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</si>
  <si>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</si>
  <si>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</si>
  <si>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</si>
  <si>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</si>
  <si>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</si>
  <si>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</si>
  <si>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</si>
  <si>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</si>
  <si>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</si>
  <si>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</si>
  <si>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</si>
  <si>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</si>
  <si>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</si>
  <si>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</si>
  <si>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</si>
  <si>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</si>
  <si>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</si>
  <si>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</si>
  <si>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</si>
  <si>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</si>
  <si>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</si>
  <si>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</si>
  <si>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</si>
  <si>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</si>
  <si>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</si>
  <si>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</si>
  <si>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</si>
  <si>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</si>
  <si>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</si>
  <si>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</si>
  <si>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</si>
  <si>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</si>
  <si>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</si>
  <si>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</si>
  <si>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</si>
  <si>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</si>
  <si>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</si>
  <si>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</si>
  <si>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</si>
  <si>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</si>
  <si>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</si>
  <si>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</si>
  <si>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</si>
  <si>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</si>
  <si>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</si>
  <si>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</si>
  <si>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</si>
  <si>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</si>
  <si>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</si>
  <si>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</si>
  <si>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</si>
  <si>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</si>
  <si>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</si>
  <si>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</si>
  <si>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</si>
  <si>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</si>
  <si>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</si>
  <si>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</si>
  <si>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</si>
  <si>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</si>
  <si>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</si>
  <si>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</si>
  <si>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</si>
  <si>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</si>
  <si>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</si>
  <si>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</si>
  <si>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</si>
  <si>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</si>
  <si>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</si>
  <si>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</si>
  <si>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</si>
  <si>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</si>
  <si>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</si>
  <si>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</si>
  <si>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</si>
  <si>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</si>
  <si>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</si>
  <si>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</si>
  <si>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</si>
  <si>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</si>
  <si>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</si>
  <si>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</si>
  <si>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</si>
  <si>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</si>
  <si>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</si>
  <si>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</si>
  <si>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</si>
  <si>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</si>
  <si>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</si>
  <si>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</si>
  <si>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</si>
  <si>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</si>
  <si>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</si>
  <si>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</si>
  <si>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</si>
  <si>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</si>
  <si>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</si>
  <si>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</si>
  <si>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</si>
  <si>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</si>
  <si>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</si>
  <si>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</si>
  <si>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</si>
  <si>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</si>
  <si>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</si>
  <si>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</si>
  <si>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</si>
  <si>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</si>
  <si>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</si>
  <si>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</si>
  <si>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</si>
  <si>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</si>
  <si>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</si>
  <si>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</si>
  <si>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</si>
  <si>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</si>
  <si>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</si>
  <si>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</si>
  <si>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</si>
  <si>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</si>
  <si>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</si>
  <si>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</si>
  <si>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</si>
  <si>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</si>
  <si>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</si>
  <si>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</si>
  <si>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</si>
  <si>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</si>
  <si>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</si>
  <si>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</si>
  <si>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</si>
  <si>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</si>
  <si>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</si>
  <si>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</si>
  <si>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</si>
  <si>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</si>
  <si>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</si>
  <si>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</si>
  <si>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</si>
  <si>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</si>
  <si>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</si>
  <si>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</si>
  <si>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</si>
  <si>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</si>
  <si>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</si>
  <si>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</si>
  <si>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</si>
  <si>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</si>
  <si>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</si>
  <si>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</si>
  <si>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</si>
  <si>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</si>
  <si>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</si>
  <si>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</si>
  <si>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</si>
  <si>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</si>
  <si>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</si>
  <si>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</si>
  <si>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</si>
  <si>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</si>
  <si>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</si>
  <si>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</si>
  <si>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</si>
  <si>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</si>
  <si>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</si>
  <si>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</si>
  <si>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</si>
  <si>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</si>
  <si>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</si>
  <si>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</si>
  <si>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</si>
  <si>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</si>
  <si>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</si>
  <si>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</si>
  <si>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</si>
  <si>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</si>
  <si>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</si>
  <si>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</si>
  <si>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</si>
  <si>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</si>
  <si>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</si>
  <si>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</si>
  <si>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</si>
  <si>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</si>
  <si>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</si>
  <si>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</si>
  <si>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</si>
  <si>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</si>
  <si>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</si>
  <si>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</si>
  <si>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</si>
  <si>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</si>
  <si>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</si>
  <si>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</si>
  <si>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</si>
  <si>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</si>
  <si>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</si>
  <si>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</si>
  <si>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</si>
  <si>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</si>
  <si>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</si>
  <si>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</si>
  <si>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</si>
  <si>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</si>
  <si>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</si>
  <si>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</si>
  <si>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</si>
  <si>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</si>
  <si>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</si>
  <si>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</si>
  <si>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</si>
  <si>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</si>
  <si>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</si>
  <si>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</si>
  <si>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</si>
  <si>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</si>
  <si>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</si>
  <si>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</si>
  <si>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</si>
  <si>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</si>
  <si>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</si>
  <si>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</si>
  <si>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</si>
  <si>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</si>
  <si>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</si>
  <si>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</si>
  <si>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</si>
  <si>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</si>
  <si>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</si>
  <si>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</si>
  <si>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</si>
  <si>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</si>
  <si>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</si>
  <si>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</si>
  <si>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</si>
  <si>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</si>
  <si>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</si>
  <si>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</si>
  <si>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</si>
  <si>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</si>
  <si>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</si>
  <si>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</si>
  <si>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</si>
  <si>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</si>
  <si>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</si>
  <si>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</si>
  <si>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</si>
  <si>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</si>
  <si>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</si>
  <si>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</si>
  <si>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</si>
  <si>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</si>
  <si>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</si>
  <si>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</si>
  <si>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</si>
  <si>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</si>
  <si>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</si>
  <si>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</si>
  <si>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</si>
  <si>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</si>
  <si>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</si>
  <si>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</si>
  <si>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</si>
  <si>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</si>
  <si>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</si>
  <si>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</si>
  <si>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</si>
  <si>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</si>
  <si>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</si>
  <si>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</si>
  <si>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</si>
  <si>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</si>
  <si>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</si>
  <si>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</si>
  <si>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</si>
  <si>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</si>
  <si>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</si>
  <si>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</si>
  <si>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</si>
  <si>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</si>
  <si>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</si>
  <si>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</si>
  <si>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</si>
  <si>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</si>
  <si>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</si>
  <si>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</si>
  <si>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</si>
  <si>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</si>
  <si>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</si>
  <si>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</si>
  <si>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</si>
  <si>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</si>
  <si>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</si>
  <si>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</si>
  <si>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</si>
  <si>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</si>
  <si>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</si>
  <si>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</si>
  <si>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</si>
  <si>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</si>
  <si>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</si>
  <si>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</si>
  <si>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</si>
  <si>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</si>
  <si>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</si>
  <si>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</si>
  <si>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</si>
  <si>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</si>
  <si>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</si>
  <si>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</si>
  <si>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</si>
  <si>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</si>
  <si>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</si>
  <si>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</si>
  <si>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</si>
  <si>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</si>
  <si>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</si>
  <si>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</si>
  <si>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</si>
  <si>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</si>
  <si>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</si>
  <si>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</si>
  <si>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</si>
  <si>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</si>
  <si>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</si>
  <si>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</si>
  <si>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</si>
  <si>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</si>
  <si>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</si>
  <si>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</si>
  <si>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</si>
  <si>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</si>
  <si>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</si>
  <si>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</si>
  <si>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</si>
  <si>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</si>
  <si>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</si>
  <si>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</si>
  <si>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</si>
  <si>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</si>
  <si>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</si>
  <si>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</si>
  <si>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</si>
  <si>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</si>
  <si>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</si>
  <si>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</si>
  <si>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</si>
  <si>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</si>
  <si>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</si>
  <si>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</si>
  <si>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</si>
  <si>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</si>
  <si>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</si>
  <si>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</si>
  <si>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</si>
  <si>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</si>
  <si>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</si>
  <si>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</si>
  <si>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</si>
  <si>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</si>
  <si>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</si>
  <si>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</si>
  <si>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</si>
  <si>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</si>
  <si>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</si>
  <si>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</si>
  <si>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</si>
  <si>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</si>
  <si>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</si>
  <si>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</si>
  <si>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</si>
  <si>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</si>
  <si>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</si>
  <si>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</si>
  <si>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</si>
  <si>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</si>
  <si>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</si>
  <si>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</si>
  <si>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</si>
  <si>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</si>
  <si>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</si>
  <si>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</si>
  <si>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</si>
  <si>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</si>
  <si>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</si>
  <si>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</si>
  <si>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</si>
  <si>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</si>
  <si>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</si>
  <si>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</si>
  <si>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</si>
  <si>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</si>
  <si>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</si>
  <si>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</si>
  <si>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</si>
  <si>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</si>
  <si>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</si>
  <si>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</si>
  <si>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</si>
  <si>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</si>
  <si>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</si>
  <si>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</si>
  <si>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</si>
  <si>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</si>
  <si>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</si>
  <si>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</si>
  <si>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</si>
  <si>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</si>
  <si>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</si>
  <si>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</si>
  <si>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</si>
  <si>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</si>
  <si>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</si>
  <si>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</si>
  <si>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</si>
  <si>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</si>
  <si>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</si>
  <si>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</si>
  <si>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</si>
  <si>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</si>
  <si>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</si>
  <si>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</si>
  <si>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</si>
  <si>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</si>
  <si>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</si>
  <si>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</si>
  <si>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</si>
  <si>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</si>
  <si>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</si>
  <si>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</si>
  <si>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</si>
  <si>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</si>
  <si>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</si>
  <si>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</si>
  <si>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</si>
  <si>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</si>
  <si>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</si>
  <si>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</si>
  <si>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</si>
  <si>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</si>
  <si>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</si>
  <si>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</si>
  <si>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</si>
  <si>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</si>
  <si>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</si>
  <si>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</si>
  <si>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</si>
  <si>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</si>
  <si>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</si>
  <si>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</si>
  <si>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</si>
  <si>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</si>
  <si>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</si>
  <si>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</si>
  <si>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</si>
  <si>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</si>
  <si>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</si>
  <si>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</si>
  <si>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</si>
  <si>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</si>
  <si>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</si>
  <si>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</si>
  <si>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</si>
  <si>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</si>
  <si>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</si>
  <si>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</si>
  <si>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</si>
  <si>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</si>
  <si>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</si>
  <si>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</si>
  <si>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</si>
  <si>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</si>
  <si>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</si>
  <si>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</si>
  <si>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</si>
  <si>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</si>
  <si>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</si>
  <si>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</si>
  <si>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</si>
  <si>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</si>
  <si>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</si>
  <si>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</si>
  <si>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</si>
  <si>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</si>
  <si>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</si>
  <si>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</si>
  <si>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</si>
  <si>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</si>
  <si>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</si>
  <si>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</si>
  <si>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</si>
  <si>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</si>
  <si>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</si>
  <si>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</si>
  <si>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</si>
  <si>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</si>
  <si>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</si>
  <si>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</si>
  <si>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</si>
  <si>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</si>
  <si>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</si>
  <si>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</si>
  <si>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</si>
  <si>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</si>
  <si>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</si>
  <si>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</si>
  <si>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</si>
  <si>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</si>
  <si>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</si>
  <si>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</si>
  <si>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</si>
  <si>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</si>
  <si>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</si>
  <si>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</si>
  <si>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</si>
  <si>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</si>
  <si>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</si>
  <si>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</si>
  <si>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</si>
  <si>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</si>
  <si>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</si>
  <si>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</si>
  <si>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</si>
  <si>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</si>
  <si>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</si>
  <si>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</si>
  <si>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</si>
  <si>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</si>
  <si>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</si>
  <si>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</si>
  <si>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</si>
  <si>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</si>
  <si>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</si>
  <si>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</si>
  <si>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</si>
  <si>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</si>
  <si>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</si>
  <si>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</si>
  <si>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</si>
  <si>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</si>
  <si>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</si>
  <si>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</si>
  <si>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</si>
  <si>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</si>
  <si>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</si>
  <si>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</si>
  <si>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</si>
  <si>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</si>
  <si>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</si>
  <si>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</si>
  <si>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</si>
  <si>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</si>
  <si>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</si>
  <si>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</si>
  <si>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</si>
  <si>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</si>
  <si>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</si>
  <si>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</si>
  <si>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</si>
  <si>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</si>
  <si>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</si>
  <si>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</si>
  <si>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</si>
  <si>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</si>
  <si>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</si>
  <si>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</si>
  <si>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</si>
  <si>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</si>
  <si>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</si>
  <si>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</si>
  <si>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</si>
  <si>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</si>
  <si>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</si>
  <si>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</si>
  <si>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</si>
  <si>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</si>
  <si>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</si>
  <si>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</si>
  <si>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</si>
  <si>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</si>
  <si>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</si>
  <si>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</si>
  <si>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</si>
  <si>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</si>
  <si>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</si>
  <si>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</si>
  <si>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</si>
  <si>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</si>
  <si>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</si>
  <si>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</si>
  <si>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</si>
  <si>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</si>
  <si>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</si>
  <si>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</si>
  <si>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</si>
  <si>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</si>
  <si>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</si>
  <si>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</si>
  <si>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</si>
  <si>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</si>
  <si>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</si>
  <si>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</si>
  <si>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</si>
  <si>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</si>
  <si>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</si>
  <si>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</si>
  <si>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</si>
  <si>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</si>
  <si>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</si>
  <si>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</si>
  <si>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</si>
  <si>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</si>
  <si>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</si>
  <si>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</si>
  <si>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</si>
  <si>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</si>
  <si>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</si>
  <si>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</si>
  <si>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</si>
  <si>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</si>
  <si>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</si>
  <si>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</si>
  <si>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</si>
  <si>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</si>
  <si>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</si>
  <si>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</si>
  <si>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</si>
  <si>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</si>
  <si>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</si>
  <si>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</si>
  <si>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</si>
  <si>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</si>
  <si>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</si>
  <si>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</si>
  <si>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</si>
  <si>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</si>
  <si>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</si>
  <si>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</si>
  <si>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</si>
  <si>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</si>
  <si>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</si>
  <si>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</si>
  <si>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</si>
  <si>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</si>
  <si>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</si>
  <si>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</si>
  <si>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</si>
  <si>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</si>
  <si>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</si>
  <si>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</si>
  <si>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</si>
  <si>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</si>
  <si>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</si>
  <si>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</si>
  <si>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</si>
  <si>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</si>
  <si>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</si>
  <si>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</si>
  <si>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</si>
  <si>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</si>
  <si>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</si>
  <si>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</si>
  <si>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</si>
  <si>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</si>
  <si>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</si>
  <si>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</si>
  <si>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</si>
  <si>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</si>
  <si>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</si>
  <si>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</si>
  <si>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</si>
  <si>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</si>
  <si>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</si>
  <si>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</si>
  <si>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</si>
  <si>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</si>
  <si>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</si>
  <si>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</si>
  <si>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</si>
  <si>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</si>
  <si>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</si>
  <si>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</si>
  <si>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</si>
  <si>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</si>
  <si>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</si>
  <si>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</si>
  <si>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</si>
  <si>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</si>
  <si>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</si>
  <si>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</si>
  <si>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</si>
  <si>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</si>
  <si>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</si>
  <si>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</si>
  <si>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</si>
  <si>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</si>
  <si>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</si>
  <si>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</si>
  <si>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</si>
  <si>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</si>
  <si>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</si>
  <si>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</si>
  <si>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</si>
  <si>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</si>
  <si>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</si>
  <si>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</si>
  <si>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</si>
  <si>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</si>
  <si>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</si>
  <si>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</si>
  <si>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</si>
  <si>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</si>
  <si>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</si>
  <si>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</si>
  <si>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</si>
  <si>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</si>
  <si>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</si>
  <si>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</si>
  <si>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</si>
  <si>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</si>
  <si>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</si>
  <si>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</si>
  <si>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</si>
  <si>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</si>
  <si>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</si>
  <si>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</si>
  <si>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</si>
  <si>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</si>
  <si>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</si>
  <si>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</si>
  <si>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</si>
  <si>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</si>
  <si>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</si>
  <si>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</si>
  <si>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</si>
  <si>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</si>
  <si>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</si>
  <si>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</si>
  <si>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</si>
  <si>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</si>
  <si>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</si>
  <si>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</si>
  <si>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</si>
  <si>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</si>
  <si>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</si>
  <si>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</si>
  <si>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</si>
  <si>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</si>
  <si>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</si>
  <si>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</si>
  <si>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</si>
  <si>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</si>
  <si>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</si>
  <si>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</si>
  <si>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</si>
  <si>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</si>
  <si>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</si>
  <si>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</si>
  <si>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</si>
  <si>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</si>
  <si>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</si>
  <si>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</si>
  <si>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</si>
  <si>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</si>
  <si>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</si>
  <si>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</si>
  <si>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</si>
  <si>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</si>
  <si>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</si>
  <si>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</si>
  <si>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</si>
  <si>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</si>
  <si>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</si>
  <si>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</si>
  <si>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</si>
  <si>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</si>
  <si>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</si>
  <si>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</si>
  <si>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</si>
  <si>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</si>
  <si>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</si>
  <si>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</si>
  <si>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</si>
  <si>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</si>
  <si>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</si>
  <si>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</si>
  <si>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</si>
  <si>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</si>
  <si>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</si>
  <si>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</si>
  <si>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</si>
  <si>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</si>
  <si>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</si>
  <si>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</si>
  <si>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</si>
  <si>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</si>
  <si>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</si>
  <si>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</si>
  <si>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</si>
  <si>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</si>
  <si>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</si>
  <si>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</si>
  <si>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</si>
  <si>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</si>
  <si>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</si>
  <si>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</si>
  <si>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</si>
  <si>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</si>
  <si>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</si>
  <si>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</si>
  <si>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</si>
  <si>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</si>
  <si>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</si>
  <si>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</si>
  <si>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</si>
  <si>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</si>
  <si>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</si>
  <si>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</si>
  <si>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</si>
  <si>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</si>
  <si>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</si>
  <si>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</si>
  <si>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</si>
  <si>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</si>
  <si>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</si>
  <si>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</si>
  <si>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</si>
  <si>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</si>
  <si>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</si>
  <si>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</si>
  <si>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</si>
  <si>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</si>
  <si>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</si>
  <si>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</si>
  <si>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</si>
  <si>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</si>
  <si>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</si>
  <si>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</si>
  <si>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</si>
  <si>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</si>
  <si>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</si>
  <si>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</si>
  <si>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</si>
  <si>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</si>
  <si>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</si>
  <si>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</si>
  <si>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</si>
  <si>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</si>
  <si>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</si>
  <si>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</si>
  <si>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</si>
  <si>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</si>
  <si>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</si>
  <si>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</si>
  <si>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</si>
  <si>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</si>
  <si>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</si>
  <si>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31022</t>
  </si>
  <si>
    <t>OOSTKAMP</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</si>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</sst>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197603.11064531075</c:v>
                </c:pt>
                <c:pt idx="1">
                  <c:v>63549.758127864159</c:v>
                </c:pt>
                <c:pt idx="2">
                  <c:v>1283.1199999999999</c:v>
                </c:pt>
                <c:pt idx="3">
                  <c:v>21844.262789794611</c:v>
                </c:pt>
                <c:pt idx="4">
                  <c:v>70613.137736201112</c:v>
                </c:pt>
                <c:pt idx="5">
                  <c:v>419362.14161534834</c:v>
                </c:pt>
                <c:pt idx="6">
                  <c:v>1657.5263903183261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197603.11064531075</c:v>
                </c:pt>
                <c:pt idx="1">
                  <c:v>63549.758127864159</c:v>
                </c:pt>
                <c:pt idx="2">
                  <c:v>1283.1199999999999</c:v>
                </c:pt>
                <c:pt idx="3">
                  <c:v>21844.262789794611</c:v>
                </c:pt>
                <c:pt idx="4">
                  <c:v>70613.137736201112</c:v>
                </c:pt>
                <c:pt idx="5">
                  <c:v>419362.14161534834</c:v>
                </c:pt>
                <c:pt idx="6">
                  <c:v>1657.5263903183261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34424.576294725106</c:v>
                </c:pt>
                <c:pt idx="2">
                  <c:v>12706.151735943782</c:v>
                </c:pt>
                <c:pt idx="3">
                  <c:v>258.36397445056753</c:v>
                </c:pt>
                <c:pt idx="4">
                  <c:v>5583.4123223380902</c:v>
                </c:pt>
                <c:pt idx="5">
                  <c:v>14027.208301912264</c:v>
                </c:pt>
                <c:pt idx="6">
                  <c:v>105080.5079201365</c:v>
                </c:pt>
                <c:pt idx="7">
                  <c:v>418.77667639099099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34424.576294725106</c:v>
                </c:pt>
                <c:pt idx="2">
                  <c:v>12706.151735943782</c:v>
                </c:pt>
                <c:pt idx="3">
                  <c:v>258.36397445056753</c:v>
                </c:pt>
                <c:pt idx="4">
                  <c:v>5583.4123223380902</c:v>
                </c:pt>
                <c:pt idx="5">
                  <c:v>14027.208301912264</c:v>
                </c:pt>
                <c:pt idx="6">
                  <c:v>105080.5079201365</c:v>
                </c:pt>
                <c:pt idx="7">
                  <c:v>418.77667639099099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31022</v>
      </c>
      <c r="B6" s="390"/>
      <c r="C6" s="391"/>
    </row>
    <row r="7" spans="1:7" s="388" customFormat="1" ht="15.75" customHeight="1">
      <c r="A7" s="392" t="str">
        <f>txtMunicipality</f>
        <v>OOSTKAMP</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0.20135604966843909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0.20135604966843909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9532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4646.92</v>
      </c>
      <c r="C14" s="330"/>
      <c r="D14" s="330"/>
      <c r="E14" s="330"/>
      <c r="F14" s="330"/>
    </row>
    <row r="15" spans="1:6">
      <c r="A15" s="1293" t="s">
        <v>183</v>
      </c>
      <c r="B15" s="1294">
        <v>489</v>
      </c>
      <c r="C15" s="330"/>
      <c r="D15" s="330"/>
      <c r="E15" s="330"/>
      <c r="F15" s="330"/>
    </row>
    <row r="16" spans="1:6">
      <c r="A16" s="1293" t="s">
        <v>6</v>
      </c>
      <c r="B16" s="1294">
        <v>2447</v>
      </c>
      <c r="C16" s="330"/>
      <c r="D16" s="330"/>
      <c r="E16" s="330"/>
      <c r="F16" s="330"/>
    </row>
    <row r="17" spans="1:6">
      <c r="A17" s="1293" t="s">
        <v>7</v>
      </c>
      <c r="B17" s="1294">
        <v>1657</v>
      </c>
      <c r="C17" s="330"/>
      <c r="D17" s="330"/>
      <c r="E17" s="330"/>
      <c r="F17" s="330"/>
    </row>
    <row r="18" spans="1:6">
      <c r="A18" s="1293" t="s">
        <v>8</v>
      </c>
      <c r="B18" s="1294">
        <v>2504</v>
      </c>
      <c r="C18" s="330"/>
      <c r="D18" s="330"/>
      <c r="E18" s="330"/>
      <c r="F18" s="330"/>
    </row>
    <row r="19" spans="1:6">
      <c r="A19" s="1293" t="s">
        <v>9</v>
      </c>
      <c r="B19" s="1294">
        <v>2534</v>
      </c>
      <c r="C19" s="330"/>
      <c r="D19" s="330"/>
      <c r="E19" s="330"/>
      <c r="F19" s="330"/>
    </row>
    <row r="20" spans="1:6">
      <c r="A20" s="1293" t="s">
        <v>10</v>
      </c>
      <c r="B20" s="1294">
        <v>1804</v>
      </c>
      <c r="C20" s="330"/>
      <c r="D20" s="330"/>
      <c r="E20" s="330"/>
      <c r="F20" s="330"/>
    </row>
    <row r="21" spans="1:6">
      <c r="A21" s="1293" t="s">
        <v>11</v>
      </c>
      <c r="B21" s="1294">
        <v>6495</v>
      </c>
      <c r="C21" s="330"/>
      <c r="D21" s="330"/>
      <c r="E21" s="330"/>
      <c r="F21" s="330"/>
    </row>
    <row r="22" spans="1:6">
      <c r="A22" s="1293" t="s">
        <v>12</v>
      </c>
      <c r="B22" s="1294">
        <v>53357</v>
      </c>
      <c r="C22" s="330"/>
      <c r="D22" s="330"/>
      <c r="E22" s="330"/>
      <c r="F22" s="330"/>
    </row>
    <row r="23" spans="1:6">
      <c r="A23" s="1293" t="s">
        <v>13</v>
      </c>
      <c r="B23" s="1294">
        <v>71</v>
      </c>
      <c r="C23" s="330"/>
      <c r="D23" s="330"/>
      <c r="E23" s="330"/>
      <c r="F23" s="330"/>
    </row>
    <row r="24" spans="1:6">
      <c r="A24" s="1293" t="s">
        <v>14</v>
      </c>
      <c r="B24" s="1294">
        <v>9</v>
      </c>
      <c r="C24" s="330"/>
      <c r="D24" s="330"/>
      <c r="E24" s="330"/>
      <c r="F24" s="330"/>
    </row>
    <row r="25" spans="1:6">
      <c r="A25" s="1293" t="s">
        <v>15</v>
      </c>
      <c r="B25" s="1294">
        <v>899</v>
      </c>
      <c r="C25" s="330"/>
      <c r="D25" s="330"/>
      <c r="E25" s="330"/>
      <c r="F25" s="330"/>
    </row>
    <row r="26" spans="1:6">
      <c r="A26" s="1293" t="s">
        <v>16</v>
      </c>
      <c r="B26" s="1294">
        <v>568</v>
      </c>
      <c r="C26" s="330"/>
      <c r="D26" s="330"/>
      <c r="E26" s="330"/>
      <c r="F26" s="330"/>
    </row>
    <row r="27" spans="1:6">
      <c r="A27" s="1293" t="s">
        <v>17</v>
      </c>
      <c r="B27" s="1294">
        <v>20</v>
      </c>
      <c r="C27" s="330"/>
      <c r="D27" s="330"/>
      <c r="E27" s="330"/>
      <c r="F27" s="330"/>
    </row>
    <row r="28" spans="1:6" s="43" customFormat="1">
      <c r="A28" s="1295" t="s">
        <v>18</v>
      </c>
      <c r="B28" s="1296">
        <v>301612</v>
      </c>
      <c r="C28" s="336"/>
      <c r="D28" s="336"/>
      <c r="E28" s="336"/>
      <c r="F28" s="336"/>
    </row>
    <row r="29" spans="1:6">
      <c r="A29" s="1295" t="s">
        <v>734</v>
      </c>
      <c r="B29" s="1296">
        <v>149</v>
      </c>
      <c r="C29" s="336"/>
      <c r="D29" s="336"/>
      <c r="E29" s="336"/>
      <c r="F29" s="336"/>
    </row>
    <row r="30" spans="1:6">
      <c r="A30" s="1288" t="s">
        <v>735</v>
      </c>
      <c r="B30" s="1297">
        <v>29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149749.346237869</v>
      </c>
      <c r="E38" s="1294">
        <v>6</v>
      </c>
      <c r="F38" s="1294">
        <v>41565.198419940702</v>
      </c>
    </row>
    <row r="39" spans="1:6">
      <c r="A39" s="1293" t="s">
        <v>29</v>
      </c>
      <c r="B39" s="1293" t="s">
        <v>30</v>
      </c>
      <c r="C39" s="1294">
        <v>5640</v>
      </c>
      <c r="D39" s="1294">
        <v>85164423.547876194</v>
      </c>
      <c r="E39" s="1294">
        <v>8941</v>
      </c>
      <c r="F39" s="1294">
        <v>37221928.759156004</v>
      </c>
    </row>
    <row r="40" spans="1:6">
      <c r="A40" s="1293" t="s">
        <v>29</v>
      </c>
      <c r="B40" s="1293" t="s">
        <v>28</v>
      </c>
      <c r="C40" s="1294">
        <v>0</v>
      </c>
      <c r="D40" s="1294">
        <v>0</v>
      </c>
      <c r="E40" s="1294">
        <v>0</v>
      </c>
      <c r="F40" s="1294">
        <v>0</v>
      </c>
    </row>
    <row r="41" spans="1:6">
      <c r="A41" s="1293" t="s">
        <v>31</v>
      </c>
      <c r="B41" s="1293" t="s">
        <v>32</v>
      </c>
      <c r="C41" s="1294">
        <v>127</v>
      </c>
      <c r="D41" s="1294">
        <v>2519960.8700112002</v>
      </c>
      <c r="E41" s="1294">
        <v>285</v>
      </c>
      <c r="F41" s="1294">
        <v>3259708.38687552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3496999.9746028902</v>
      </c>
      <c r="E44" s="1294">
        <v>28</v>
      </c>
      <c r="F44" s="1294">
        <v>1908918.22352116</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6</v>
      </c>
      <c r="D47" s="1294">
        <v>1757314.3564236099</v>
      </c>
      <c r="E47" s="1294">
        <v>8</v>
      </c>
      <c r="F47" s="1294">
        <v>4298545.85695705</v>
      </c>
    </row>
    <row r="48" spans="1:6">
      <c r="A48" s="1293" t="s">
        <v>31</v>
      </c>
      <c r="B48" s="1293" t="s">
        <v>28</v>
      </c>
      <c r="C48" s="1294">
        <v>49</v>
      </c>
      <c r="D48" s="1294">
        <v>23410134.8552287</v>
      </c>
      <c r="E48" s="1294">
        <v>61</v>
      </c>
      <c r="F48" s="1294">
        <v>15875886.6287503</v>
      </c>
    </row>
    <row r="49" spans="1:6">
      <c r="A49" s="1293" t="s">
        <v>31</v>
      </c>
      <c r="B49" s="1293" t="s">
        <v>39</v>
      </c>
      <c r="C49" s="1294">
        <v>0</v>
      </c>
      <c r="D49" s="1294">
        <v>0</v>
      </c>
      <c r="E49" s="1294">
        <v>12</v>
      </c>
      <c r="F49" s="1294">
        <v>213606.096571195</v>
      </c>
    </row>
    <row r="50" spans="1:6">
      <c r="A50" s="1293" t="s">
        <v>31</v>
      </c>
      <c r="B50" s="1293" t="s">
        <v>40</v>
      </c>
      <c r="C50" s="1294">
        <v>22</v>
      </c>
      <c r="D50" s="1294">
        <v>2735730.4823115598</v>
      </c>
      <c r="E50" s="1294">
        <v>46</v>
      </c>
      <c r="F50" s="1294">
        <v>2920878.5203177002</v>
      </c>
    </row>
    <row r="51" spans="1:6">
      <c r="A51" s="1293" t="s">
        <v>41</v>
      </c>
      <c r="B51" s="1293" t="s">
        <v>42</v>
      </c>
      <c r="C51" s="1294">
        <v>17</v>
      </c>
      <c r="D51" s="1294">
        <v>473767.4071596</v>
      </c>
      <c r="E51" s="1294">
        <v>187</v>
      </c>
      <c r="F51" s="1294">
        <v>3856943.10272406</v>
      </c>
    </row>
    <row r="52" spans="1:6">
      <c r="A52" s="1293" t="s">
        <v>41</v>
      </c>
      <c r="B52" s="1293" t="s">
        <v>28</v>
      </c>
      <c r="C52" s="1294">
        <v>4</v>
      </c>
      <c r="D52" s="1294">
        <v>76786.184338111299</v>
      </c>
      <c r="E52" s="1294">
        <v>4</v>
      </c>
      <c r="F52" s="1294">
        <v>140583.82995151199</v>
      </c>
    </row>
    <row r="53" spans="1:6">
      <c r="A53" s="1293" t="s">
        <v>43</v>
      </c>
      <c r="B53" s="1293" t="s">
        <v>44</v>
      </c>
      <c r="C53" s="1294">
        <v>137</v>
      </c>
      <c r="D53" s="1294">
        <v>1932324.00395656</v>
      </c>
      <c r="E53" s="1294">
        <v>353</v>
      </c>
      <c r="F53" s="1294">
        <v>2355002.3911735201</v>
      </c>
    </row>
    <row r="54" spans="1:6">
      <c r="A54" s="1293" t="s">
        <v>45</v>
      </c>
      <c r="B54" s="1293" t="s">
        <v>46</v>
      </c>
      <c r="C54" s="1294">
        <v>0</v>
      </c>
      <c r="D54" s="1294">
        <v>0</v>
      </c>
      <c r="E54" s="1294">
        <v>1</v>
      </c>
      <c r="F54" s="1294">
        <v>1283120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49</v>
      </c>
      <c r="D57" s="1294">
        <v>2572470.7980720699</v>
      </c>
      <c r="E57" s="1294">
        <v>196</v>
      </c>
      <c r="F57" s="1294">
        <v>2272409.9538410902</v>
      </c>
    </row>
    <row r="58" spans="1:6">
      <c r="A58" s="1293" t="s">
        <v>48</v>
      </c>
      <c r="B58" s="1293" t="s">
        <v>50</v>
      </c>
      <c r="C58" s="1294">
        <v>30</v>
      </c>
      <c r="D58" s="1294">
        <v>868724.19182376401</v>
      </c>
      <c r="E58" s="1294">
        <v>63</v>
      </c>
      <c r="F58" s="1294">
        <v>754216.91688035894</v>
      </c>
    </row>
    <row r="59" spans="1:6">
      <c r="A59" s="1293" t="s">
        <v>48</v>
      </c>
      <c r="B59" s="1293" t="s">
        <v>51</v>
      </c>
      <c r="C59" s="1294">
        <v>136</v>
      </c>
      <c r="D59" s="1294">
        <v>5434231.0151919201</v>
      </c>
      <c r="E59" s="1294">
        <v>348</v>
      </c>
      <c r="F59" s="1294">
        <v>10182473.020452701</v>
      </c>
    </row>
    <row r="60" spans="1:6">
      <c r="A60" s="1293" t="s">
        <v>48</v>
      </c>
      <c r="B60" s="1293" t="s">
        <v>52</v>
      </c>
      <c r="C60" s="1294">
        <v>58</v>
      </c>
      <c r="D60" s="1294">
        <v>3328004.43403506</v>
      </c>
      <c r="E60" s="1294">
        <v>95</v>
      </c>
      <c r="F60" s="1294">
        <v>2893970.3337120102</v>
      </c>
    </row>
    <row r="61" spans="1:6">
      <c r="A61" s="1293" t="s">
        <v>48</v>
      </c>
      <c r="B61" s="1293" t="s">
        <v>53</v>
      </c>
      <c r="C61" s="1294">
        <v>244</v>
      </c>
      <c r="D61" s="1294">
        <v>8831663.1905642897</v>
      </c>
      <c r="E61" s="1294">
        <v>450</v>
      </c>
      <c r="F61" s="1294">
        <v>9220895.0169069394</v>
      </c>
    </row>
    <row r="62" spans="1:6">
      <c r="A62" s="1293" t="s">
        <v>48</v>
      </c>
      <c r="B62" s="1293" t="s">
        <v>54</v>
      </c>
      <c r="C62" s="1294">
        <v>18</v>
      </c>
      <c r="D62" s="1294">
        <v>1465004.03964924</v>
      </c>
      <c r="E62" s="1294">
        <v>26</v>
      </c>
      <c r="F62" s="1294">
        <v>527965.26020820695</v>
      </c>
    </row>
    <row r="63" spans="1:6">
      <c r="A63" s="1293" t="s">
        <v>48</v>
      </c>
      <c r="B63" s="1293" t="s">
        <v>28</v>
      </c>
      <c r="C63" s="1294">
        <v>110</v>
      </c>
      <c r="D63" s="1294">
        <v>8366813.2821321301</v>
      </c>
      <c r="E63" s="1294">
        <v>95</v>
      </c>
      <c r="F63" s="1294">
        <v>2301197.1669223402</v>
      </c>
    </row>
    <row r="64" spans="1:6">
      <c r="A64" s="1293" t="s">
        <v>55</v>
      </c>
      <c r="B64" s="1293" t="s">
        <v>56</v>
      </c>
      <c r="C64" s="1294">
        <v>0</v>
      </c>
      <c r="D64" s="1294">
        <v>0</v>
      </c>
      <c r="E64" s="1294">
        <v>0</v>
      </c>
      <c r="F64" s="1294">
        <v>0</v>
      </c>
    </row>
    <row r="65" spans="1:6">
      <c r="A65" s="1293" t="s">
        <v>55</v>
      </c>
      <c r="B65" s="1293" t="s">
        <v>28</v>
      </c>
      <c r="C65" s="1294">
        <v>1</v>
      </c>
      <c r="D65" s="1294">
        <v>7858.2612212650001</v>
      </c>
      <c r="E65" s="1294">
        <v>2</v>
      </c>
      <c r="F65" s="1294">
        <v>8230.7719506316007</v>
      </c>
    </row>
    <row r="66" spans="1:6">
      <c r="A66" s="1293" t="s">
        <v>55</v>
      </c>
      <c r="B66" s="1293" t="s">
        <v>57</v>
      </c>
      <c r="C66" s="1294">
        <v>0</v>
      </c>
      <c r="D66" s="1294">
        <v>0</v>
      </c>
      <c r="E66" s="1294">
        <v>20</v>
      </c>
      <c r="F66" s="1294">
        <v>1111117.8508148501</v>
      </c>
    </row>
    <row r="67" spans="1:6">
      <c r="A67" s="1295" t="s">
        <v>55</v>
      </c>
      <c r="B67" s="1295" t="s">
        <v>58</v>
      </c>
      <c r="C67" s="1294">
        <v>0</v>
      </c>
      <c r="D67" s="1294">
        <v>0</v>
      </c>
      <c r="E67" s="1294">
        <v>0</v>
      </c>
      <c r="F67" s="1294">
        <v>0</v>
      </c>
    </row>
    <row r="68" spans="1:6">
      <c r="A68" s="1288" t="s">
        <v>55</v>
      </c>
      <c r="B68" s="1288" t="s">
        <v>59</v>
      </c>
      <c r="C68" s="1297">
        <v>10</v>
      </c>
      <c r="D68" s="1297">
        <v>861631.41513231595</v>
      </c>
      <c r="E68" s="1297">
        <v>24</v>
      </c>
      <c r="F68" s="1297">
        <v>5809948.1984834196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76671447</v>
      </c>
      <c r="E73" s="449"/>
      <c r="F73" s="330"/>
    </row>
    <row r="74" spans="1:6">
      <c r="A74" s="1293" t="s">
        <v>63</v>
      </c>
      <c r="B74" s="1293" t="s">
        <v>656</v>
      </c>
      <c r="C74" s="1307" t="s">
        <v>658</v>
      </c>
      <c r="D74" s="1308">
        <v>7108691</v>
      </c>
      <c r="E74" s="449"/>
      <c r="F74" s="330"/>
    </row>
    <row r="75" spans="1:6">
      <c r="A75" s="1293" t="s">
        <v>64</v>
      </c>
      <c r="B75" s="1293" t="s">
        <v>655</v>
      </c>
      <c r="C75" s="1307" t="s">
        <v>659</v>
      </c>
      <c r="D75" s="1308">
        <v>39959789</v>
      </c>
      <c r="E75" s="449"/>
      <c r="F75" s="330"/>
    </row>
    <row r="76" spans="1:6">
      <c r="A76" s="1293" t="s">
        <v>64</v>
      </c>
      <c r="B76" s="1293" t="s">
        <v>656</v>
      </c>
      <c r="C76" s="1307" t="s">
        <v>660</v>
      </c>
      <c r="D76" s="1308">
        <v>2401447</v>
      </c>
      <c r="E76" s="449"/>
      <c r="F76" s="330"/>
    </row>
    <row r="77" spans="1:6">
      <c r="A77" s="1293" t="s">
        <v>65</v>
      </c>
      <c r="B77" s="1293" t="s">
        <v>655</v>
      </c>
      <c r="C77" s="1307" t="s">
        <v>661</v>
      </c>
      <c r="D77" s="1308">
        <v>287108437</v>
      </c>
      <c r="E77" s="449"/>
      <c r="F77" s="330"/>
    </row>
    <row r="78" spans="1:6">
      <c r="A78" s="1288" t="s">
        <v>65</v>
      </c>
      <c r="B78" s="1288" t="s">
        <v>656</v>
      </c>
      <c r="C78" s="1288" t="s">
        <v>662</v>
      </c>
      <c r="D78" s="1309">
        <v>43667425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452060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5779.9861632073562</v>
      </c>
      <c r="C91" s="330"/>
      <c r="D91" s="330"/>
      <c r="E91" s="330"/>
      <c r="F91" s="330"/>
    </row>
    <row r="92" spans="1:6">
      <c r="A92" s="1288" t="s">
        <v>68</v>
      </c>
      <c r="B92" s="1289">
        <v>3766.730204580705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2716</v>
      </c>
      <c r="C97" s="330"/>
      <c r="D97" s="330"/>
      <c r="E97" s="330"/>
      <c r="F97" s="330"/>
    </row>
    <row r="98" spans="1:6">
      <c r="A98" s="1293" t="s">
        <v>71</v>
      </c>
      <c r="B98" s="1294">
        <v>1</v>
      </c>
      <c r="C98" s="330"/>
      <c r="D98" s="330"/>
      <c r="E98" s="330"/>
      <c r="F98" s="330"/>
    </row>
    <row r="99" spans="1:6">
      <c r="A99" s="1293" t="s">
        <v>72</v>
      </c>
      <c r="B99" s="1294">
        <v>234</v>
      </c>
      <c r="C99" s="330"/>
      <c r="D99" s="330"/>
      <c r="E99" s="330"/>
      <c r="F99" s="330"/>
    </row>
    <row r="100" spans="1:6">
      <c r="A100" s="1293" t="s">
        <v>73</v>
      </c>
      <c r="B100" s="1294">
        <v>1001</v>
      </c>
      <c r="C100" s="330"/>
      <c r="D100" s="330"/>
      <c r="E100" s="330"/>
      <c r="F100" s="330"/>
    </row>
    <row r="101" spans="1:6">
      <c r="A101" s="1293" t="s">
        <v>74</v>
      </c>
      <c r="B101" s="1294">
        <v>222</v>
      </c>
      <c r="C101" s="330"/>
      <c r="D101" s="330"/>
      <c r="E101" s="330"/>
      <c r="F101" s="330"/>
    </row>
    <row r="102" spans="1:6">
      <c r="A102" s="1293" t="s">
        <v>75</v>
      </c>
      <c r="B102" s="1294">
        <v>140</v>
      </c>
      <c r="C102" s="330"/>
      <c r="D102" s="330"/>
      <c r="E102" s="330"/>
      <c r="F102" s="330"/>
    </row>
    <row r="103" spans="1:6">
      <c r="A103" s="1293" t="s">
        <v>76</v>
      </c>
      <c r="B103" s="1294">
        <v>292</v>
      </c>
      <c r="C103" s="330"/>
      <c r="D103" s="330"/>
      <c r="E103" s="330"/>
      <c r="F103" s="330"/>
    </row>
    <row r="104" spans="1:6">
      <c r="A104" s="1293" t="s">
        <v>77</v>
      </c>
      <c r="B104" s="1294">
        <v>3420</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46</v>
      </c>
      <c r="D123" s="330"/>
      <c r="E123" s="330"/>
      <c r="F123" s="330"/>
    </row>
    <row r="124" spans="1:6" s="43" customFormat="1">
      <c r="A124" s="1295" t="s">
        <v>88</v>
      </c>
      <c r="B124" s="1316">
        <v>1</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304</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35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107403.26063090353</v>
      </c>
      <c r="C3" s="43" t="s">
        <v>169</v>
      </c>
      <c r="D3" s="43"/>
      <c r="E3" s="154"/>
      <c r="F3" s="43"/>
      <c r="G3" s="43"/>
      <c r="H3" s="43"/>
      <c r="I3" s="43"/>
      <c r="J3" s="43"/>
      <c r="K3" s="96"/>
    </row>
    <row r="4" spans="1:11">
      <c r="A4" s="358" t="s">
        <v>170</v>
      </c>
      <c r="B4" s="49">
        <f>IF(ISERROR('SEAP template'!B78+'SEAP template'!C78),0,'SEAP template'!B78+'SEAP template'!C78)</f>
        <v>9546.7163677880617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0.20135604966843909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1283.1199999999999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1283.1199999999999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0.20135604966843909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258.36397445056753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37221.928759156006</v>
      </c>
      <c r="C5" s="17">
        <f>IF(ISERROR('Eigen informatie GS &amp; warmtenet'!B57),0,'Eigen informatie GS &amp; warmtenet'!B57)</f>
        <v>0</v>
      </c>
      <c r="D5" s="30">
        <f>(SUM(HH_hh_gas_kWh,HH_rest_gas_kWh)/1000)*0.902</f>
        <v>76818.310040184326</v>
      </c>
      <c r="E5" s="17">
        <f>B46*B57</f>
        <v>25804.370727027559</v>
      </c>
      <c r="F5" s="17">
        <f>B51*B62</f>
        <v>16445.654661525172</v>
      </c>
      <c r="G5" s="18"/>
      <c r="H5" s="17"/>
      <c r="I5" s="17"/>
      <c r="J5" s="17">
        <f>B50*B61+C50*C61</f>
        <v>0</v>
      </c>
      <c r="K5" s="17"/>
      <c r="L5" s="17"/>
      <c r="M5" s="17"/>
      <c r="N5" s="17">
        <f>B48*B59+C48*C59</f>
        <v>33741.670294210351</v>
      </c>
      <c r="O5" s="17">
        <f>B69*B70*B71</f>
        <v>551.85666666666668</v>
      </c>
      <c r="P5" s="17">
        <f>B77*B78*B79/1000-B77*B78*B79/1000/B80</f>
        <v>1239.3333333333333</v>
      </c>
    </row>
    <row r="6" spans="1:16">
      <c r="A6" s="16" t="s">
        <v>620</v>
      </c>
      <c r="B6" s="762">
        <f>kWh_PV_kleiner_dan_10kW</f>
        <v>5779.9861632073562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43001.914922363365</v>
      </c>
      <c r="C8" s="21">
        <f>C5</f>
        <v>0</v>
      </c>
      <c r="D8" s="21">
        <f>D5</f>
        <v>76818.310040184326</v>
      </c>
      <c r="E8" s="21">
        <f>E5</f>
        <v>25804.370727027559</v>
      </c>
      <c r="F8" s="21">
        <f>F5</f>
        <v>16445.654661525172</v>
      </c>
      <c r="G8" s="21"/>
      <c r="H8" s="21"/>
      <c r="I8" s="21"/>
      <c r="J8" s="21">
        <f>J5</f>
        <v>0</v>
      </c>
      <c r="K8" s="21"/>
      <c r="L8" s="21">
        <f>L5</f>
        <v>0</v>
      </c>
      <c r="M8" s="21">
        <f>M5</f>
        <v>0</v>
      </c>
      <c r="N8" s="21">
        <f>N5</f>
        <v>33741.670294210351</v>
      </c>
      <c r="O8" s="21">
        <f>O5</f>
        <v>551.85666666666668</v>
      </c>
      <c r="P8" s="21">
        <f>P5</f>
        <v>1239.3333333333333</v>
      </c>
    </row>
    <row r="9" spans="1:16">
      <c r="B9" s="19"/>
      <c r="C9" s="19"/>
      <c r="D9" s="258"/>
      <c r="E9" s="19"/>
      <c r="F9" s="19"/>
      <c r="G9" s="19"/>
      <c r="H9" s="19"/>
      <c r="I9" s="19"/>
      <c r="J9" s="19"/>
      <c r="K9" s="19"/>
      <c r="L9" s="19"/>
      <c r="M9" s="19"/>
      <c r="N9" s="19"/>
      <c r="O9" s="19"/>
      <c r="P9" s="19"/>
    </row>
    <row r="10" spans="1:16">
      <c r="A10" s="24" t="s">
        <v>213</v>
      </c>
      <c r="B10" s="25">
        <f ca="1">'EF ele_warmte'!B12</f>
        <v>0.20135604966843909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8658.695716945389</v>
      </c>
      <c r="C12" s="23">
        <f ca="1">C10*C8</f>
        <v>0</v>
      </c>
      <c r="D12" s="23">
        <f>D8*D10</f>
        <v>15517.298628117234</v>
      </c>
      <c r="E12" s="23">
        <f>E10*E8</f>
        <v>5857.5921550352559</v>
      </c>
      <c r="F12" s="23">
        <f>F10*F8</f>
        <v>4390.9897946272213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2716</v>
      </c>
      <c r="C18" s="166" t="s">
        <v>110</v>
      </c>
      <c r="D18" s="228"/>
      <c r="E18" s="15"/>
    </row>
    <row r="19" spans="1:7">
      <c r="A19" s="171" t="s">
        <v>71</v>
      </c>
      <c r="B19" s="37">
        <f>aantalw2001_ander</f>
        <v>1</v>
      </c>
      <c r="C19" s="166" t="s">
        <v>110</v>
      </c>
      <c r="D19" s="229"/>
      <c r="E19" s="15"/>
    </row>
    <row r="20" spans="1:7">
      <c r="A20" s="171" t="s">
        <v>72</v>
      </c>
      <c r="B20" s="37">
        <f>aantalw2001_propaan</f>
        <v>234</v>
      </c>
      <c r="C20" s="167">
        <f>IF(ISERROR(B20/SUM($B$20,$B$21,$B$22)*100),0,B20/SUM($B$20,$B$21,$B$22)*100)</f>
        <v>16.060398078242965</v>
      </c>
      <c r="D20" s="229"/>
      <c r="E20" s="15"/>
    </row>
    <row r="21" spans="1:7">
      <c r="A21" s="171" t="s">
        <v>73</v>
      </c>
      <c r="B21" s="37">
        <f>aantalw2001_elektriciteit</f>
        <v>1001</v>
      </c>
      <c r="C21" s="167">
        <f>IF(ISERROR(B21/SUM($B$20,$B$21,$B$22)*100),0,B21/SUM($B$20,$B$21,$B$22)*100)</f>
        <v>68.702814001372687</v>
      </c>
      <c r="D21" s="229"/>
      <c r="E21" s="15"/>
    </row>
    <row r="22" spans="1:7">
      <c r="A22" s="171" t="s">
        <v>74</v>
      </c>
      <c r="B22" s="37">
        <f>aantalw2001_hout</f>
        <v>222</v>
      </c>
      <c r="C22" s="167">
        <f>IF(ISERROR(B22/SUM($B$20,$B$21,$B$22)*100),0,B22/SUM($B$20,$B$21,$B$22)*100)</f>
        <v>15.236787920384351</v>
      </c>
      <c r="D22" s="229"/>
      <c r="E22" s="15"/>
    </row>
    <row r="23" spans="1:7">
      <c r="A23" s="171" t="s">
        <v>75</v>
      </c>
      <c r="B23" s="37">
        <f>aantalw2001_niet_gespec</f>
        <v>140</v>
      </c>
      <c r="C23" s="166" t="s">
        <v>110</v>
      </c>
      <c r="D23" s="228"/>
      <c r="E23" s="15"/>
    </row>
    <row r="24" spans="1:7">
      <c r="A24" s="171" t="s">
        <v>76</v>
      </c>
      <c r="B24" s="37">
        <f>aantalw2001_steenkool</f>
        <v>292</v>
      </c>
      <c r="C24" s="166" t="s">
        <v>110</v>
      </c>
      <c r="D24" s="229"/>
      <c r="E24" s="15"/>
    </row>
    <row r="25" spans="1:7">
      <c r="A25" s="171" t="s">
        <v>77</v>
      </c>
      <c r="B25" s="37">
        <f>aantalw2001_stookolie</f>
        <v>3420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9532</v>
      </c>
      <c r="C28" s="36"/>
      <c r="D28" s="228"/>
    </row>
    <row r="29" spans="1:7" s="15" customFormat="1">
      <c r="A29" s="230" t="s">
        <v>781</v>
      </c>
      <c r="B29" s="37">
        <f>SUM(HH_hh_gas_aantal,HH_rest_gas_aantal)</f>
        <v>5640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5640</v>
      </c>
      <c r="C32" s="167">
        <f>IF(ISERROR(B32/SUM($B$32,$B$34,$B$35,$B$36,$B$38,$B$39)*100),0,B32/SUM($B$32,$B$34,$B$35,$B$36,$B$38,$B$39)*100)</f>
        <v>59.575367064539996</v>
      </c>
      <c r="D32" s="233"/>
      <c r="G32" s="15"/>
    </row>
    <row r="33" spans="1:7">
      <c r="A33" s="171" t="s">
        <v>71</v>
      </c>
      <c r="B33" s="34" t="s">
        <v>110</v>
      </c>
      <c r="C33" s="167"/>
      <c r="D33" s="233"/>
      <c r="G33" s="15"/>
    </row>
    <row r="34" spans="1:7">
      <c r="A34" s="171" t="s">
        <v>72</v>
      </c>
      <c r="B34" s="33">
        <f>IF((($B$28-$B$32-$B$39-$B$77-$B$38)*C20/100)&lt;0,0,($B$28-$B$32-$B$39-$B$77-$B$38)*C20/100)</f>
        <v>488.01125600549074</v>
      </c>
      <c r="C34" s="167">
        <f>IF(ISERROR(B34/SUM($B$32,$B$34,$B$35,$B$36,$B$38,$B$39)*100),0,B34/SUM($B$32,$B$34,$B$35,$B$36,$B$38,$B$39)*100)</f>
        <v>5.1548669695309055</v>
      </c>
      <c r="D34" s="233"/>
      <c r="G34" s="15"/>
    </row>
    <row r="35" spans="1:7">
      <c r="A35" s="171" t="s">
        <v>73</v>
      </c>
      <c r="B35" s="33">
        <f>IF((($B$28-$B$32-$B$39-$B$77-$B$38)*C21/100)&lt;0,0,($B$28-$B$32-$B$39-$B$77-$B$38)*C21/100)</f>
        <v>2087.6037062457103</v>
      </c>
      <c r="C35" s="167">
        <f>IF(ISERROR(B35/SUM($B$32,$B$34,$B$35,$B$36,$B$38,$B$39)*100),0,B35/SUM($B$32,$B$34,$B$35,$B$36,$B$38,$B$39)*100)</f>
        <v>22.051375369659983</v>
      </c>
      <c r="D35" s="233"/>
      <c r="G35" s="15"/>
    </row>
    <row r="36" spans="1:7">
      <c r="A36" s="171" t="s">
        <v>74</v>
      </c>
      <c r="B36" s="33">
        <f>IF((($B$28-$B$32-$B$39-$B$77-$B$38)*C22/100)&lt;0,0,($B$28-$B$32-$B$39-$B$77-$B$38)*C22/100)</f>
        <v>462.98503774879885</v>
      </c>
      <c r="C36" s="167">
        <f>IF(ISERROR(B36/SUM($B$32,$B$34,$B$35,$B$36,$B$38,$B$39)*100),0,B36/SUM($B$32,$B$34,$B$35,$B$36,$B$38,$B$39)*100)</f>
        <v>4.8905148172472686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788.40000000000009</v>
      </c>
      <c r="C39" s="167">
        <f>IF(ISERROR(B39/SUM($B$32,$B$34,$B$35,$B$36,$B$38,$B$39)*100),0,B39/SUM($B$32,$B$34,$B$35,$B$36,$B$38,$B$39)*100)</f>
        <v>8.327875779021868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5640</v>
      </c>
      <c r="C44" s="34" t="s">
        <v>110</v>
      </c>
      <c r="D44" s="174"/>
    </row>
    <row r="45" spans="1:7">
      <c r="A45" s="171" t="s">
        <v>71</v>
      </c>
      <c r="B45" s="33" t="str">
        <f t="shared" si="0"/>
        <v>-</v>
      </c>
      <c r="C45" s="34" t="s">
        <v>110</v>
      </c>
      <c r="D45" s="174"/>
    </row>
    <row r="46" spans="1:7">
      <c r="A46" s="171" t="s">
        <v>72</v>
      </c>
      <c r="B46" s="33">
        <f t="shared" si="0"/>
        <v>488.01125600549074</v>
      </c>
      <c r="C46" s="34" t="s">
        <v>110</v>
      </c>
      <c r="D46" s="174"/>
    </row>
    <row r="47" spans="1:7">
      <c r="A47" s="171" t="s">
        <v>73</v>
      </c>
      <c r="B47" s="33">
        <f t="shared" si="0"/>
        <v>2087.6037062457103</v>
      </c>
      <c r="C47" s="34" t="s">
        <v>110</v>
      </c>
      <c r="D47" s="174"/>
    </row>
    <row r="48" spans="1:7">
      <c r="A48" s="171" t="s">
        <v>74</v>
      </c>
      <c r="B48" s="33">
        <f t="shared" si="0"/>
        <v>462.98503774879885</v>
      </c>
      <c r="C48" s="33">
        <f>B48*10</f>
        <v>4629.8503774879882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788.40000000000009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28153.127668923647</v>
      </c>
      <c r="C5" s="17">
        <f>IF(ISERROR('Eigen informatie GS &amp; warmtenet'!B58),0,'Eigen informatie GS &amp; warmtenet'!B58)</f>
        <v>0</v>
      </c>
      <c r="D5" s="30">
        <f>SUM(D6:D12)</f>
        <v>27841.953678224567</v>
      </c>
      <c r="E5" s="17">
        <f>SUM(E6:E12)</f>
        <v>450.11423157301118</v>
      </c>
      <c r="F5" s="17">
        <f>SUM(F6:F12)</f>
        <v>4910.408821826748</v>
      </c>
      <c r="G5" s="18"/>
      <c r="H5" s="17"/>
      <c r="I5" s="17"/>
      <c r="J5" s="17">
        <f>SUM(J6:J12)</f>
        <v>5.4897519510733808E-2</v>
      </c>
      <c r="K5" s="17"/>
      <c r="L5" s="17"/>
      <c r="M5" s="17"/>
      <c r="N5" s="17">
        <f>SUM(N6:N12)</f>
        <v>2189.4088297966746</v>
      </c>
      <c r="O5" s="17">
        <f>B38*B39*B40</f>
        <v>4.6900000000000004</v>
      </c>
      <c r="P5" s="17">
        <f>B46*B47*B48/1000-B46*B47*B48/1000/B49</f>
        <v>0</v>
      </c>
      <c r="R5" s="32"/>
    </row>
    <row r="6" spans="1:18">
      <c r="A6" s="32" t="s">
        <v>53</v>
      </c>
      <c r="B6" s="37">
        <f>B26</f>
        <v>9220.8950169069394</v>
      </c>
      <c r="C6" s="33"/>
      <c r="D6" s="37">
        <f>IF(ISERROR(TER_kantoor_gas_kWh/1000),0,TER_kantoor_gas_kWh/1000)*0.902</f>
        <v>7966.1601978889894</v>
      </c>
      <c r="E6" s="33">
        <f>$C$26*'E Balans VL '!I12/100/3.6*1000000</f>
        <v>5.7793503144336157E-2</v>
      </c>
      <c r="F6" s="33">
        <f>$C$26*('E Balans VL '!L12+'E Balans VL '!N12)/100/3.6*1000000</f>
        <v>1385.6428646606821</v>
      </c>
      <c r="G6" s="34"/>
      <c r="H6" s="33"/>
      <c r="I6" s="33"/>
      <c r="J6" s="33">
        <f>$C$26*('E Balans VL '!D12+'E Balans VL '!E12)/100/3.6*1000000</f>
        <v>0</v>
      </c>
      <c r="K6" s="33"/>
      <c r="L6" s="33"/>
      <c r="M6" s="33"/>
      <c r="N6" s="33">
        <f>$C$26*'E Balans VL '!Y12/100/3.6*1000000</f>
        <v>8.8184189359487437</v>
      </c>
      <c r="O6" s="33"/>
      <c r="P6" s="33"/>
      <c r="R6" s="32"/>
    </row>
    <row r="7" spans="1:18">
      <c r="A7" s="32" t="s">
        <v>52</v>
      </c>
      <c r="B7" s="37">
        <f t="shared" ref="B7:B12" si="0">B27</f>
        <v>2893.97033371201</v>
      </c>
      <c r="C7" s="33"/>
      <c r="D7" s="37">
        <f>IF(ISERROR(TER_horeca_gas_kWh/1000),0,TER_horeca_gas_kWh/1000)*0.902</f>
        <v>3001.8599994996243</v>
      </c>
      <c r="E7" s="33">
        <f>$C$27*'E Balans VL '!I9/100/3.6*1000000</f>
        <v>41.441173135319566</v>
      </c>
      <c r="F7" s="33">
        <f>$C$27*('E Balans VL '!L9+'E Balans VL '!N9)/100/3.6*1000000</f>
        <v>366.4720910667175</v>
      </c>
      <c r="G7" s="34"/>
      <c r="H7" s="33"/>
      <c r="I7" s="33"/>
      <c r="J7" s="33">
        <f>$C$27*('E Balans VL '!D9+'E Balans VL '!E9)/100/3.6*1000000</f>
        <v>0</v>
      </c>
      <c r="K7" s="33"/>
      <c r="L7" s="33"/>
      <c r="M7" s="33"/>
      <c r="N7" s="33">
        <f>$C$27*'E Balans VL '!Y9/100/3.6*1000000</f>
        <v>0.83195266437347903</v>
      </c>
      <c r="O7" s="33"/>
      <c r="P7" s="33"/>
      <c r="R7" s="32"/>
    </row>
    <row r="8" spans="1:18">
      <c r="A8" s="6" t="s">
        <v>51</v>
      </c>
      <c r="B8" s="37">
        <f t="shared" si="0"/>
        <v>10182.4730204527</v>
      </c>
      <c r="C8" s="33"/>
      <c r="D8" s="37">
        <f>IF(ISERROR(TER_handel_gas_kWh/1000),0,TER_handel_gas_kWh/1000)*0.902</f>
        <v>4901.6763757031122</v>
      </c>
      <c r="E8" s="33">
        <f>$C$28*'E Balans VL '!I13/100/3.6*1000000</f>
        <v>369.31704080550156</v>
      </c>
      <c r="F8" s="33">
        <f>$C$28*('E Balans VL '!L13+'E Balans VL '!N13)/100/3.6*1000000</f>
        <v>1961.2474078336763</v>
      </c>
      <c r="G8" s="34"/>
      <c r="H8" s="33"/>
      <c r="I8" s="33"/>
      <c r="J8" s="33">
        <f>$C$28*('E Balans VL '!D13+'E Balans VL '!E13)/100/3.6*1000000</f>
        <v>0</v>
      </c>
      <c r="K8" s="33"/>
      <c r="L8" s="33"/>
      <c r="M8" s="33"/>
      <c r="N8" s="33">
        <f>$C$28*'E Balans VL '!Y13/100/3.6*1000000</f>
        <v>14.105068015879567</v>
      </c>
      <c r="O8" s="33"/>
      <c r="P8" s="33"/>
      <c r="R8" s="32"/>
    </row>
    <row r="9" spans="1:18">
      <c r="A9" s="32" t="s">
        <v>50</v>
      </c>
      <c r="B9" s="37">
        <f t="shared" si="0"/>
        <v>754.21691688035889</v>
      </c>
      <c r="C9" s="33"/>
      <c r="D9" s="37">
        <f>IF(ISERROR(TER_gezond_gas_kWh/1000),0,TER_gezond_gas_kWh/1000)*0.902</f>
        <v>783.58922102503516</v>
      </c>
      <c r="E9" s="33">
        <f>$C$29*'E Balans VL '!I10/100/3.6*1000000</f>
        <v>4.7221425543468198E-2</v>
      </c>
      <c r="F9" s="33">
        <f>$C$29*('E Balans VL '!L10+'E Balans VL '!N10)/100/3.6*1000000</f>
        <v>112.04121937439433</v>
      </c>
      <c r="G9" s="34"/>
      <c r="H9" s="33"/>
      <c r="I9" s="33"/>
      <c r="J9" s="33">
        <f>$C$29*('E Balans VL '!D10+'E Balans VL '!E10)/100/3.6*1000000</f>
        <v>0</v>
      </c>
      <c r="K9" s="33"/>
      <c r="L9" s="33"/>
      <c r="M9" s="33"/>
      <c r="N9" s="33">
        <f>$C$29*'E Balans VL '!Y10/100/3.6*1000000</f>
        <v>11.666300046016989</v>
      </c>
      <c r="O9" s="33"/>
      <c r="P9" s="33"/>
      <c r="R9" s="32"/>
    </row>
    <row r="10" spans="1:18">
      <c r="A10" s="32" t="s">
        <v>49</v>
      </c>
      <c r="B10" s="37">
        <f t="shared" si="0"/>
        <v>2272.4099538410901</v>
      </c>
      <c r="C10" s="33"/>
      <c r="D10" s="37">
        <f>IF(ISERROR(TER_ander_gas_kWh/1000),0,TER_ander_gas_kWh/1000)*0.902</f>
        <v>2320.368659861007</v>
      </c>
      <c r="E10" s="33">
        <f>$C$30*'E Balans VL '!I14/100/3.6*1000000</f>
        <v>2.7086314627675918</v>
      </c>
      <c r="F10" s="33">
        <f>$C$30*('E Balans VL '!L14+'E Balans VL '!N14)/100/3.6*1000000</f>
        <v>594.56346733668067</v>
      </c>
      <c r="G10" s="34"/>
      <c r="H10" s="33"/>
      <c r="I10" s="33"/>
      <c r="J10" s="33">
        <f>$C$30*('E Balans VL '!D14+'E Balans VL '!E14)/100/3.6*1000000</f>
        <v>4.9325112496827327E-2</v>
      </c>
      <c r="K10" s="33"/>
      <c r="L10" s="33"/>
      <c r="M10" s="33"/>
      <c r="N10" s="33">
        <f>$C$30*'E Balans VL '!Y14/100/3.6*1000000</f>
        <v>1929.6749277129807</v>
      </c>
      <c r="O10" s="33"/>
      <c r="P10" s="33"/>
      <c r="R10" s="32"/>
    </row>
    <row r="11" spans="1:18">
      <c r="A11" s="32" t="s">
        <v>54</v>
      </c>
      <c r="B11" s="37">
        <f t="shared" si="0"/>
        <v>527.96526020820693</v>
      </c>
      <c r="C11" s="33"/>
      <c r="D11" s="37">
        <f>IF(ISERROR(TER_onderwijs_gas_kWh/1000),0,TER_onderwijs_gas_kWh/1000)*0.902</f>
        <v>1321.4336437636146</v>
      </c>
      <c r="E11" s="33">
        <f>$C$31*'E Balans VL '!I11/100/3.6*1000000</f>
        <v>7.9661454076289555</v>
      </c>
      <c r="F11" s="33">
        <f>$C$31*('E Balans VL '!L11+'E Balans VL '!N11)/100/3.6*1000000</f>
        <v>92.507948084433096</v>
      </c>
      <c r="G11" s="34"/>
      <c r="H11" s="33"/>
      <c r="I11" s="33"/>
      <c r="J11" s="33">
        <f>$C$31*('E Balans VL '!D11+'E Balans VL '!E11)/100/3.6*1000000</f>
        <v>0</v>
      </c>
      <c r="K11" s="33"/>
      <c r="L11" s="33"/>
      <c r="M11" s="33"/>
      <c r="N11" s="33">
        <f>$C$31*'E Balans VL '!Y11/100/3.6*1000000</f>
        <v>1.4857343796734843</v>
      </c>
      <c r="O11" s="33"/>
      <c r="P11" s="33"/>
      <c r="R11" s="32"/>
    </row>
    <row r="12" spans="1:18">
      <c r="A12" s="32" t="s">
        <v>259</v>
      </c>
      <c r="B12" s="37">
        <f t="shared" si="0"/>
        <v>2301.1971669223403</v>
      </c>
      <c r="C12" s="33"/>
      <c r="D12" s="37">
        <f>IF(ISERROR(TER_rest_gas_kWh/1000),0,TER_rest_gas_kWh/1000)*0.902</f>
        <v>7546.8655804831824</v>
      </c>
      <c r="E12" s="33">
        <f>$C$32*'E Balans VL '!I8/100/3.6*1000000</f>
        <v>28.576225833105706</v>
      </c>
      <c r="F12" s="33">
        <f>$C$32*('E Balans VL '!L8+'E Balans VL '!N8)/100/3.6*1000000</f>
        <v>397.93382347016478</v>
      </c>
      <c r="G12" s="34"/>
      <c r="H12" s="33"/>
      <c r="I12" s="33"/>
      <c r="J12" s="33">
        <f>$C$32*('E Balans VL '!D8+'E Balans VL '!E8)/100/3.6*1000000</f>
        <v>5.5724070139064798E-3</v>
      </c>
      <c r="K12" s="33"/>
      <c r="L12" s="33"/>
      <c r="M12" s="33"/>
      <c r="N12" s="33">
        <f>$C$32*'E Balans VL '!Y8/100/3.6*1000000</f>
        <v>222.82642804180151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28153.127668923647</v>
      </c>
      <c r="C16" s="21">
        <f t="shared" ca="1" si="1"/>
        <v>0</v>
      </c>
      <c r="D16" s="21">
        <f t="shared" ca="1" si="1"/>
        <v>27841.953678224567</v>
      </c>
      <c r="E16" s="21">
        <f t="shared" si="1"/>
        <v>450.11423157301118</v>
      </c>
      <c r="F16" s="21">
        <f t="shared" ca="1" si="1"/>
        <v>4910.408821826748</v>
      </c>
      <c r="G16" s="21">
        <f t="shared" si="1"/>
        <v>0</v>
      </c>
      <c r="H16" s="21">
        <f t="shared" si="1"/>
        <v>0</v>
      </c>
      <c r="I16" s="21">
        <f t="shared" si="1"/>
        <v>0</v>
      </c>
      <c r="J16" s="21">
        <f t="shared" si="1"/>
        <v>5.4897519510733808E-2</v>
      </c>
      <c r="K16" s="21">
        <f t="shared" si="1"/>
        <v>0</v>
      </c>
      <c r="L16" s="21">
        <f t="shared" ca="1" si="1"/>
        <v>0</v>
      </c>
      <c r="M16" s="21">
        <f t="shared" si="1"/>
        <v>0</v>
      </c>
      <c r="N16" s="21">
        <f t="shared" ca="1" si="1"/>
        <v>2189.4088297966746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0.20135604966843909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5668.8025732256965</v>
      </c>
      <c r="C20" s="23">
        <f t="shared" ref="C20:P20" ca="1" si="2">C16*C18</f>
        <v>0</v>
      </c>
      <c r="D20" s="23">
        <f t="shared" ca="1" si="2"/>
        <v>5624.0746430013633</v>
      </c>
      <c r="E20" s="23">
        <f t="shared" si="2"/>
        <v>102.17593056707354</v>
      </c>
      <c r="F20" s="23">
        <f t="shared" ca="1" si="2"/>
        <v>1311.0791554277419</v>
      </c>
      <c r="G20" s="23">
        <f t="shared" si="2"/>
        <v>0</v>
      </c>
      <c r="H20" s="23">
        <f t="shared" si="2"/>
        <v>0</v>
      </c>
      <c r="I20" s="23">
        <f t="shared" si="2"/>
        <v>0</v>
      </c>
      <c r="J20" s="23">
        <f t="shared" si="2"/>
        <v>1.9433721906799768E-2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9220.8950169069394</v>
      </c>
      <c r="C26" s="39">
        <f>IF(ISERROR(B26*3.6/1000000/'E Balans VL '!Z12*100),0,B26*3.6/1000000/'E Balans VL '!Z12*100)</f>
        <v>0.19491511357981819</v>
      </c>
      <c r="D26" s="237" t="s">
        <v>744</v>
      </c>
      <c r="F26" s="6"/>
    </row>
    <row r="27" spans="1:18">
      <c r="A27" s="231" t="s">
        <v>52</v>
      </c>
      <c r="B27" s="33">
        <f>IF(ISERROR(TER_horeca_ele_kWh/1000),0,TER_horeca_ele_kWh/1000)</f>
        <v>2893.97033371201</v>
      </c>
      <c r="C27" s="39">
        <f>IF(ISERROR(B27*3.6/1000000/'E Balans VL '!Z9*100),0,B27*3.6/1000000/'E Balans VL '!Z9*100)</f>
        <v>0.22813060276870792</v>
      </c>
      <c r="D27" s="237" t="s">
        <v>744</v>
      </c>
      <c r="F27" s="6"/>
    </row>
    <row r="28" spans="1:18">
      <c r="A28" s="171" t="s">
        <v>51</v>
      </c>
      <c r="B28" s="33">
        <f>IF(ISERROR(TER_handel_ele_kWh/1000),0,TER_handel_ele_kWh/1000)</f>
        <v>10182.4730204527</v>
      </c>
      <c r="C28" s="39">
        <f>IF(ISERROR(B28*3.6/1000000/'E Balans VL '!Z13*100),0,B28*3.6/1000000/'E Balans VL '!Z13*100)</f>
        <v>0.29553650885473004</v>
      </c>
      <c r="D28" s="237" t="s">
        <v>744</v>
      </c>
      <c r="F28" s="6"/>
    </row>
    <row r="29" spans="1:18">
      <c r="A29" s="231" t="s">
        <v>50</v>
      </c>
      <c r="B29" s="33">
        <f>IF(ISERROR(TER_gezond_ele_kWh/1000),0,TER_gezond_ele_kWh/1000)</f>
        <v>754.21691688035889</v>
      </c>
      <c r="C29" s="39">
        <f>IF(ISERROR(B29*3.6/1000000/'E Balans VL '!Z10*100),0,B29*3.6/1000000/'E Balans VL '!Z10*100)</f>
        <v>7.9431425916181714E-2</v>
      </c>
      <c r="D29" s="237" t="s">
        <v>744</v>
      </c>
      <c r="F29" s="6"/>
    </row>
    <row r="30" spans="1:18">
      <c r="A30" s="231" t="s">
        <v>49</v>
      </c>
      <c r="B30" s="33">
        <f>IF(ISERROR(TER_ander_ele_kWh/1000),0,TER_ander_ele_kWh/1000)</f>
        <v>2272.4099538410901</v>
      </c>
      <c r="C30" s="39">
        <f>IF(ISERROR(B30*3.6/1000000/'E Balans VL '!Z14*100),0,B30*3.6/1000000/'E Balans VL '!Z14*100)</f>
        <v>0.16761345176030559</v>
      </c>
      <c r="D30" s="237" t="s">
        <v>744</v>
      </c>
      <c r="F30" s="6"/>
    </row>
    <row r="31" spans="1:18">
      <c r="A31" s="231" t="s">
        <v>54</v>
      </c>
      <c r="B31" s="33">
        <f>IF(ISERROR(TER_onderwijs_ele_kWh/1000),0,TER_onderwijs_ele_kWh/1000)</f>
        <v>527.96526020820693</v>
      </c>
      <c r="C31" s="39">
        <f>IF(ISERROR(B31*3.6/1000000/'E Balans VL '!Z11*100),0,B31*3.6/1000000/'E Balans VL '!Z11*100)</f>
        <v>0.131118505458966</v>
      </c>
      <c r="D31" s="237" t="s">
        <v>744</v>
      </c>
    </row>
    <row r="32" spans="1:18">
      <c r="A32" s="231" t="s">
        <v>259</v>
      </c>
      <c r="B32" s="33">
        <f>IF(ISERROR(TER_rest_ele_kWh/1000),0,TER_rest_ele_kWh/1000)</f>
        <v>2301.1971669223403</v>
      </c>
      <c r="C32" s="39">
        <f>IF(ISERROR(B32*3.6/1000000/'E Balans VL '!Z8*100),0,B32*3.6/1000000/'E Balans VL '!Z8*100)</f>
        <v>1.8935798155032678E-2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28477.543712992927</v>
      </c>
      <c r="C5" s="17">
        <f>IF(ISERROR('Eigen informatie GS &amp; warmtenet'!B59),0,'Eigen informatie GS &amp; warmtenet'!B59)</f>
        <v>0</v>
      </c>
      <c r="D5" s="30">
        <f>SUM(D6:D15)</f>
        <v>30595.966765797319</v>
      </c>
      <c r="E5" s="17">
        <f>SUM(E6:E15)</f>
        <v>1859.9411125288852</v>
      </c>
      <c r="F5" s="17">
        <f>SUM(F6:F15)</f>
        <v>6255.1895568820346</v>
      </c>
      <c r="G5" s="18"/>
      <c r="H5" s="17"/>
      <c r="I5" s="17"/>
      <c r="J5" s="17">
        <f>SUM(J6:J15)</f>
        <v>57.500182714961674</v>
      </c>
      <c r="K5" s="17"/>
      <c r="L5" s="17"/>
      <c r="M5" s="17"/>
      <c r="N5" s="17">
        <f>SUM(N6:N15)</f>
        <v>3366.9964052849773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1908.9182235211599</v>
      </c>
      <c r="C8" s="33"/>
      <c r="D8" s="37">
        <f>IF( ISERROR(IND_metaal_Gas_kWH/1000),0,IND_metaal_Gas_kWH/1000)*0.902</f>
        <v>3154.2939770918069</v>
      </c>
      <c r="E8" s="33">
        <f>C30*'E Balans VL '!I18/100/3.6*1000000</f>
        <v>17.550659414523619</v>
      </c>
      <c r="F8" s="33">
        <f>C30*'E Balans VL '!L18/100/3.6*1000000+C30*'E Balans VL '!N18/100/3.6*1000000</f>
        <v>178.99297504536409</v>
      </c>
      <c r="G8" s="34"/>
      <c r="H8" s="33"/>
      <c r="I8" s="33"/>
      <c r="J8" s="40">
        <f>C30*'E Balans VL '!D18/100/3.6*1000000+C30*'E Balans VL '!E18/100/3.6*1000000</f>
        <v>0</v>
      </c>
      <c r="K8" s="33"/>
      <c r="L8" s="33"/>
      <c r="M8" s="33"/>
      <c r="N8" s="33">
        <f>C30*'E Balans VL '!Y18/100/3.6*1000000</f>
        <v>27.233873078738085</v>
      </c>
      <c r="O8" s="33"/>
      <c r="P8" s="33"/>
      <c r="R8" s="32"/>
    </row>
    <row r="9" spans="1:18">
      <c r="A9" s="6" t="s">
        <v>32</v>
      </c>
      <c r="B9" s="37">
        <f t="shared" si="0"/>
        <v>3259.7083868755199</v>
      </c>
      <c r="C9" s="33"/>
      <c r="D9" s="37">
        <f>IF( ISERROR(IND_andere_gas_kWh/1000),0,IND_andere_gas_kWh/1000)*0.902</f>
        <v>2273.0047047501025</v>
      </c>
      <c r="E9" s="33">
        <f>C31*'E Balans VL '!I19/100/3.6*1000000</f>
        <v>952.87622052105689</v>
      </c>
      <c r="F9" s="33">
        <f>C31*'E Balans VL '!L19/100/3.6*1000000+C31*'E Balans VL '!N19/100/3.6*1000000</f>
        <v>2619.422426107687</v>
      </c>
      <c r="G9" s="34"/>
      <c r="H9" s="33"/>
      <c r="I9" s="33"/>
      <c r="J9" s="40">
        <f>C31*'E Balans VL '!D19/100/3.6*1000000+C31*'E Balans VL '!E19/100/3.6*1000000</f>
        <v>0</v>
      </c>
      <c r="K9" s="33"/>
      <c r="L9" s="33"/>
      <c r="M9" s="33"/>
      <c r="N9" s="33">
        <f>C31*'E Balans VL '!Y19/100/3.6*1000000</f>
        <v>255.68709863205899</v>
      </c>
      <c r="O9" s="33"/>
      <c r="P9" s="33"/>
      <c r="R9" s="32"/>
    </row>
    <row r="10" spans="1:18">
      <c r="A10" s="6" t="s">
        <v>40</v>
      </c>
      <c r="B10" s="37">
        <f t="shared" si="0"/>
        <v>2920.8785203177003</v>
      </c>
      <c r="C10" s="33"/>
      <c r="D10" s="37">
        <f>IF( ISERROR(IND_voed_gas_kWh/1000),0,IND_voed_gas_kWh/1000)*0.902</f>
        <v>2467.6288950450266</v>
      </c>
      <c r="E10" s="33">
        <f>C32*'E Balans VL '!I20/100/3.6*1000000</f>
        <v>6.1791637984899461</v>
      </c>
      <c r="F10" s="33">
        <f>C32*'E Balans VL '!L20/100/3.6*1000000+C32*'E Balans VL '!N20/100/3.6*1000000</f>
        <v>185.71243991171542</v>
      </c>
      <c r="G10" s="34"/>
      <c r="H10" s="33"/>
      <c r="I10" s="33"/>
      <c r="J10" s="40">
        <f>C32*'E Balans VL '!D20/100/3.6*1000000+C32*'E Balans VL '!E20/100/3.6*1000000</f>
        <v>0</v>
      </c>
      <c r="K10" s="33"/>
      <c r="L10" s="33"/>
      <c r="M10" s="33"/>
      <c r="N10" s="33">
        <f>C32*'E Balans VL '!Y20/100/3.6*1000000</f>
        <v>201.56944183546057</v>
      </c>
      <c r="O10" s="33"/>
      <c r="P10" s="33"/>
      <c r="R10" s="32"/>
    </row>
    <row r="11" spans="1:18">
      <c r="A11" s="6" t="s">
        <v>39</v>
      </c>
      <c r="B11" s="37">
        <f t="shared" si="0"/>
        <v>213.606096571195</v>
      </c>
      <c r="C11" s="33"/>
      <c r="D11" s="37">
        <f>IF( ISERROR(IND_textiel_gas_kWh/1000),0,IND_textiel_gas_kWh/1000)*0.902</f>
        <v>0</v>
      </c>
      <c r="E11" s="33">
        <f>C33*'E Balans VL '!I21/100/3.6*1000000</f>
        <v>0.63439169043051136</v>
      </c>
      <c r="F11" s="33">
        <f>C33*'E Balans VL '!L21/100/3.6*1000000+C33*'E Balans VL '!N21/100/3.6*1000000</f>
        <v>21.580080120375193</v>
      </c>
      <c r="G11" s="34"/>
      <c r="H11" s="33"/>
      <c r="I11" s="33"/>
      <c r="J11" s="40">
        <f>C33*'E Balans VL '!D21/100/3.6*1000000+C33*'E Balans VL '!E21/100/3.6*1000000</f>
        <v>0</v>
      </c>
      <c r="K11" s="33"/>
      <c r="L11" s="33"/>
      <c r="M11" s="33"/>
      <c r="N11" s="33">
        <f>C33*'E Balans VL '!Y21/100/3.6*1000000</f>
        <v>11.781057918625795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4298.5458569570501</v>
      </c>
      <c r="C13" s="33"/>
      <c r="D13" s="37">
        <f>IF( ISERROR(IND_papier_gas_kWh/1000),0,IND_papier_gas_kWh/1000)*0.902</f>
        <v>1585.0975494940963</v>
      </c>
      <c r="E13" s="33">
        <f>C35*'E Balans VL '!I23/100/3.6*1000000</f>
        <v>6.0986535012161189</v>
      </c>
      <c r="F13" s="33">
        <f>C35*'E Balans VL '!L23/100/3.6*1000000+C35*'E Balans VL '!N23/100/3.6*1000000</f>
        <v>104.94366794288068</v>
      </c>
      <c r="G13" s="34"/>
      <c r="H13" s="33"/>
      <c r="I13" s="33"/>
      <c r="J13" s="40">
        <f>C35*'E Balans VL '!D23/100/3.6*1000000+C35*'E Balans VL '!E23/100/3.6*1000000</f>
        <v>0.66481047398617843</v>
      </c>
      <c r="K13" s="33"/>
      <c r="L13" s="33"/>
      <c r="M13" s="33"/>
      <c r="N13" s="33">
        <f>C35*'E Balans VL '!Y23/100/3.6*1000000</f>
        <v>1756.3235124175974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15875.886628750301</v>
      </c>
      <c r="C15" s="33"/>
      <c r="D15" s="37">
        <f>IF( ISERROR(IND_rest_gas_kWh/1000),0,IND_rest_gas_kWh/1000)*0.902</f>
        <v>21115.941639416287</v>
      </c>
      <c r="E15" s="33">
        <f>C37*'E Balans VL '!I15/100/3.6*1000000</f>
        <v>876.60202360316816</v>
      </c>
      <c r="F15" s="33">
        <f>C37*'E Balans VL '!L15/100/3.6*1000000+C37*'E Balans VL '!N15/100/3.6*1000000</f>
        <v>3144.5379677540127</v>
      </c>
      <c r="G15" s="34"/>
      <c r="H15" s="33"/>
      <c r="I15" s="33"/>
      <c r="J15" s="40">
        <f>C37*'E Balans VL '!D15/100/3.6*1000000+C37*'E Balans VL '!E15/100/3.6*1000000</f>
        <v>56.835372240975495</v>
      </c>
      <c r="K15" s="33"/>
      <c r="L15" s="33"/>
      <c r="M15" s="33"/>
      <c r="N15" s="33">
        <f>C37*'E Balans VL '!Y15/100/3.6*1000000</f>
        <v>1114.4014214024962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28477.543712992927</v>
      </c>
      <c r="C18" s="21">
        <f>C5+C16</f>
        <v>0</v>
      </c>
      <c r="D18" s="21">
        <f>MAX((D5+D16),0)</f>
        <v>30595.966765797319</v>
      </c>
      <c r="E18" s="21">
        <f>MAX((E5+E16),0)</f>
        <v>1859.9411125288852</v>
      </c>
      <c r="F18" s="21">
        <f>MAX((F5+F16),0)</f>
        <v>6255.1895568820346</v>
      </c>
      <c r="G18" s="21"/>
      <c r="H18" s="21"/>
      <c r="I18" s="21"/>
      <c r="J18" s="21">
        <f>MAX((J5+J16),0)</f>
        <v>57.500182714961674</v>
      </c>
      <c r="K18" s="21"/>
      <c r="L18" s="21">
        <f>MAX((L5+L16),0)</f>
        <v>0</v>
      </c>
      <c r="M18" s="21"/>
      <c r="N18" s="21">
        <f>MAX((N5+N16),0)</f>
        <v>3366.9964052849773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0.20135604966843909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5734.1257063085495</v>
      </c>
      <c r="C22" s="23">
        <f ca="1">C18*C20</f>
        <v>0</v>
      </c>
      <c r="D22" s="23">
        <f>D18*D20</f>
        <v>6180.3852866910584</v>
      </c>
      <c r="E22" s="23">
        <f>E18*E20</f>
        <v>422.20663254405696</v>
      </c>
      <c r="F22" s="23">
        <f>F18*F20</f>
        <v>1670.1356116875033</v>
      </c>
      <c r="G22" s="23"/>
      <c r="H22" s="23"/>
      <c r="I22" s="23"/>
      <c r="J22" s="23">
        <f>J18*J20</f>
        <v>20.355064681096433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1908.9182235211599</v>
      </c>
      <c r="C30" s="39">
        <f>IF(ISERROR(B30*3.6/1000000/'E Balans VL '!Z18*100),0,B30*3.6/1000000/'E Balans VL '!Z18*100)</f>
        <v>0.10818329051341198</v>
      </c>
      <c r="D30" s="237" t="s">
        <v>744</v>
      </c>
    </row>
    <row r="31" spans="1:18">
      <c r="A31" s="6" t="s">
        <v>32</v>
      </c>
      <c r="B31" s="37">
        <f>IF( ISERROR(IND_ander_ele_kWh/1000),0,IND_ander_ele_kWh/1000)</f>
        <v>3259.7083868755199</v>
      </c>
      <c r="C31" s="39">
        <f>IF(ISERROR(B31*3.6/1000000/'E Balans VL '!Z19*100),0,B31*3.6/1000000/'E Balans VL '!Z19*100)</f>
        <v>0.14784679923918786</v>
      </c>
      <c r="D31" s="237" t="s">
        <v>744</v>
      </c>
    </row>
    <row r="32" spans="1:18">
      <c r="A32" s="171" t="s">
        <v>40</v>
      </c>
      <c r="B32" s="37">
        <f>IF( ISERROR(IND_voed_ele_kWh/1000),0,IND_voed_ele_kWh/1000)</f>
        <v>2920.8785203177003</v>
      </c>
      <c r="C32" s="39">
        <f>IF(ISERROR(B32*3.6/1000000/'E Balans VL '!Z20*100),0,B32*3.6/1000000/'E Balans VL '!Z20*100)</f>
        <v>9.0356032302322017E-2</v>
      </c>
      <c r="D32" s="237" t="s">
        <v>744</v>
      </c>
    </row>
    <row r="33" spans="1:5">
      <c r="A33" s="171" t="s">
        <v>39</v>
      </c>
      <c r="B33" s="37">
        <f>IF( ISERROR(IND_textiel_ele_kWh/1000),0,IND_textiel_ele_kWh/1000)</f>
        <v>213.606096571195</v>
      </c>
      <c r="C33" s="39">
        <f>IF(ISERROR(B33*3.6/1000000/'E Balans VL '!Z21*100),0,B33*3.6/1000000/'E Balans VL '!Z21*100)</f>
        <v>2.7851860640218079E-2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4298.5458569570501</v>
      </c>
      <c r="C35" s="39">
        <f>IF(ISERROR(B35*3.6/1000000/'E Balans VL '!Z22*100),0,B35*3.6/1000000/'E Balans VL '!Z22*100)</f>
        <v>0.77317428658040543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15875.886628750301</v>
      </c>
      <c r="C37" s="39">
        <f>IF(ISERROR(B37*3.6/1000000/'E Balans VL '!Z15*100),0,B37*3.6/1000000/'E Balans VL '!Z15*100)</f>
        <v>0.12583589897592692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3997.526932675572</v>
      </c>
      <c r="C5" s="17">
        <f>'Eigen informatie GS &amp; warmtenet'!B60</f>
        <v>0</v>
      </c>
      <c r="D5" s="30">
        <f>IF(ISERROR(SUM(LB_lb_gas_kWh,LB_rest_gas_kWh)/1000),0,SUM(LB_lb_gas_kWh,LB_rest_gas_kWh)/1000)*0.902</f>
        <v>496.59933953093559</v>
      </c>
      <c r="E5" s="17">
        <f>B17*'E Balans VL '!I25/3.6*1000000/100</f>
        <v>117.49952640786739</v>
      </c>
      <c r="F5" s="17">
        <f>B17*('E Balans VL '!L25/3.6*1000000+'E Balans VL '!N25/3.6*1000000)/100</f>
        <v>16653.481186509114</v>
      </c>
      <c r="G5" s="18"/>
      <c r="H5" s="17"/>
      <c r="I5" s="17"/>
      <c r="J5" s="17">
        <f>('E Balans VL '!D25+'E Balans VL '!E25)/3.6*1000000*landbouw!B17/100</f>
        <v>579.15580467112022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3997.526932675572</v>
      </c>
      <c r="C8" s="21">
        <f>C5+C6</f>
        <v>0</v>
      </c>
      <c r="D8" s="21">
        <f>MAX((D5+D6),0)</f>
        <v>496.59933953093559</v>
      </c>
      <c r="E8" s="21">
        <f>MAX((E5+E6),0)</f>
        <v>117.49952640786739</v>
      </c>
      <c r="F8" s="21">
        <f>MAX((F5+F6),0)</f>
        <v>16653.481186509114</v>
      </c>
      <c r="G8" s="21"/>
      <c r="H8" s="21"/>
      <c r="I8" s="21"/>
      <c r="J8" s="21">
        <f>MAX((J5+J6),0)</f>
        <v>579.15580467112022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0.20135604966843909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804.92623160674543</v>
      </c>
      <c r="C12" s="23">
        <f ca="1">C8*C10</f>
        <v>0</v>
      </c>
      <c r="D12" s="23">
        <f>D8*D10</f>
        <v>100.31306658524899</v>
      </c>
      <c r="E12" s="23">
        <f>E8*E10</f>
        <v>26.6723924945859</v>
      </c>
      <c r="F12" s="23">
        <f>F8*F10</f>
        <v>4446.4794767979338</v>
      </c>
      <c r="G12" s="23"/>
      <c r="H12" s="23"/>
      <c r="I12" s="23"/>
      <c r="J12" s="23">
        <f>J8*J10</f>
        <v>205.02115485357655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0.56726161360492722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909.35262577251365</v>
      </c>
      <c r="C26" s="247">
        <f>B26*'GWP N2O_CH4'!B5</f>
        <v>19096.405141222785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406.70678400175137</v>
      </c>
      <c r="C27" s="247">
        <f>B27*'GWP N2O_CH4'!B5</f>
        <v>8540.8424640367793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12.413355989006822</v>
      </c>
      <c r="C28" s="247">
        <f>B28*'GWP N2O_CH4'!B4</f>
        <v>3848.140356592115</v>
      </c>
      <c r="D28" s="50"/>
    </row>
    <row r="29" spans="1:4">
      <c r="A29" s="41" t="s">
        <v>276</v>
      </c>
      <c r="B29" s="247">
        <f>B34*'ha_N2O bodem landbouw'!B4</f>
        <v>30.233978569953656</v>
      </c>
      <c r="C29" s="247">
        <f>B29*'GWP N2O_CH4'!B4</f>
        <v>9372.5333566856334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6.8992897187381223E-3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4.8609000998816969E-4</v>
      </c>
      <c r="C5" s="437" t="s">
        <v>210</v>
      </c>
      <c r="D5" s="422">
        <f>SUM(D6:D11)</f>
        <v>1.286497344722008E-3</v>
      </c>
      <c r="E5" s="422">
        <f>SUM(E6:E11)</f>
        <v>2.553971718211972E-3</v>
      </c>
      <c r="F5" s="435" t="s">
        <v>210</v>
      </c>
      <c r="G5" s="422">
        <f>SUM(G6:G11)</f>
        <v>1.2042091226575009</v>
      </c>
      <c r="H5" s="422">
        <f>SUM(H6:H11)</f>
        <v>0.22421080945813709</v>
      </c>
      <c r="I5" s="437" t="s">
        <v>210</v>
      </c>
      <c r="J5" s="437" t="s">
        <v>210</v>
      </c>
      <c r="K5" s="437" t="s">
        <v>210</v>
      </c>
      <c r="L5" s="437" t="s">
        <v>210</v>
      </c>
      <c r="M5" s="422">
        <f>SUM(M6:M11)</f>
        <v>7.6957218626693774E-2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9.2310037705998306E-5</v>
      </c>
      <c r="C6" s="423"/>
      <c r="D6" s="865">
        <f>vkm_GW_PW*SUMIFS(TableVerdeelsleutelVkm[CNG],TableVerdeelsleutelVkm[Voertuigtype],"Lichte voertuigen")*SUMIFS(TableECFTransport[EnergieConsumptieFactor (PJ per km)],TableECFTransport[Index],CONCATENATE($A6,"_CNG_CNG"))</f>
        <v>2.2876681263647605E-4</v>
      </c>
      <c r="E6" s="865">
        <f>vkm_GW_PW*SUMIFS(TableVerdeelsleutelVkm[LPG],TableVerdeelsleutelVkm[Voertuigtype],"Lichte voertuigen")*SUMIFS(TableECFTransport[EnergieConsumptieFactor (PJ per km)],TableECFTransport[Index],CONCATENATE($A6,"_LPG_LPG"))</f>
        <v>3.9273549106308544E-4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0.12033985775008137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3.8868437122047877E-2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8.1752300055666274E-3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6.6785283760051092E-2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1.1171963164847119E-6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3.9019673374554105E-3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4.81103432065621E-5</v>
      </c>
      <c r="C8" s="423"/>
      <c r="D8" s="425">
        <f>vkm_NGW_PW*SUMIFS(TableVerdeelsleutelVkm[CNG],TableVerdeelsleutelVkm[Voertuigtype],"Lichte voertuigen")*SUMIFS(TableECFTransport[EnergieConsumptieFactor (PJ per km)],TableECFTransport[Index],CONCATENATE($A8,"_CNG_CNG"))</f>
        <v>2.0152317822648183E-4</v>
      </c>
      <c r="E8" s="425">
        <f>vkm_NGW_PW*SUMIFS(TableVerdeelsleutelVkm[LPG],TableVerdeelsleutelVkm[Voertuigtype],"Lichte voertuigen")*SUMIFS(TableECFTransport[EnergieConsumptieFactor (PJ per km)],TableECFTransport[Index],CONCATENATE($A8,"_LPG_LPG"))</f>
        <v>3.2854805669500298E-4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9.4695347694015608E-2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3.3486544450071647E-2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6.5184939646628515E-3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2.9026899491729125E-2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5.9815562901689124E-7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1.6959160570955494E-3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3.4566962907560931E-4</v>
      </c>
      <c r="C10" s="423"/>
      <c r="D10" s="425">
        <f>vkm_SW_PW*SUMIFS(TableVerdeelsleutelVkm[CNG],TableVerdeelsleutelVkm[Voertuigtype],"Lichte voertuigen")*SUMIFS(TableECFTransport[EnergieConsumptieFactor (PJ per km)],TableECFTransport[Index],CONCATENATE($A10,"_CNG_CNG"))</f>
        <v>8.5620735385905002E-4</v>
      </c>
      <c r="E10" s="425">
        <f>vkm_SW_PW*SUMIFS(TableVerdeelsleutelVkm[LPG],TableVerdeelsleutelVkm[Voertuigtype],"Lichte voertuigen")*SUMIFS(TableECFTransport[EnergieConsumptieFactor (PJ per km)],TableECFTransport[Index],CONCATENATE($A10,"_LPG_LPG"))</f>
        <v>1.8326881704538835E-3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0.50239230529807177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0.15184714552971676</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3.3822992440697051E-2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0.390969428663552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6.967004355329208E-6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2.2842618821216291E-2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135.02500277449158</v>
      </c>
      <c r="C14" s="21"/>
      <c r="D14" s="21">
        <f t="shared" ref="D14:M14" si="0">((D5)*10^9/3600)+D12</f>
        <v>357.36037353389116</v>
      </c>
      <c r="E14" s="21">
        <f t="shared" si="0"/>
        <v>709.4365883922145</v>
      </c>
      <c r="F14" s="21"/>
      <c r="G14" s="21">
        <f t="shared" si="0"/>
        <v>334502.53407152806</v>
      </c>
      <c r="H14" s="21">
        <f t="shared" si="0"/>
        <v>62280.78040503808</v>
      </c>
      <c r="I14" s="21"/>
      <c r="J14" s="21"/>
      <c r="K14" s="21"/>
      <c r="L14" s="21"/>
      <c r="M14" s="21">
        <f t="shared" si="0"/>
        <v>21377.005174081602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0.20135604966843909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27.188101165141653</v>
      </c>
      <c r="C18" s="23"/>
      <c r="D18" s="23">
        <f t="shared" ref="D18:M18" si="1">D14*D16</f>
        <v>72.186795453846017</v>
      </c>
      <c r="E18" s="23">
        <f t="shared" si="1"/>
        <v>161.0421055650327</v>
      </c>
      <c r="F18" s="23"/>
      <c r="G18" s="23">
        <f t="shared" si="1"/>
        <v>89312.17659709799</v>
      </c>
      <c r="H18" s="23">
        <f t="shared" si="1"/>
        <v>15507.914320854481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5.64642709740662E-3</v>
      </c>
      <c r="H50" s="319">
        <f t="shared" si="2"/>
        <v>0</v>
      </c>
      <c r="I50" s="319">
        <f t="shared" si="2"/>
        <v>0</v>
      </c>
      <c r="J50" s="319">
        <f t="shared" si="2"/>
        <v>0</v>
      </c>
      <c r="K50" s="319">
        <f t="shared" si="2"/>
        <v>0</v>
      </c>
      <c r="L50" s="319">
        <f t="shared" si="2"/>
        <v>0</v>
      </c>
      <c r="M50" s="319">
        <f t="shared" si="2"/>
        <v>3.2066790773935396E-4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5.64642709740662E-3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3.2066790773935396E-4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1568.4519715018389</v>
      </c>
      <c r="H54" s="21">
        <f t="shared" si="3"/>
        <v>0</v>
      </c>
      <c r="I54" s="21">
        <f t="shared" si="3"/>
        <v>0</v>
      </c>
      <c r="J54" s="21">
        <f t="shared" si="3"/>
        <v>0</v>
      </c>
      <c r="K54" s="21">
        <f t="shared" si="3"/>
        <v>0</v>
      </c>
      <c r="L54" s="21">
        <f t="shared" si="3"/>
        <v>0</v>
      </c>
      <c r="M54" s="21">
        <f t="shared" si="3"/>
        <v>89.07441881648721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0.20135604966843909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418.77667639099099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29436.247668923646</v>
      </c>
      <c r="D10" s="979">
        <f ca="1">tertiair!C16</f>
        <v>0</v>
      </c>
      <c r="E10" s="979">
        <f ca="1">tertiair!D16</f>
        <v>27841.953678224567</v>
      </c>
      <c r="F10" s="979">
        <f>tertiair!E16</f>
        <v>450.11423157301118</v>
      </c>
      <c r="G10" s="979">
        <f ca="1">tertiair!F16</f>
        <v>4910.408821826748</v>
      </c>
      <c r="H10" s="979">
        <f>tertiair!G16</f>
        <v>0</v>
      </c>
      <c r="I10" s="979">
        <f>tertiair!H16</f>
        <v>0</v>
      </c>
      <c r="J10" s="979">
        <f>tertiair!I16</f>
        <v>0</v>
      </c>
      <c r="K10" s="979">
        <f>tertiair!J16</f>
        <v>5.4897519510733808E-2</v>
      </c>
      <c r="L10" s="979">
        <f>tertiair!K16</f>
        <v>0</v>
      </c>
      <c r="M10" s="979">
        <f ca="1">tertiair!L16</f>
        <v>0</v>
      </c>
      <c r="N10" s="979">
        <f>tertiair!M16</f>
        <v>0</v>
      </c>
      <c r="O10" s="979">
        <f ca="1">tertiair!N16</f>
        <v>2189.4088297966746</v>
      </c>
      <c r="P10" s="979">
        <f>tertiair!O16</f>
        <v>4.6900000000000004</v>
      </c>
      <c r="Q10" s="980">
        <f>tertiair!P16</f>
        <v>0</v>
      </c>
      <c r="R10" s="674">
        <f ca="1">SUM(C10:Q10)</f>
        <v>64832.878127864162</v>
      </c>
      <c r="S10" s="67"/>
    </row>
    <row r="11" spans="1:19" s="447" customFormat="1">
      <c r="A11" s="783" t="s">
        <v>224</v>
      </c>
      <c r="B11" s="788"/>
      <c r="C11" s="979">
        <f>huishoudens!B8</f>
        <v>43001.914922363365</v>
      </c>
      <c r="D11" s="979">
        <f>huishoudens!C8</f>
        <v>0</v>
      </c>
      <c r="E11" s="979">
        <f>huishoudens!D8</f>
        <v>76818.310040184326</v>
      </c>
      <c r="F11" s="979">
        <f>huishoudens!E8</f>
        <v>25804.370727027559</v>
      </c>
      <c r="G11" s="979">
        <f>huishoudens!F8</f>
        <v>16445.654661525172</v>
      </c>
      <c r="H11" s="979">
        <f>huishoudens!G8</f>
        <v>0</v>
      </c>
      <c r="I11" s="979">
        <f>huishoudens!H8</f>
        <v>0</v>
      </c>
      <c r="J11" s="979">
        <f>huishoudens!I8</f>
        <v>0</v>
      </c>
      <c r="K11" s="979">
        <f>huishoudens!J8</f>
        <v>0</v>
      </c>
      <c r="L11" s="979">
        <f>huishoudens!K8</f>
        <v>0</v>
      </c>
      <c r="M11" s="979">
        <f>huishoudens!L8</f>
        <v>0</v>
      </c>
      <c r="N11" s="979">
        <f>huishoudens!M8</f>
        <v>0</v>
      </c>
      <c r="O11" s="979">
        <f>huishoudens!N8</f>
        <v>33741.670294210351</v>
      </c>
      <c r="P11" s="979">
        <f>huishoudens!O8</f>
        <v>551.85666666666668</v>
      </c>
      <c r="Q11" s="980">
        <f>huishoudens!P8</f>
        <v>1239.3333333333333</v>
      </c>
      <c r="R11" s="674">
        <f>SUM(C11:Q11)</f>
        <v>197603.11064531075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28477.543712992927</v>
      </c>
      <c r="D13" s="979">
        <f>industrie!C18</f>
        <v>0</v>
      </c>
      <c r="E13" s="979">
        <f>industrie!D18</f>
        <v>30595.966765797319</v>
      </c>
      <c r="F13" s="979">
        <f>industrie!E18</f>
        <v>1859.9411125288852</v>
      </c>
      <c r="G13" s="979">
        <f>industrie!F18</f>
        <v>6255.1895568820346</v>
      </c>
      <c r="H13" s="979">
        <f>industrie!G18</f>
        <v>0</v>
      </c>
      <c r="I13" s="979">
        <f>industrie!H18</f>
        <v>0</v>
      </c>
      <c r="J13" s="979">
        <f>industrie!I18</f>
        <v>0</v>
      </c>
      <c r="K13" s="979">
        <f>industrie!J18</f>
        <v>57.500182714961674</v>
      </c>
      <c r="L13" s="979">
        <f>industrie!K18</f>
        <v>0</v>
      </c>
      <c r="M13" s="979">
        <f>industrie!L18</f>
        <v>0</v>
      </c>
      <c r="N13" s="979">
        <f>industrie!M18</f>
        <v>0</v>
      </c>
      <c r="O13" s="979">
        <f>industrie!N18</f>
        <v>3366.9964052849773</v>
      </c>
      <c r="P13" s="979">
        <f>industrie!O18</f>
        <v>0</v>
      </c>
      <c r="Q13" s="980">
        <f>industrie!P18</f>
        <v>0</v>
      </c>
      <c r="R13" s="674">
        <f>SUM(C13:Q13)</f>
        <v>70613.137736201112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100915.70630427994</v>
      </c>
      <c r="D16" s="706">
        <f t="shared" ref="D16:R16" ca="1" si="0">SUM(D9:D15)</f>
        <v>0</v>
      </c>
      <c r="E16" s="706">
        <f t="shared" ca="1" si="0"/>
        <v>135256.23048420623</v>
      </c>
      <c r="F16" s="706">
        <f t="shared" si="0"/>
        <v>28114.426071129456</v>
      </c>
      <c r="G16" s="706">
        <f t="shared" ca="1" si="0"/>
        <v>27611.253040233954</v>
      </c>
      <c r="H16" s="706">
        <f t="shared" si="0"/>
        <v>0</v>
      </c>
      <c r="I16" s="706">
        <f t="shared" si="0"/>
        <v>0</v>
      </c>
      <c r="J16" s="706">
        <f t="shared" si="0"/>
        <v>0</v>
      </c>
      <c r="K16" s="706">
        <f t="shared" si="0"/>
        <v>57.555080234472406</v>
      </c>
      <c r="L16" s="706">
        <f t="shared" si="0"/>
        <v>0</v>
      </c>
      <c r="M16" s="706">
        <f t="shared" ca="1" si="0"/>
        <v>0</v>
      </c>
      <c r="N16" s="706">
        <f t="shared" si="0"/>
        <v>0</v>
      </c>
      <c r="O16" s="706">
        <f t="shared" ca="1" si="0"/>
        <v>39298.075529292</v>
      </c>
      <c r="P16" s="706">
        <f t="shared" si="0"/>
        <v>556.54666666666674</v>
      </c>
      <c r="Q16" s="706">
        <f t="shared" si="0"/>
        <v>1239.3333333333333</v>
      </c>
      <c r="R16" s="706">
        <f t="shared" ca="1" si="0"/>
        <v>333049.12650937604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1568.4519715018389</v>
      </c>
      <c r="I19" s="979">
        <f>transport!H54</f>
        <v>0</v>
      </c>
      <c r="J19" s="979">
        <f>transport!I54</f>
        <v>0</v>
      </c>
      <c r="K19" s="979">
        <f>transport!J54</f>
        <v>0</v>
      </c>
      <c r="L19" s="979">
        <f>transport!K54</f>
        <v>0</v>
      </c>
      <c r="M19" s="979">
        <f>transport!L54</f>
        <v>0</v>
      </c>
      <c r="N19" s="979">
        <f>transport!M54</f>
        <v>89.07441881648721</v>
      </c>
      <c r="O19" s="979">
        <f>transport!N54</f>
        <v>0</v>
      </c>
      <c r="P19" s="979">
        <f>transport!O54</f>
        <v>0</v>
      </c>
      <c r="Q19" s="980">
        <f>transport!P54</f>
        <v>0</v>
      </c>
      <c r="R19" s="674">
        <f>SUM(C19:Q19)</f>
        <v>1657.5263903183261</v>
      </c>
      <c r="S19" s="67"/>
    </row>
    <row r="20" spans="1:19" s="447" customFormat="1">
      <c r="A20" s="783" t="s">
        <v>306</v>
      </c>
      <c r="B20" s="788"/>
      <c r="C20" s="979">
        <f>transport!B14</f>
        <v>135.02500277449158</v>
      </c>
      <c r="D20" s="979">
        <f>transport!C14</f>
        <v>0</v>
      </c>
      <c r="E20" s="979">
        <f>transport!D14</f>
        <v>357.36037353389116</v>
      </c>
      <c r="F20" s="979">
        <f>transport!E14</f>
        <v>709.4365883922145</v>
      </c>
      <c r="G20" s="979">
        <f>transport!F14</f>
        <v>0</v>
      </c>
      <c r="H20" s="979">
        <f>transport!G14</f>
        <v>334502.53407152806</v>
      </c>
      <c r="I20" s="979">
        <f>transport!H14</f>
        <v>62280.78040503808</v>
      </c>
      <c r="J20" s="979">
        <f>transport!I14</f>
        <v>0</v>
      </c>
      <c r="K20" s="979">
        <f>transport!J14</f>
        <v>0</v>
      </c>
      <c r="L20" s="979">
        <f>transport!K14</f>
        <v>0</v>
      </c>
      <c r="M20" s="979">
        <f>transport!L14</f>
        <v>0</v>
      </c>
      <c r="N20" s="979">
        <f>transport!M14</f>
        <v>21377.005174081602</v>
      </c>
      <c r="O20" s="979">
        <f>transport!N14</f>
        <v>0</v>
      </c>
      <c r="P20" s="979">
        <f>transport!O14</f>
        <v>0</v>
      </c>
      <c r="Q20" s="980">
        <f>transport!P14</f>
        <v>0</v>
      </c>
      <c r="R20" s="674">
        <f>SUM(C20:Q20)</f>
        <v>419362.14161534834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135.02500277449158</v>
      </c>
      <c r="D22" s="786">
        <f t="shared" ref="D22:R22" si="1">SUM(D18:D21)</f>
        <v>0</v>
      </c>
      <c r="E22" s="786">
        <f t="shared" si="1"/>
        <v>357.36037353389116</v>
      </c>
      <c r="F22" s="786">
        <f t="shared" si="1"/>
        <v>709.4365883922145</v>
      </c>
      <c r="G22" s="786">
        <f t="shared" si="1"/>
        <v>0</v>
      </c>
      <c r="H22" s="786">
        <f t="shared" si="1"/>
        <v>336070.98604302987</v>
      </c>
      <c r="I22" s="786">
        <f t="shared" si="1"/>
        <v>62280.78040503808</v>
      </c>
      <c r="J22" s="786">
        <f t="shared" si="1"/>
        <v>0</v>
      </c>
      <c r="K22" s="786">
        <f t="shared" si="1"/>
        <v>0</v>
      </c>
      <c r="L22" s="786">
        <f t="shared" si="1"/>
        <v>0</v>
      </c>
      <c r="M22" s="786">
        <f t="shared" si="1"/>
        <v>0</v>
      </c>
      <c r="N22" s="786">
        <f t="shared" si="1"/>
        <v>21466.079592898088</v>
      </c>
      <c r="O22" s="786">
        <f t="shared" si="1"/>
        <v>0</v>
      </c>
      <c r="P22" s="786">
        <f t="shared" si="1"/>
        <v>0</v>
      </c>
      <c r="Q22" s="786">
        <f t="shared" si="1"/>
        <v>0</v>
      </c>
      <c r="R22" s="786">
        <f t="shared" si="1"/>
        <v>421019.6680056667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3997.526932675572</v>
      </c>
      <c r="D24" s="979">
        <f>+landbouw!C8</f>
        <v>0</v>
      </c>
      <c r="E24" s="979">
        <f>+landbouw!D8</f>
        <v>496.59933953093559</v>
      </c>
      <c r="F24" s="979">
        <f>+landbouw!E8</f>
        <v>117.49952640786739</v>
      </c>
      <c r="G24" s="979">
        <f>+landbouw!F8</f>
        <v>16653.481186509114</v>
      </c>
      <c r="H24" s="979">
        <f>+landbouw!G8</f>
        <v>0</v>
      </c>
      <c r="I24" s="979">
        <f>+landbouw!H8</f>
        <v>0</v>
      </c>
      <c r="J24" s="979">
        <f>+landbouw!I8</f>
        <v>0</v>
      </c>
      <c r="K24" s="979">
        <f>+landbouw!J8</f>
        <v>579.15580467112022</v>
      </c>
      <c r="L24" s="979">
        <f>+landbouw!K8</f>
        <v>0</v>
      </c>
      <c r="M24" s="979">
        <f>+landbouw!L8</f>
        <v>0</v>
      </c>
      <c r="N24" s="979">
        <f>+landbouw!M8</f>
        <v>0</v>
      </c>
      <c r="O24" s="979">
        <f>+landbouw!N8</f>
        <v>0</v>
      </c>
      <c r="P24" s="979">
        <f>+landbouw!O8</f>
        <v>0</v>
      </c>
      <c r="Q24" s="980">
        <f>+landbouw!P8</f>
        <v>0</v>
      </c>
      <c r="R24" s="674">
        <f>SUM(C24:Q24)</f>
        <v>21844.262789794611</v>
      </c>
      <c r="S24" s="67"/>
    </row>
    <row r="25" spans="1:19" s="447" customFormat="1" ht="15" thickBot="1">
      <c r="A25" s="805" t="s">
        <v>823</v>
      </c>
      <c r="B25" s="982"/>
      <c r="C25" s="983">
        <f>IF(Onbekend_ele_kWh="---",0,Onbekend_ele_kWh)/1000+IF(REST_rest_ele_kWh="---",0,REST_rest_ele_kWh)/1000</f>
        <v>2355.0023911735202</v>
      </c>
      <c r="D25" s="983"/>
      <c r="E25" s="983">
        <f>IF(onbekend_gas_kWh="---",0,onbekend_gas_kWh)/1000+IF(REST_rest_gas_kWh="---",0,REST_rest_gas_kWh)/1000</f>
        <v>1932.3240039565601</v>
      </c>
      <c r="F25" s="983"/>
      <c r="G25" s="983"/>
      <c r="H25" s="983"/>
      <c r="I25" s="983"/>
      <c r="J25" s="983"/>
      <c r="K25" s="983"/>
      <c r="L25" s="983"/>
      <c r="M25" s="983"/>
      <c r="N25" s="983"/>
      <c r="O25" s="983"/>
      <c r="P25" s="983"/>
      <c r="Q25" s="984"/>
      <c r="R25" s="674">
        <f>SUM(C25:Q25)</f>
        <v>4287.3263951300805</v>
      </c>
      <c r="S25" s="67"/>
    </row>
    <row r="26" spans="1:19" s="447" customFormat="1" ht="15.75" thickBot="1">
      <c r="A26" s="679" t="s">
        <v>824</v>
      </c>
      <c r="B26" s="791"/>
      <c r="C26" s="786">
        <f>SUM(C24:C25)</f>
        <v>6352.5293238490922</v>
      </c>
      <c r="D26" s="786">
        <f t="shared" ref="D26:R26" si="2">SUM(D24:D25)</f>
        <v>0</v>
      </c>
      <c r="E26" s="786">
        <f t="shared" si="2"/>
        <v>2428.9233434874959</v>
      </c>
      <c r="F26" s="786">
        <f t="shared" si="2"/>
        <v>117.49952640786739</v>
      </c>
      <c r="G26" s="786">
        <f t="shared" si="2"/>
        <v>16653.481186509114</v>
      </c>
      <c r="H26" s="786">
        <f t="shared" si="2"/>
        <v>0</v>
      </c>
      <c r="I26" s="786">
        <f t="shared" si="2"/>
        <v>0</v>
      </c>
      <c r="J26" s="786">
        <f t="shared" si="2"/>
        <v>0</v>
      </c>
      <c r="K26" s="786">
        <f t="shared" si="2"/>
        <v>579.15580467112022</v>
      </c>
      <c r="L26" s="786">
        <f t="shared" si="2"/>
        <v>0</v>
      </c>
      <c r="M26" s="786">
        <f t="shared" si="2"/>
        <v>0</v>
      </c>
      <c r="N26" s="786">
        <f t="shared" si="2"/>
        <v>0</v>
      </c>
      <c r="O26" s="786">
        <f t="shared" si="2"/>
        <v>0</v>
      </c>
      <c r="P26" s="786">
        <f t="shared" si="2"/>
        <v>0</v>
      </c>
      <c r="Q26" s="786">
        <f t="shared" si="2"/>
        <v>0</v>
      </c>
      <c r="R26" s="786">
        <f t="shared" si="2"/>
        <v>26131.589184924691</v>
      </c>
      <c r="S26" s="67"/>
    </row>
    <row r="27" spans="1:19" s="447" customFormat="1" ht="17.25" thickTop="1" thickBot="1">
      <c r="A27" s="680" t="s">
        <v>115</v>
      </c>
      <c r="B27" s="779"/>
      <c r="C27" s="681">
        <f ca="1">C22+C16+C26</f>
        <v>107403.26063090353</v>
      </c>
      <c r="D27" s="681">
        <f t="shared" ref="D27:R27" ca="1" si="3">D22+D16+D26</f>
        <v>0</v>
      </c>
      <c r="E27" s="681">
        <f t="shared" ca="1" si="3"/>
        <v>138042.5142012276</v>
      </c>
      <c r="F27" s="681">
        <f t="shared" si="3"/>
        <v>28941.362185929538</v>
      </c>
      <c r="G27" s="681">
        <f t="shared" ca="1" si="3"/>
        <v>44264.734226743065</v>
      </c>
      <c r="H27" s="681">
        <f t="shared" si="3"/>
        <v>336070.98604302987</v>
      </c>
      <c r="I27" s="681">
        <f t="shared" si="3"/>
        <v>62280.78040503808</v>
      </c>
      <c r="J27" s="681">
        <f t="shared" si="3"/>
        <v>0</v>
      </c>
      <c r="K27" s="681">
        <f t="shared" si="3"/>
        <v>636.71088490559259</v>
      </c>
      <c r="L27" s="681">
        <f t="shared" si="3"/>
        <v>0</v>
      </c>
      <c r="M27" s="681">
        <f t="shared" ca="1" si="3"/>
        <v>0</v>
      </c>
      <c r="N27" s="681">
        <f t="shared" si="3"/>
        <v>21466.079592898088</v>
      </c>
      <c r="O27" s="681">
        <f t="shared" ca="1" si="3"/>
        <v>39298.075529292</v>
      </c>
      <c r="P27" s="681">
        <f t="shared" si="3"/>
        <v>556.54666666666674</v>
      </c>
      <c r="Q27" s="681">
        <f t="shared" si="3"/>
        <v>1239.3333333333333</v>
      </c>
      <c r="R27" s="681">
        <f t="shared" ca="1" si="3"/>
        <v>780200.38369996753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5927.1665476762637</v>
      </c>
      <c r="D40" s="979">
        <f ca="1">tertiair!C20</f>
        <v>0</v>
      </c>
      <c r="E40" s="979">
        <f ca="1">tertiair!D20</f>
        <v>5624.0746430013633</v>
      </c>
      <c r="F40" s="979">
        <f>tertiair!E20</f>
        <v>102.17593056707354</v>
      </c>
      <c r="G40" s="979">
        <f ca="1">tertiair!F20</f>
        <v>1311.0791554277419</v>
      </c>
      <c r="H40" s="979">
        <f>tertiair!G20</f>
        <v>0</v>
      </c>
      <c r="I40" s="979">
        <f>tertiair!H20</f>
        <v>0</v>
      </c>
      <c r="J40" s="979">
        <f>tertiair!I20</f>
        <v>0</v>
      </c>
      <c r="K40" s="979">
        <f>tertiair!J20</f>
        <v>1.9433721906799768E-2</v>
      </c>
      <c r="L40" s="979">
        <f>tertiair!K20</f>
        <v>0</v>
      </c>
      <c r="M40" s="979">
        <f ca="1">tertiair!L20</f>
        <v>0</v>
      </c>
      <c r="N40" s="979">
        <f>tertiair!M20</f>
        <v>0</v>
      </c>
      <c r="O40" s="979">
        <f ca="1">tertiair!N20</f>
        <v>0</v>
      </c>
      <c r="P40" s="979">
        <f>tertiair!O20</f>
        <v>0</v>
      </c>
      <c r="Q40" s="748">
        <f>tertiair!P20</f>
        <v>0</v>
      </c>
      <c r="R40" s="824">
        <f t="shared" ca="1" si="4"/>
        <v>12964.515710394349</v>
      </c>
    </row>
    <row r="41" spans="1:18">
      <c r="A41" s="796" t="s">
        <v>224</v>
      </c>
      <c r="B41" s="803"/>
      <c r="C41" s="979">
        <f ca="1">huishoudens!B12</f>
        <v>8658.695716945389</v>
      </c>
      <c r="D41" s="979">
        <f ca="1">huishoudens!C12</f>
        <v>0</v>
      </c>
      <c r="E41" s="979">
        <f>huishoudens!D12</f>
        <v>15517.298628117234</v>
      </c>
      <c r="F41" s="979">
        <f>huishoudens!E12</f>
        <v>5857.5921550352559</v>
      </c>
      <c r="G41" s="979">
        <f>huishoudens!F12</f>
        <v>4390.9897946272213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34424.576294725106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5734.1257063085495</v>
      </c>
      <c r="D43" s="979">
        <f ca="1">industrie!C22</f>
        <v>0</v>
      </c>
      <c r="E43" s="979">
        <f>industrie!D22</f>
        <v>6180.3852866910584</v>
      </c>
      <c r="F43" s="979">
        <f>industrie!E22</f>
        <v>422.20663254405696</v>
      </c>
      <c r="G43" s="979">
        <f>industrie!F22</f>
        <v>1670.1356116875033</v>
      </c>
      <c r="H43" s="979">
        <f>industrie!G22</f>
        <v>0</v>
      </c>
      <c r="I43" s="979">
        <f>industrie!H22</f>
        <v>0</v>
      </c>
      <c r="J43" s="979">
        <f>industrie!I22</f>
        <v>0</v>
      </c>
      <c r="K43" s="979">
        <f>industrie!J22</f>
        <v>20.355064681096433</v>
      </c>
      <c r="L43" s="979">
        <f>industrie!K22</f>
        <v>0</v>
      </c>
      <c r="M43" s="979">
        <f>industrie!L22</f>
        <v>0</v>
      </c>
      <c r="N43" s="979">
        <f>industrie!M22</f>
        <v>0</v>
      </c>
      <c r="O43" s="979">
        <f>industrie!N22</f>
        <v>0</v>
      </c>
      <c r="P43" s="979">
        <f>industrie!O22</f>
        <v>0</v>
      </c>
      <c r="Q43" s="748">
        <f>industrie!P22</f>
        <v>0</v>
      </c>
      <c r="R43" s="823">
        <f t="shared" ca="1" si="4"/>
        <v>14027.208301912264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20319.987970930204</v>
      </c>
      <c r="D46" s="706">
        <f t="shared" ref="D46:Q46" ca="1" si="5">SUM(D39:D45)</f>
        <v>0</v>
      </c>
      <c r="E46" s="706">
        <f t="shared" ca="1" si="5"/>
        <v>27321.758557809655</v>
      </c>
      <c r="F46" s="706">
        <f t="shared" si="5"/>
        <v>6381.9747181463872</v>
      </c>
      <c r="G46" s="706">
        <f t="shared" ca="1" si="5"/>
        <v>7372.2045617424665</v>
      </c>
      <c r="H46" s="706">
        <f t="shared" si="5"/>
        <v>0</v>
      </c>
      <c r="I46" s="706">
        <f t="shared" si="5"/>
        <v>0</v>
      </c>
      <c r="J46" s="706">
        <f t="shared" si="5"/>
        <v>0</v>
      </c>
      <c r="K46" s="706">
        <f t="shared" si="5"/>
        <v>20.374498403003233</v>
      </c>
      <c r="L46" s="706">
        <f t="shared" si="5"/>
        <v>0</v>
      </c>
      <c r="M46" s="706">
        <f t="shared" ca="1" si="5"/>
        <v>0</v>
      </c>
      <c r="N46" s="706">
        <f t="shared" si="5"/>
        <v>0</v>
      </c>
      <c r="O46" s="706">
        <f t="shared" ca="1" si="5"/>
        <v>0</v>
      </c>
      <c r="P46" s="706">
        <f t="shared" si="5"/>
        <v>0</v>
      </c>
      <c r="Q46" s="706">
        <f t="shared" si="5"/>
        <v>0</v>
      </c>
      <c r="R46" s="706">
        <f ca="1">SUM(R39:R45)</f>
        <v>61416.300307031721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418.77667639099099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418.77667639099099</v>
      </c>
    </row>
    <row r="50" spans="1:18">
      <c r="A50" s="799" t="s">
        <v>306</v>
      </c>
      <c r="B50" s="809"/>
      <c r="C50" s="677">
        <f ca="1">transport!B18</f>
        <v>27.188101165141653</v>
      </c>
      <c r="D50" s="677">
        <f>transport!C18</f>
        <v>0</v>
      </c>
      <c r="E50" s="677">
        <f>transport!D18</f>
        <v>72.186795453846017</v>
      </c>
      <c r="F50" s="677">
        <f>transport!E18</f>
        <v>161.0421055650327</v>
      </c>
      <c r="G50" s="677">
        <f>transport!F18</f>
        <v>0</v>
      </c>
      <c r="H50" s="677">
        <f>transport!G18</f>
        <v>89312.17659709799</v>
      </c>
      <c r="I50" s="677">
        <f>transport!H18</f>
        <v>15507.914320854481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105080.5079201365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27.188101165141653</v>
      </c>
      <c r="D52" s="706">
        <f t="shared" ref="D52:Q52" ca="1" si="6">SUM(D48:D51)</f>
        <v>0</v>
      </c>
      <c r="E52" s="706">
        <f t="shared" si="6"/>
        <v>72.186795453846017</v>
      </c>
      <c r="F52" s="706">
        <f t="shared" si="6"/>
        <v>161.0421055650327</v>
      </c>
      <c r="G52" s="706">
        <f t="shared" si="6"/>
        <v>0</v>
      </c>
      <c r="H52" s="706">
        <f t="shared" si="6"/>
        <v>89730.95327348898</v>
      </c>
      <c r="I52" s="706">
        <f t="shared" si="6"/>
        <v>15507.914320854481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105499.28459652749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804.92623160674543</v>
      </c>
      <c r="D54" s="677">
        <f ca="1">+landbouw!C12</f>
        <v>0</v>
      </c>
      <c r="E54" s="677">
        <f>+landbouw!D12</f>
        <v>100.31306658524899</v>
      </c>
      <c r="F54" s="677">
        <f>+landbouw!E12</f>
        <v>26.6723924945859</v>
      </c>
      <c r="G54" s="677">
        <f>+landbouw!F12</f>
        <v>4446.4794767979338</v>
      </c>
      <c r="H54" s="677">
        <f>+landbouw!G12</f>
        <v>0</v>
      </c>
      <c r="I54" s="677">
        <f>+landbouw!H12</f>
        <v>0</v>
      </c>
      <c r="J54" s="677">
        <f>+landbouw!I12</f>
        <v>0</v>
      </c>
      <c r="K54" s="677">
        <f>+landbouw!J12</f>
        <v>205.02115485357655</v>
      </c>
      <c r="L54" s="677">
        <f>+landbouw!K12</f>
        <v>0</v>
      </c>
      <c r="M54" s="677">
        <f>+landbouw!L12</f>
        <v>0</v>
      </c>
      <c r="N54" s="677">
        <f>+landbouw!M12</f>
        <v>0</v>
      </c>
      <c r="O54" s="677">
        <f>+landbouw!N12</f>
        <v>0</v>
      </c>
      <c r="P54" s="677">
        <f>+landbouw!O12</f>
        <v>0</v>
      </c>
      <c r="Q54" s="678">
        <f>+landbouw!P12</f>
        <v>0</v>
      </c>
      <c r="R54" s="705">
        <f ca="1">SUM(C54:Q54)</f>
        <v>5583.4123223380902</v>
      </c>
    </row>
    <row r="55" spans="1:18" ht="15" thickBot="1">
      <c r="A55" s="799" t="s">
        <v>823</v>
      </c>
      <c r="B55" s="809"/>
      <c r="C55" s="677">
        <f ca="1">C25*'EF ele_warmte'!B12</f>
        <v>474.19397844642816</v>
      </c>
      <c r="D55" s="677"/>
      <c r="E55" s="677">
        <f>E25*EF_CO2_aardgas</f>
        <v>390.32944879922519</v>
      </c>
      <c r="F55" s="677"/>
      <c r="G55" s="677"/>
      <c r="H55" s="677"/>
      <c r="I55" s="677"/>
      <c r="J55" s="677"/>
      <c r="K55" s="677"/>
      <c r="L55" s="677"/>
      <c r="M55" s="677"/>
      <c r="N55" s="677"/>
      <c r="O55" s="677"/>
      <c r="P55" s="677"/>
      <c r="Q55" s="678"/>
      <c r="R55" s="705">
        <f ca="1">SUM(C55:Q55)</f>
        <v>864.52342724565335</v>
      </c>
    </row>
    <row r="56" spans="1:18" ht="15.75" thickBot="1">
      <c r="A56" s="797" t="s">
        <v>824</v>
      </c>
      <c r="B56" s="810"/>
      <c r="C56" s="706">
        <f ca="1">SUM(C54:C55)</f>
        <v>1279.1202100531737</v>
      </c>
      <c r="D56" s="706">
        <f t="shared" ref="D56:Q56" ca="1" si="7">SUM(D54:D55)</f>
        <v>0</v>
      </c>
      <c r="E56" s="706">
        <f t="shared" si="7"/>
        <v>490.64251538447417</v>
      </c>
      <c r="F56" s="706">
        <f t="shared" si="7"/>
        <v>26.6723924945859</v>
      </c>
      <c r="G56" s="706">
        <f t="shared" si="7"/>
        <v>4446.4794767979338</v>
      </c>
      <c r="H56" s="706">
        <f t="shared" si="7"/>
        <v>0</v>
      </c>
      <c r="I56" s="706">
        <f t="shared" si="7"/>
        <v>0</v>
      </c>
      <c r="J56" s="706">
        <f t="shared" si="7"/>
        <v>0</v>
      </c>
      <c r="K56" s="706">
        <f t="shared" si="7"/>
        <v>205.02115485357655</v>
      </c>
      <c r="L56" s="706">
        <f t="shared" si="7"/>
        <v>0</v>
      </c>
      <c r="M56" s="706">
        <f t="shared" si="7"/>
        <v>0</v>
      </c>
      <c r="N56" s="706">
        <f t="shared" si="7"/>
        <v>0</v>
      </c>
      <c r="O56" s="706">
        <f t="shared" si="7"/>
        <v>0</v>
      </c>
      <c r="P56" s="706">
        <f t="shared" si="7"/>
        <v>0</v>
      </c>
      <c r="Q56" s="707">
        <f t="shared" si="7"/>
        <v>0</v>
      </c>
      <c r="R56" s="708">
        <f ca="1">SUM(R54:R55)</f>
        <v>6447.9357495837439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21626.29628214852</v>
      </c>
      <c r="D61" s="714">
        <f t="shared" ref="D61:Q61" ca="1" si="8">D46+D52+D56</f>
        <v>0</v>
      </c>
      <c r="E61" s="714">
        <f t="shared" ca="1" si="8"/>
        <v>27884.587868647977</v>
      </c>
      <c r="F61" s="714">
        <f t="shared" si="8"/>
        <v>6569.6892162060067</v>
      </c>
      <c r="G61" s="714">
        <f t="shared" ca="1" si="8"/>
        <v>11818.684038540399</v>
      </c>
      <c r="H61" s="714">
        <f t="shared" si="8"/>
        <v>89730.95327348898</v>
      </c>
      <c r="I61" s="714">
        <f t="shared" si="8"/>
        <v>15507.914320854481</v>
      </c>
      <c r="J61" s="714">
        <f t="shared" si="8"/>
        <v>0</v>
      </c>
      <c r="K61" s="714">
        <f t="shared" si="8"/>
        <v>225.39565325657978</v>
      </c>
      <c r="L61" s="714">
        <f t="shared" si="8"/>
        <v>0</v>
      </c>
      <c r="M61" s="714">
        <f t="shared" ca="1" si="8"/>
        <v>0</v>
      </c>
      <c r="N61" s="714">
        <f t="shared" si="8"/>
        <v>0</v>
      </c>
      <c r="O61" s="714">
        <f t="shared" ca="1" si="8"/>
        <v>0</v>
      </c>
      <c r="P61" s="714">
        <f t="shared" si="8"/>
        <v>0</v>
      </c>
      <c r="Q61" s="714">
        <f t="shared" si="8"/>
        <v>0</v>
      </c>
      <c r="R61" s="714">
        <f ca="1">R46+R52+R56</f>
        <v>173363.52065314294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0.20135604966843909</v>
      </c>
      <c r="D63" s="755">
        <f t="shared" ca="1" si="9"/>
        <v>0</v>
      </c>
      <c r="E63" s="990">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9546.7163677880617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9546.7163677880617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9546.7163677880617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9546.7163677880617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43001.914922363365</v>
      </c>
      <c r="C4" s="451">
        <f>huishoudens!C8</f>
        <v>0</v>
      </c>
      <c r="D4" s="451">
        <f>huishoudens!D8</f>
        <v>76818.310040184326</v>
      </c>
      <c r="E4" s="451">
        <f>huishoudens!E8</f>
        <v>25804.370727027559</v>
      </c>
      <c r="F4" s="451">
        <f>huishoudens!F8</f>
        <v>16445.654661525172</v>
      </c>
      <c r="G4" s="451">
        <f>huishoudens!G8</f>
        <v>0</v>
      </c>
      <c r="H4" s="451">
        <f>huishoudens!H8</f>
        <v>0</v>
      </c>
      <c r="I4" s="451">
        <f>huishoudens!I8</f>
        <v>0</v>
      </c>
      <c r="J4" s="451">
        <f>huishoudens!J8</f>
        <v>0</v>
      </c>
      <c r="K4" s="451">
        <f>huishoudens!K8</f>
        <v>0</v>
      </c>
      <c r="L4" s="451">
        <f>huishoudens!L8</f>
        <v>0</v>
      </c>
      <c r="M4" s="451">
        <f>huishoudens!M8</f>
        <v>0</v>
      </c>
      <c r="N4" s="451">
        <f>huishoudens!N8</f>
        <v>33741.670294210351</v>
      </c>
      <c r="O4" s="451">
        <f>huishoudens!O8</f>
        <v>551.85666666666668</v>
      </c>
      <c r="P4" s="452">
        <f>huishoudens!P8</f>
        <v>1239.3333333333333</v>
      </c>
      <c r="Q4" s="453">
        <f>SUM(B4:P4)</f>
        <v>197603.11064531075</v>
      </c>
    </row>
    <row r="5" spans="1:17">
      <c r="A5" s="450" t="s">
        <v>155</v>
      </c>
      <c r="B5" s="451">
        <f ca="1">tertiair!B16</f>
        <v>28153.127668923647</v>
      </c>
      <c r="C5" s="451">
        <f ca="1">tertiair!C16</f>
        <v>0</v>
      </c>
      <c r="D5" s="451">
        <f ca="1">tertiair!D16</f>
        <v>27841.953678224567</v>
      </c>
      <c r="E5" s="451">
        <f>tertiair!E16</f>
        <v>450.11423157301118</v>
      </c>
      <c r="F5" s="451">
        <f ca="1">tertiair!F16</f>
        <v>4910.408821826748</v>
      </c>
      <c r="G5" s="451">
        <f>tertiair!G16</f>
        <v>0</v>
      </c>
      <c r="H5" s="451">
        <f>tertiair!H16</f>
        <v>0</v>
      </c>
      <c r="I5" s="451">
        <f>tertiair!I16</f>
        <v>0</v>
      </c>
      <c r="J5" s="451">
        <f>tertiair!J16</f>
        <v>5.4897519510733808E-2</v>
      </c>
      <c r="K5" s="451">
        <f>tertiair!K16</f>
        <v>0</v>
      </c>
      <c r="L5" s="451">
        <f ca="1">tertiair!L16</f>
        <v>0</v>
      </c>
      <c r="M5" s="451">
        <f>tertiair!M16</f>
        <v>0</v>
      </c>
      <c r="N5" s="451">
        <f ca="1">tertiair!N16</f>
        <v>2189.4088297966746</v>
      </c>
      <c r="O5" s="451">
        <f>tertiair!O16</f>
        <v>4.6900000000000004</v>
      </c>
      <c r="P5" s="452">
        <f>tertiair!P16</f>
        <v>0</v>
      </c>
      <c r="Q5" s="450">
        <f t="shared" ref="Q5:Q14" ca="1" si="0">SUM(B5:P5)</f>
        <v>63549.758127864159</v>
      </c>
    </row>
    <row r="6" spans="1:17">
      <c r="A6" s="450" t="s">
        <v>193</v>
      </c>
      <c r="B6" s="451">
        <f>'openbare verlichting'!B8</f>
        <v>1283.1199999999999</v>
      </c>
      <c r="C6" s="451"/>
      <c r="D6" s="451"/>
      <c r="E6" s="451"/>
      <c r="F6" s="451"/>
      <c r="G6" s="451"/>
      <c r="H6" s="451"/>
      <c r="I6" s="451"/>
      <c r="J6" s="451"/>
      <c r="K6" s="451"/>
      <c r="L6" s="451"/>
      <c r="M6" s="451"/>
      <c r="N6" s="451"/>
      <c r="O6" s="451"/>
      <c r="P6" s="452"/>
      <c r="Q6" s="450">
        <f t="shared" si="0"/>
        <v>1283.1199999999999</v>
      </c>
    </row>
    <row r="7" spans="1:17">
      <c r="A7" s="450" t="s">
        <v>111</v>
      </c>
      <c r="B7" s="451">
        <f>landbouw!B8</f>
        <v>3997.526932675572</v>
      </c>
      <c r="C7" s="451">
        <f>landbouw!C8</f>
        <v>0</v>
      </c>
      <c r="D7" s="451">
        <f>landbouw!D8</f>
        <v>496.59933953093559</v>
      </c>
      <c r="E7" s="451">
        <f>landbouw!E8</f>
        <v>117.49952640786739</v>
      </c>
      <c r="F7" s="451">
        <f>landbouw!F8</f>
        <v>16653.481186509114</v>
      </c>
      <c r="G7" s="451">
        <f>landbouw!G8</f>
        <v>0</v>
      </c>
      <c r="H7" s="451">
        <f>landbouw!H8</f>
        <v>0</v>
      </c>
      <c r="I7" s="451">
        <f>landbouw!I8</f>
        <v>0</v>
      </c>
      <c r="J7" s="451">
        <f>landbouw!J8</f>
        <v>579.15580467112022</v>
      </c>
      <c r="K7" s="451">
        <f>landbouw!K8</f>
        <v>0</v>
      </c>
      <c r="L7" s="451">
        <f>landbouw!L8</f>
        <v>0</v>
      </c>
      <c r="M7" s="451">
        <f>landbouw!M8</f>
        <v>0</v>
      </c>
      <c r="N7" s="451">
        <f>landbouw!N8</f>
        <v>0</v>
      </c>
      <c r="O7" s="451">
        <f>landbouw!O8</f>
        <v>0</v>
      </c>
      <c r="P7" s="452">
        <f>landbouw!P8</f>
        <v>0</v>
      </c>
      <c r="Q7" s="450">
        <f t="shared" si="0"/>
        <v>21844.262789794611</v>
      </c>
    </row>
    <row r="8" spans="1:17">
      <c r="A8" s="450" t="s">
        <v>634</v>
      </c>
      <c r="B8" s="451">
        <f>industrie!B18</f>
        <v>28477.543712992927</v>
      </c>
      <c r="C8" s="451">
        <f>industrie!C18</f>
        <v>0</v>
      </c>
      <c r="D8" s="451">
        <f>industrie!D18</f>
        <v>30595.966765797319</v>
      </c>
      <c r="E8" s="451">
        <f>industrie!E18</f>
        <v>1859.9411125288852</v>
      </c>
      <c r="F8" s="451">
        <f>industrie!F18</f>
        <v>6255.1895568820346</v>
      </c>
      <c r="G8" s="451">
        <f>industrie!G18</f>
        <v>0</v>
      </c>
      <c r="H8" s="451">
        <f>industrie!H18</f>
        <v>0</v>
      </c>
      <c r="I8" s="451">
        <f>industrie!I18</f>
        <v>0</v>
      </c>
      <c r="J8" s="451">
        <f>industrie!J18</f>
        <v>57.500182714961674</v>
      </c>
      <c r="K8" s="451">
        <f>industrie!K18</f>
        <v>0</v>
      </c>
      <c r="L8" s="451">
        <f>industrie!L18</f>
        <v>0</v>
      </c>
      <c r="M8" s="451">
        <f>industrie!M18</f>
        <v>0</v>
      </c>
      <c r="N8" s="451">
        <f>industrie!N18</f>
        <v>3366.9964052849773</v>
      </c>
      <c r="O8" s="451">
        <f>industrie!O18</f>
        <v>0</v>
      </c>
      <c r="P8" s="452">
        <f>industrie!P18</f>
        <v>0</v>
      </c>
      <c r="Q8" s="450">
        <f t="shared" si="0"/>
        <v>70613.137736201112</v>
      </c>
    </row>
    <row r="9" spans="1:17" s="456" customFormat="1">
      <c r="A9" s="454" t="s">
        <v>560</v>
      </c>
      <c r="B9" s="455">
        <f>transport!B14</f>
        <v>135.02500277449158</v>
      </c>
      <c r="C9" s="455">
        <f>transport!C14</f>
        <v>0</v>
      </c>
      <c r="D9" s="455">
        <f>transport!D14</f>
        <v>357.36037353389116</v>
      </c>
      <c r="E9" s="455">
        <f>transport!E14</f>
        <v>709.4365883922145</v>
      </c>
      <c r="F9" s="455">
        <f>transport!F14</f>
        <v>0</v>
      </c>
      <c r="G9" s="455">
        <f>transport!G14</f>
        <v>334502.53407152806</v>
      </c>
      <c r="H9" s="455">
        <f>transport!H14</f>
        <v>62280.78040503808</v>
      </c>
      <c r="I9" s="455">
        <f>transport!I14</f>
        <v>0</v>
      </c>
      <c r="J9" s="455">
        <f>transport!J14</f>
        <v>0</v>
      </c>
      <c r="K9" s="455">
        <f>transport!K14</f>
        <v>0</v>
      </c>
      <c r="L9" s="455">
        <f>transport!L14</f>
        <v>0</v>
      </c>
      <c r="M9" s="455">
        <f>transport!M14</f>
        <v>21377.005174081602</v>
      </c>
      <c r="N9" s="455">
        <f>transport!N14</f>
        <v>0</v>
      </c>
      <c r="O9" s="455">
        <f>transport!O14</f>
        <v>0</v>
      </c>
      <c r="P9" s="455">
        <f>transport!P14</f>
        <v>0</v>
      </c>
      <c r="Q9" s="454">
        <f>SUM(B9:P9)</f>
        <v>419362.14161534834</v>
      </c>
    </row>
    <row r="10" spans="1:17">
      <c r="A10" s="450" t="s">
        <v>550</v>
      </c>
      <c r="B10" s="451">
        <f>transport!B54</f>
        <v>0</v>
      </c>
      <c r="C10" s="451">
        <f>transport!C54</f>
        <v>0</v>
      </c>
      <c r="D10" s="451">
        <f>transport!D54</f>
        <v>0</v>
      </c>
      <c r="E10" s="451">
        <f>transport!E54</f>
        <v>0</v>
      </c>
      <c r="F10" s="451">
        <f>transport!F54</f>
        <v>0</v>
      </c>
      <c r="G10" s="451">
        <f>transport!G54</f>
        <v>1568.4519715018389</v>
      </c>
      <c r="H10" s="451">
        <f>transport!H54</f>
        <v>0</v>
      </c>
      <c r="I10" s="451">
        <f>transport!I54</f>
        <v>0</v>
      </c>
      <c r="J10" s="451">
        <f>transport!J54</f>
        <v>0</v>
      </c>
      <c r="K10" s="451">
        <f>transport!K54</f>
        <v>0</v>
      </c>
      <c r="L10" s="451">
        <f>transport!L54</f>
        <v>0</v>
      </c>
      <c r="M10" s="451">
        <f>transport!M54</f>
        <v>89.07441881648721</v>
      </c>
      <c r="N10" s="451">
        <f>transport!N54</f>
        <v>0</v>
      </c>
      <c r="O10" s="451">
        <f>transport!O54</f>
        <v>0</v>
      </c>
      <c r="P10" s="452">
        <f>transport!P54</f>
        <v>0</v>
      </c>
      <c r="Q10" s="450">
        <f t="shared" si="0"/>
        <v>1657.5263903183261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2355.0023911735202</v>
      </c>
      <c r="C14" s="458"/>
      <c r="D14" s="458">
        <f>'SEAP template'!E25</f>
        <v>1932.3240039565601</v>
      </c>
      <c r="E14" s="458"/>
      <c r="F14" s="458"/>
      <c r="G14" s="458"/>
      <c r="H14" s="458"/>
      <c r="I14" s="458"/>
      <c r="J14" s="458"/>
      <c r="K14" s="458"/>
      <c r="L14" s="458"/>
      <c r="M14" s="458"/>
      <c r="N14" s="458"/>
      <c r="O14" s="458"/>
      <c r="P14" s="459"/>
      <c r="Q14" s="450">
        <f t="shared" si="0"/>
        <v>4287.3263951300805</v>
      </c>
    </row>
    <row r="15" spans="1:17" s="460" customFormat="1">
      <c r="A15" s="1005" t="s">
        <v>554</v>
      </c>
      <c r="B15" s="953">
        <f ca="1">SUM(B4:B14)</f>
        <v>107403.26063090352</v>
      </c>
      <c r="C15" s="953">
        <f t="shared" ref="C15:Q15" ca="1" si="1">SUM(C4:C14)</f>
        <v>0</v>
      </c>
      <c r="D15" s="953">
        <f t="shared" ca="1" si="1"/>
        <v>138042.5142012276</v>
      </c>
      <c r="E15" s="953">
        <f t="shared" si="1"/>
        <v>28941.362185929538</v>
      </c>
      <c r="F15" s="953">
        <f t="shared" ca="1" si="1"/>
        <v>44264.734226743065</v>
      </c>
      <c r="G15" s="953">
        <f t="shared" si="1"/>
        <v>336070.98604302987</v>
      </c>
      <c r="H15" s="953">
        <f t="shared" si="1"/>
        <v>62280.78040503808</v>
      </c>
      <c r="I15" s="953">
        <f t="shared" si="1"/>
        <v>0</v>
      </c>
      <c r="J15" s="953">
        <f t="shared" si="1"/>
        <v>636.71088490559259</v>
      </c>
      <c r="K15" s="953">
        <f t="shared" si="1"/>
        <v>0</v>
      </c>
      <c r="L15" s="953">
        <f t="shared" ca="1" si="1"/>
        <v>0</v>
      </c>
      <c r="M15" s="953">
        <f t="shared" si="1"/>
        <v>21466.079592898088</v>
      </c>
      <c r="N15" s="953">
        <f t="shared" ca="1" si="1"/>
        <v>39298.075529292</v>
      </c>
      <c r="O15" s="953">
        <f t="shared" si="1"/>
        <v>556.54666666666674</v>
      </c>
      <c r="P15" s="953">
        <f t="shared" si="1"/>
        <v>1239.3333333333333</v>
      </c>
      <c r="Q15" s="953">
        <f t="shared" ca="1" si="1"/>
        <v>780200.38369996741</v>
      </c>
    </row>
    <row r="17" spans="1:17">
      <c r="A17" s="461" t="s">
        <v>555</v>
      </c>
      <c r="B17" s="760">
        <f ca="1">huishoudens!B10</f>
        <v>0.20135604966843909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8658.695716945389</v>
      </c>
      <c r="C22" s="451">
        <f t="shared" ref="C22:C32" ca="1" si="3">C4*$C$17</f>
        <v>0</v>
      </c>
      <c r="D22" s="451">
        <f t="shared" ref="D22:D32" si="4">D4*$D$17</f>
        <v>15517.298628117234</v>
      </c>
      <c r="E22" s="451">
        <f t="shared" ref="E22:E32" si="5">E4*$E$17</f>
        <v>5857.5921550352559</v>
      </c>
      <c r="F22" s="451">
        <f t="shared" ref="F22:F32" si="6">F4*$F$17</f>
        <v>4390.9897946272213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34424.576294725106</v>
      </c>
    </row>
    <row r="23" spans="1:17">
      <c r="A23" s="450" t="s">
        <v>155</v>
      </c>
      <c r="B23" s="451">
        <f t="shared" ca="1" si="2"/>
        <v>5668.8025732256965</v>
      </c>
      <c r="C23" s="451">
        <f t="shared" ca="1" si="3"/>
        <v>0</v>
      </c>
      <c r="D23" s="451">
        <f t="shared" ca="1" si="4"/>
        <v>5624.0746430013633</v>
      </c>
      <c r="E23" s="451">
        <f t="shared" si="5"/>
        <v>102.17593056707354</v>
      </c>
      <c r="F23" s="451">
        <f t="shared" ca="1" si="6"/>
        <v>1311.0791554277419</v>
      </c>
      <c r="G23" s="451">
        <f t="shared" si="7"/>
        <v>0</v>
      </c>
      <c r="H23" s="451">
        <f t="shared" si="8"/>
        <v>0</v>
      </c>
      <c r="I23" s="451">
        <f t="shared" si="9"/>
        <v>0</v>
      </c>
      <c r="J23" s="451">
        <f t="shared" si="10"/>
        <v>1.9433721906799768E-2</v>
      </c>
      <c r="K23" s="451">
        <f t="shared" si="11"/>
        <v>0</v>
      </c>
      <c r="L23" s="451">
        <f t="shared" ca="1" si="12"/>
        <v>0</v>
      </c>
      <c r="M23" s="451">
        <f t="shared" si="13"/>
        <v>0</v>
      </c>
      <c r="N23" s="451">
        <f t="shared" ca="1" si="14"/>
        <v>0</v>
      </c>
      <c r="O23" s="451">
        <f t="shared" si="15"/>
        <v>0</v>
      </c>
      <c r="P23" s="452">
        <f t="shared" si="16"/>
        <v>0</v>
      </c>
      <c r="Q23" s="450">
        <f t="shared" ref="Q23:Q32" ca="1" si="17">SUM(B23:P23)</f>
        <v>12706.151735943782</v>
      </c>
    </row>
    <row r="24" spans="1:17">
      <c r="A24" s="450" t="s">
        <v>193</v>
      </c>
      <c r="B24" s="451">
        <f t="shared" ca="1" si="2"/>
        <v>258.36397445056753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258.36397445056753</v>
      </c>
    </row>
    <row r="25" spans="1:17">
      <c r="A25" s="450" t="s">
        <v>111</v>
      </c>
      <c r="B25" s="451">
        <f t="shared" ca="1" si="2"/>
        <v>804.92623160674543</v>
      </c>
      <c r="C25" s="451">
        <f t="shared" ca="1" si="3"/>
        <v>0</v>
      </c>
      <c r="D25" s="451">
        <f t="shared" si="4"/>
        <v>100.31306658524899</v>
      </c>
      <c r="E25" s="451">
        <f t="shared" si="5"/>
        <v>26.6723924945859</v>
      </c>
      <c r="F25" s="451">
        <f t="shared" si="6"/>
        <v>4446.4794767979338</v>
      </c>
      <c r="G25" s="451">
        <f t="shared" si="7"/>
        <v>0</v>
      </c>
      <c r="H25" s="451">
        <f t="shared" si="8"/>
        <v>0</v>
      </c>
      <c r="I25" s="451">
        <f t="shared" si="9"/>
        <v>0</v>
      </c>
      <c r="J25" s="451">
        <f t="shared" si="10"/>
        <v>205.02115485357655</v>
      </c>
      <c r="K25" s="451">
        <f t="shared" si="11"/>
        <v>0</v>
      </c>
      <c r="L25" s="451">
        <f t="shared" si="12"/>
        <v>0</v>
      </c>
      <c r="M25" s="451">
        <f t="shared" si="13"/>
        <v>0</v>
      </c>
      <c r="N25" s="451">
        <f t="shared" si="14"/>
        <v>0</v>
      </c>
      <c r="O25" s="451">
        <f t="shared" si="15"/>
        <v>0</v>
      </c>
      <c r="P25" s="452">
        <f t="shared" si="16"/>
        <v>0</v>
      </c>
      <c r="Q25" s="450">
        <f t="shared" ca="1" si="17"/>
        <v>5583.4123223380902</v>
      </c>
    </row>
    <row r="26" spans="1:17">
      <c r="A26" s="450" t="s">
        <v>634</v>
      </c>
      <c r="B26" s="451">
        <f t="shared" ca="1" si="2"/>
        <v>5734.1257063085495</v>
      </c>
      <c r="C26" s="451">
        <f t="shared" ca="1" si="3"/>
        <v>0</v>
      </c>
      <c r="D26" s="451">
        <f t="shared" si="4"/>
        <v>6180.3852866910584</v>
      </c>
      <c r="E26" s="451">
        <f t="shared" si="5"/>
        <v>422.20663254405696</v>
      </c>
      <c r="F26" s="451">
        <f t="shared" si="6"/>
        <v>1670.1356116875033</v>
      </c>
      <c r="G26" s="451">
        <f t="shared" si="7"/>
        <v>0</v>
      </c>
      <c r="H26" s="451">
        <f t="shared" si="8"/>
        <v>0</v>
      </c>
      <c r="I26" s="451">
        <f t="shared" si="9"/>
        <v>0</v>
      </c>
      <c r="J26" s="451">
        <f t="shared" si="10"/>
        <v>20.355064681096433</v>
      </c>
      <c r="K26" s="451">
        <f t="shared" si="11"/>
        <v>0</v>
      </c>
      <c r="L26" s="451">
        <f t="shared" si="12"/>
        <v>0</v>
      </c>
      <c r="M26" s="451">
        <f t="shared" si="13"/>
        <v>0</v>
      </c>
      <c r="N26" s="451">
        <f t="shared" si="14"/>
        <v>0</v>
      </c>
      <c r="O26" s="451">
        <f t="shared" si="15"/>
        <v>0</v>
      </c>
      <c r="P26" s="452">
        <f t="shared" si="16"/>
        <v>0</v>
      </c>
      <c r="Q26" s="450">
        <f t="shared" ca="1" si="17"/>
        <v>14027.208301912264</v>
      </c>
    </row>
    <row r="27" spans="1:17" s="456" customFormat="1">
      <c r="A27" s="454" t="s">
        <v>560</v>
      </c>
      <c r="B27" s="754">
        <f t="shared" ca="1" si="2"/>
        <v>27.188101165141653</v>
      </c>
      <c r="C27" s="455">
        <f t="shared" ca="1" si="3"/>
        <v>0</v>
      </c>
      <c r="D27" s="455">
        <f t="shared" si="4"/>
        <v>72.186795453846017</v>
      </c>
      <c r="E27" s="455">
        <f t="shared" si="5"/>
        <v>161.0421055650327</v>
      </c>
      <c r="F27" s="455">
        <f t="shared" si="6"/>
        <v>0</v>
      </c>
      <c r="G27" s="455">
        <f t="shared" si="7"/>
        <v>89312.17659709799</v>
      </c>
      <c r="H27" s="455">
        <f t="shared" si="8"/>
        <v>15507.914320854481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105080.5079201365</v>
      </c>
    </row>
    <row r="28" spans="1:17">
      <c r="A28" s="450" t="s">
        <v>550</v>
      </c>
      <c r="B28" s="451">
        <f t="shared" ca="1" si="2"/>
        <v>0</v>
      </c>
      <c r="C28" s="451">
        <f t="shared" ca="1" si="3"/>
        <v>0</v>
      </c>
      <c r="D28" s="451">
        <f t="shared" si="4"/>
        <v>0</v>
      </c>
      <c r="E28" s="451">
        <f t="shared" si="5"/>
        <v>0</v>
      </c>
      <c r="F28" s="451">
        <f t="shared" si="6"/>
        <v>0</v>
      </c>
      <c r="G28" s="451">
        <f t="shared" si="7"/>
        <v>418.77667639099099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418.77667639099099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474.19397844642816</v>
      </c>
      <c r="C32" s="451">
        <f t="shared" ca="1" si="3"/>
        <v>0</v>
      </c>
      <c r="D32" s="451">
        <f t="shared" si="4"/>
        <v>390.32944879922519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864.52342724565335</v>
      </c>
    </row>
    <row r="33" spans="1:17" s="460" customFormat="1">
      <c r="A33" s="1005" t="s">
        <v>554</v>
      </c>
      <c r="B33" s="953">
        <f ca="1">SUM(B22:B32)</f>
        <v>21626.296282148516</v>
      </c>
      <c r="C33" s="953">
        <f t="shared" ref="C33:Q33" ca="1" si="18">SUM(C22:C32)</f>
        <v>0</v>
      </c>
      <c r="D33" s="953">
        <f t="shared" ca="1" si="18"/>
        <v>27884.587868647977</v>
      </c>
      <c r="E33" s="953">
        <f t="shared" si="18"/>
        <v>6569.6892162060067</v>
      </c>
      <c r="F33" s="953">
        <f t="shared" ca="1" si="18"/>
        <v>11818.684038540399</v>
      </c>
      <c r="G33" s="953">
        <f t="shared" si="18"/>
        <v>89730.95327348898</v>
      </c>
      <c r="H33" s="953">
        <f t="shared" si="18"/>
        <v>15507.914320854481</v>
      </c>
      <c r="I33" s="953">
        <f t="shared" si="18"/>
        <v>0</v>
      </c>
      <c r="J33" s="953">
        <f t="shared" si="18"/>
        <v>225.39565325657978</v>
      </c>
      <c r="K33" s="953">
        <f t="shared" si="18"/>
        <v>0</v>
      </c>
      <c r="L33" s="953">
        <f t="shared" ca="1" si="18"/>
        <v>0</v>
      </c>
      <c r="M33" s="953">
        <f t="shared" si="18"/>
        <v>0</v>
      </c>
      <c r="N33" s="953">
        <f t="shared" ca="1" si="18"/>
        <v>0</v>
      </c>
      <c r="O33" s="953">
        <f t="shared" si="18"/>
        <v>0</v>
      </c>
      <c r="P33" s="953">
        <f t="shared" si="18"/>
        <v>0</v>
      </c>
      <c r="Q33" s="953">
        <f t="shared" ca="1" si="18"/>
        <v>173363.52065314294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9546.7163677880617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9546.7163677880617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0.20135604966843909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0.20135604966843909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2020-06-20T15:43:30Z</dcterms:modified>
</cp:coreProperties>
</file>