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1" i="18"/>
  <c r="V41" i="18"/>
  <c r="N6" i="17" s="1"/>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J77" i="14" s="1"/>
  <c r="J9" i="61" s="1"/>
  <c r="U38" i="18"/>
  <c r="T38" i="18"/>
  <c r="I9" i="18" s="1"/>
  <c r="S38" i="18"/>
  <c r="R38" i="18"/>
  <c r="Q38" i="18"/>
  <c r="P38" i="18"/>
  <c r="C9" i="18" s="1"/>
  <c r="O38" i="18"/>
  <c r="N38" i="18"/>
  <c r="B9" i="18" s="1"/>
  <c r="M38" i="18"/>
  <c r="W34" i="18"/>
  <c r="V34" i="18"/>
  <c r="U34" i="18"/>
  <c r="T34" i="18"/>
  <c r="S34" i="18"/>
  <c r="R34" i="18"/>
  <c r="Q34" i="18"/>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F6" i="17" l="1"/>
  <c r="C13" i="15"/>
  <c r="M77" i="14"/>
  <c r="M9" i="61" s="1"/>
  <c r="D13" i="15"/>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0" i="18"/>
  <c r="H8" i="18" s="1"/>
  <c r="E50" i="18"/>
  <c r="E8" i="18" s="1"/>
  <c r="G50" i="18"/>
  <c r="F50" i="18"/>
  <c r="H50" i="18"/>
  <c r="D50" i="18"/>
  <c r="C50" i="18"/>
  <c r="B50" i="18"/>
  <c r="C8" i="18" s="1"/>
  <c r="C51" i="18"/>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1" i="18" l="1"/>
  <c r="E17" i="18" s="1"/>
  <c r="E20" i="18" s="1"/>
  <c r="I8" i="18"/>
  <c r="F51" i="18"/>
  <c r="I51" i="18"/>
  <c r="H17" i="18"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87" i="14" l="1"/>
  <c r="Q87" i="14" s="1"/>
  <c r="F78" i="14"/>
  <c r="F8" i="61"/>
  <c r="F10" i="61" s="1"/>
  <c r="M90" i="14"/>
  <c r="M17" i="61"/>
  <c r="M20" i="61" s="1"/>
  <c r="M78" i="14"/>
  <c r="M8" i="61"/>
  <c r="M10" i="61" s="1"/>
  <c r="I78" i="14"/>
  <c r="Q76" i="14"/>
  <c r="D78" i="14"/>
  <c r="J87" i="14"/>
  <c r="J20" i="18"/>
  <c r="I87" i="14"/>
  <c r="I17" i="61" s="1"/>
  <c r="I20" i="61" s="1"/>
  <c r="I20" i="18"/>
  <c r="O17" i="18"/>
  <c r="O20" i="18" s="1"/>
  <c r="D90" i="14"/>
  <c r="J10" i="18"/>
  <c r="J76" i="14"/>
  <c r="D5" i="13"/>
  <c r="F17" i="61" l="1"/>
  <c r="F20" i="61" s="1"/>
  <c r="F90" i="14"/>
  <c r="Q78" i="14"/>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46" i="14" l="1"/>
  <c r="Q61" i="14" s="1"/>
  <c r="Q63" i="14" s="1"/>
  <c r="O8" i="48"/>
  <c r="O26" i="48" s="1"/>
  <c r="P13" i="14"/>
  <c r="P16" i="14" s="1"/>
  <c r="P27" i="14" s="1"/>
  <c r="F24" i="14"/>
  <c r="F26" i="14" s="1"/>
  <c r="E7" i="48"/>
  <c r="E25" i="48" s="1"/>
  <c r="O23"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O33" i="48"/>
  <c r="E5" i="48"/>
  <c r="F10" i="14"/>
  <c r="K10" i="14"/>
  <c r="J5" i="48"/>
  <c r="J23" i="48" s="1"/>
  <c r="J20" i="15"/>
  <c r="K40" i="14" s="1"/>
  <c r="N52" i="14"/>
  <c r="N61" i="14" s="1"/>
  <c r="I20" i="14"/>
  <c r="I22" i="14" s="1"/>
  <c r="I27"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E8" i="48"/>
  <c r="E26" i="48" s="1"/>
  <c r="F13" i="14"/>
  <c r="F16" i="14" s="1"/>
  <c r="F27" i="14" s="1"/>
  <c r="E33" i="48"/>
  <c r="E23"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<sst xmlns="http://schemas.openxmlformats.org/spreadsheetml/2006/main" count="2425" uniqueCount="900">
  <si>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</si>
  <si>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</si>
  <si>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</si>
  <si>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</si>
  <si>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</si>
  <si>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</si>
  <si>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</si>
  <si>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</si>
  <si>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</si>
  <si>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</si>
  <si>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</si>
  <si>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</si>
  <si>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</si>
  <si>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</si>
  <si>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</si>
  <si>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</si>
  <si>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</si>
  <si>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</si>
  <si>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</si>
  <si>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</si>
  <si>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</si>
  <si>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</si>
  <si>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</si>
  <si>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</si>
  <si>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</si>
  <si>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</si>
  <si>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</si>
  <si>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</si>
  <si>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</si>
  <si>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</si>
  <si>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</si>
  <si>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</si>
  <si>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</si>
  <si>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</si>
  <si>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</si>
  <si>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</si>
  <si>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</si>
  <si>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</si>
  <si>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</si>
  <si>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</si>
  <si>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</si>
  <si>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</si>
  <si>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</si>
  <si>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</si>
  <si>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</si>
  <si>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</si>
  <si>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</si>
  <si>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</si>
  <si>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</si>
  <si>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</si>
  <si>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</si>
  <si>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</si>
  <si>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</si>
  <si>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</si>
  <si>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</si>
  <si>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</si>
  <si>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</si>
  <si>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</si>
  <si>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</si>
  <si>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</si>
  <si>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</si>
  <si>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</si>
  <si>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</si>
  <si>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</si>
  <si>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</si>
  <si>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</si>
  <si>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</si>
  <si>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</si>
  <si>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</si>
  <si>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</si>
  <si>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</si>
  <si>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</si>
  <si>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</si>
  <si>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</si>
  <si>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</si>
  <si>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</si>
  <si>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</si>
  <si>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</si>
  <si>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</si>
  <si>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</si>
  <si>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</si>
  <si>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</si>
  <si>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</si>
  <si>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</si>
  <si>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</si>
  <si>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</si>
  <si>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</si>
  <si>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</si>
  <si>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</si>
  <si>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</si>
  <si>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</si>
  <si>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</si>
  <si>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</si>
  <si>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</si>
  <si>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</si>
  <si>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</si>
  <si>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</si>
  <si>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</si>
  <si>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</si>
  <si>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</si>
  <si>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</si>
  <si>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</si>
  <si>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</si>
  <si>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</si>
  <si>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</si>
  <si>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</si>
  <si>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</si>
  <si>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</si>
  <si>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</si>
  <si>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</si>
  <si>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</si>
  <si>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</si>
  <si>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</si>
  <si>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</si>
  <si>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</si>
  <si>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</si>
  <si>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</si>
  <si>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</si>
  <si>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</si>
  <si>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</si>
  <si>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</si>
  <si>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</si>
  <si>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</si>
  <si>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</si>
  <si>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</si>
  <si>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</si>
  <si>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</si>
  <si>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</si>
  <si>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</si>
  <si>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</si>
  <si>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</si>
  <si>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</si>
  <si>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</si>
  <si>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</si>
  <si>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</si>
  <si>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</si>
  <si>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</si>
  <si>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</si>
  <si>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</si>
  <si>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</si>
  <si>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</si>
  <si>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</si>
  <si>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</si>
  <si>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</si>
  <si>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</si>
  <si>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</si>
  <si>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</si>
  <si>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</si>
  <si>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</si>
  <si>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</si>
  <si>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</si>
  <si>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</si>
  <si>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</si>
  <si>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</si>
  <si>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</si>
  <si>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</si>
  <si>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</si>
  <si>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</si>
  <si>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</si>
  <si>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</si>
  <si>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</si>
  <si>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</si>
  <si>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</si>
  <si>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</si>
  <si>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</si>
  <si>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</si>
  <si>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</si>
  <si>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</si>
  <si>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</si>
  <si>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</si>
  <si>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</si>
  <si>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</si>
  <si>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</si>
  <si>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</si>
  <si>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</si>
  <si>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</si>
  <si>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</si>
  <si>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</si>
  <si>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</si>
  <si>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</si>
  <si>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</si>
  <si>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</si>
  <si>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</si>
  <si>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</si>
  <si>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</si>
  <si>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</si>
  <si>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</si>
  <si>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</si>
  <si>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</si>
  <si>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</si>
  <si>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</si>
  <si>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</si>
  <si>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</si>
  <si>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</si>
  <si>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</si>
  <si>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</si>
  <si>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</si>
  <si>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</si>
  <si>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</si>
  <si>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</si>
  <si>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</si>
  <si>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</si>
  <si>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</si>
  <si>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</si>
  <si>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</si>
  <si>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</si>
  <si>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</si>
  <si>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</si>
  <si>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</si>
  <si>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</si>
  <si>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</si>
  <si>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</si>
  <si>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</si>
  <si>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</si>
  <si>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</si>
  <si>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</si>
  <si>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</si>
  <si>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</si>
  <si>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</si>
  <si>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</si>
  <si>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</si>
  <si>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</si>
  <si>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</si>
  <si>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</si>
  <si>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</si>
  <si>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</si>
  <si>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</si>
  <si>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</si>
  <si>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</si>
  <si>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</si>
  <si>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</si>
  <si>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</si>
  <si>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</si>
  <si>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</si>
  <si>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</si>
  <si>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</si>
  <si>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</si>
  <si>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</si>
  <si>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</si>
  <si>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</si>
  <si>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</si>
  <si>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</si>
  <si>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</si>
  <si>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</si>
  <si>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</si>
  <si>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</si>
  <si>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</si>
  <si>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</si>
  <si>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</si>
  <si>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</si>
  <si>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</si>
  <si>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</si>
  <si>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</si>
  <si>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</si>
  <si>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</si>
  <si>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</si>
  <si>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</si>
  <si>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</si>
  <si>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</si>
  <si>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</si>
  <si>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</si>
  <si>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</si>
  <si>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</si>
  <si>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</si>
  <si>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</si>
  <si>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</si>
  <si>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</si>
  <si>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</si>
  <si>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</si>
  <si>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</si>
  <si>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</si>
  <si>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</si>
  <si>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</si>
  <si>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</si>
  <si>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</si>
  <si>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</si>
  <si>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</si>
  <si>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</si>
  <si>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</si>
  <si>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</si>
  <si>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</si>
  <si>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</si>
  <si>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</si>
  <si>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</si>
  <si>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</si>
  <si>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</si>
  <si>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</si>
  <si>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</si>
  <si>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</si>
  <si>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</si>
  <si>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</si>
  <si>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</si>
  <si>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</si>
  <si>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</si>
  <si>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</si>
  <si>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</si>
  <si>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</si>
  <si>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</si>
  <si>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</si>
  <si>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</si>
  <si>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</si>
  <si>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</si>
  <si>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</si>
  <si>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</si>
  <si>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</si>
  <si>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</si>
  <si>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</si>
  <si>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</si>
  <si>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</si>
  <si>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</si>
  <si>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</si>
  <si>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</si>
  <si>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</si>
  <si>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</si>
  <si>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</si>
  <si>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</si>
  <si>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</si>
  <si>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</si>
  <si>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</si>
  <si>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</si>
  <si>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</si>
  <si>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</si>
  <si>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</si>
  <si>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</si>
  <si>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</si>
  <si>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</si>
  <si>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</si>
  <si>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</si>
  <si>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</si>
  <si>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</si>
  <si>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</si>
  <si>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</si>
  <si>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</si>
  <si>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</si>
  <si>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</si>
  <si>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</si>
  <si>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</si>
  <si>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</si>
  <si>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</si>
  <si>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</si>
  <si>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</si>
  <si>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</si>
  <si>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</si>
  <si>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</si>
  <si>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</si>
  <si>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</si>
  <si>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</si>
  <si>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</si>
  <si>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</si>
  <si>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</si>
  <si>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</si>
  <si>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</si>
  <si>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</si>
  <si>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</si>
  <si>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</si>
  <si>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</si>
  <si>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</si>
  <si>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</si>
  <si>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</si>
  <si>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</si>
  <si>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</si>
  <si>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</si>
  <si>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</si>
  <si>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</si>
  <si>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</si>
  <si>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</si>
  <si>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</si>
  <si>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</si>
  <si>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</si>
  <si>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</si>
  <si>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</si>
  <si>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</si>
  <si>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</si>
  <si>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</si>
  <si>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</si>
  <si>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</si>
  <si>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</si>
  <si>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</si>
  <si>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</si>
  <si>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</si>
  <si>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</si>
  <si>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</si>
  <si>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</si>
  <si>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</si>
  <si>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</si>
  <si>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</si>
  <si>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</si>
  <si>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</si>
  <si>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</si>
  <si>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</si>
  <si>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</si>
  <si>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</si>
  <si>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</si>
  <si>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</si>
  <si>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</si>
  <si>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</si>
  <si>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</si>
  <si>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</si>
  <si>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</si>
  <si>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</si>
  <si>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</si>
  <si>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</si>
  <si>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</si>
  <si>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</si>
  <si>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</si>
  <si>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</si>
  <si>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</si>
  <si>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</si>
  <si>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</si>
  <si>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</si>
  <si>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</si>
  <si>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</si>
  <si>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</si>
  <si>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</si>
  <si>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</si>
  <si>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</si>
  <si>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</si>
  <si>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</si>
  <si>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</si>
  <si>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</si>
  <si>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</si>
  <si>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</si>
  <si>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</si>
  <si>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</si>
  <si>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</si>
  <si>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</si>
  <si>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</si>
  <si>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</si>
  <si>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</si>
  <si>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</si>
  <si>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</si>
  <si>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</si>
  <si>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</si>
  <si>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</si>
  <si>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</si>
  <si>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</si>
  <si>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</si>
  <si>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</si>
  <si>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</si>
  <si>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</si>
  <si>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</si>
  <si>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</si>
  <si>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</si>
  <si>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</si>
  <si>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</si>
  <si>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</si>
  <si>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</si>
  <si>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</si>
  <si>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</si>
  <si>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</si>
  <si>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</si>
  <si>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</si>
  <si>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</si>
  <si>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</si>
  <si>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</si>
  <si>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</si>
  <si>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</si>
  <si>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</si>
  <si>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</si>
  <si>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</si>
  <si>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</si>
  <si>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</si>
  <si>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</si>
  <si>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</si>
  <si>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</si>
  <si>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</si>
  <si>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</si>
  <si>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</si>
  <si>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</si>
  <si>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</si>
  <si>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</si>
  <si>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</si>
  <si>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</si>
  <si>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</si>
  <si>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</si>
  <si>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</si>
  <si>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</si>
  <si>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</si>
  <si>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</si>
  <si>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</si>
  <si>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</si>
  <si>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</si>
  <si>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</si>
  <si>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</si>
  <si>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</si>
  <si>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</si>
  <si>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</si>
  <si>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</si>
  <si>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</si>
  <si>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</si>
  <si>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</si>
  <si>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</si>
  <si>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</si>
  <si>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</si>
  <si>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</si>
  <si>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</si>
  <si>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</si>
  <si>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</si>
  <si>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</si>
  <si>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</si>
  <si>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</si>
  <si>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</si>
  <si>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</si>
  <si>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</si>
  <si>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</si>
  <si>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</si>
  <si>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</si>
  <si>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</si>
  <si>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</si>
  <si>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</si>
  <si>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</si>
  <si>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</si>
  <si>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</si>
  <si>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</si>
  <si>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</si>
  <si>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</si>
  <si>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</si>
  <si>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</si>
  <si>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</si>
  <si>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</si>
  <si>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</si>
  <si>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</si>
  <si>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</si>
  <si>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</si>
  <si>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</si>
  <si>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</si>
  <si>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</si>
  <si>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</si>
  <si>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</si>
  <si>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</si>
  <si>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</si>
  <si>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</si>
  <si>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</si>
  <si>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</si>
  <si>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</si>
  <si>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</si>
  <si>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</si>
  <si>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</si>
  <si>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</si>
  <si>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</si>
  <si>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</si>
  <si>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</si>
  <si>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</si>
  <si>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</si>
  <si>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</si>
  <si>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</si>
  <si>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</si>
  <si>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</si>
  <si>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</si>
  <si>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</si>
  <si>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</si>
  <si>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</si>
  <si>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</si>
  <si>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</si>
  <si>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</si>
  <si>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</si>
  <si>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</si>
  <si>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</si>
  <si>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</si>
  <si>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</si>
  <si>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</si>
  <si>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</si>
  <si>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</si>
  <si>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</si>
  <si>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</si>
  <si>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</si>
  <si>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</si>
  <si>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</si>
  <si>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</si>
  <si>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</si>
  <si>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</si>
  <si>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</si>
  <si>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</si>
  <si>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</si>
  <si>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</si>
  <si>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</si>
  <si>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</si>
  <si>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</si>
  <si>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</si>
  <si>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</si>
  <si>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</si>
  <si>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</si>
  <si>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</si>
  <si>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</si>
  <si>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</si>
  <si>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</si>
  <si>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</si>
  <si>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</si>
  <si>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</si>
  <si>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</si>
  <si>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</si>
  <si>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</si>
  <si>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</si>
  <si>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</si>
  <si>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</si>
  <si>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</si>
  <si>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</si>
  <si>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</si>
  <si>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</si>
  <si>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</si>
  <si>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</si>
  <si>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</si>
  <si>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</si>
  <si>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</si>
  <si>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</si>
  <si>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</si>
  <si>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</si>
  <si>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</si>
  <si>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</si>
  <si>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</si>
  <si>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</si>
  <si>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</si>
  <si>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</si>
  <si>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</si>
  <si>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</si>
  <si>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</si>
  <si>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</si>
  <si>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</si>
  <si>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</si>
  <si>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</si>
  <si>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</si>
  <si>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</si>
  <si>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</si>
  <si>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</si>
  <si>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</si>
  <si>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</si>
  <si>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</si>
  <si>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</si>
  <si>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</si>
  <si>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</si>
  <si>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</si>
  <si>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</si>
  <si>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</si>
  <si>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</si>
  <si>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</si>
  <si>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</si>
  <si>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</si>
  <si>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</si>
  <si>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</si>
  <si>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</si>
  <si>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</si>
  <si>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</si>
  <si>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</si>
  <si>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</si>
  <si>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</si>
  <si>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</si>
  <si>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</si>
  <si>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</si>
  <si>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</si>
  <si>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</si>
  <si>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</si>
  <si>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</si>
  <si>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</si>
  <si>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</si>
  <si>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</si>
  <si>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</si>
  <si>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</si>
  <si>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</si>
  <si>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</si>
  <si>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</si>
  <si>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</si>
  <si>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</si>
  <si>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</si>
  <si>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</si>
  <si>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</si>
  <si>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</si>
  <si>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</si>
  <si>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</si>
  <si>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</si>
  <si>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</si>
  <si>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</si>
  <si>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</si>
  <si>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</si>
  <si>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</si>
  <si>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</si>
  <si>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</si>
  <si>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</si>
  <si>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</si>
  <si>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</si>
  <si>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</si>
  <si>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</si>
  <si>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</si>
  <si>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</si>
  <si>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</si>
  <si>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</si>
  <si>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</si>
  <si>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</si>
  <si>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</si>
  <si>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</si>
  <si>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</si>
  <si>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</si>
  <si>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</si>
  <si>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</si>
  <si>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</si>
  <si>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</si>
  <si>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</si>
  <si>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</si>
  <si>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</si>
  <si>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</si>
  <si>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</si>
  <si>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</si>
  <si>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</si>
  <si>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</si>
  <si>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</si>
  <si>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</si>
  <si>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</si>
  <si>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</si>
  <si>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</si>
  <si>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</si>
  <si>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</si>
  <si>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</si>
  <si>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</si>
  <si>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</si>
  <si>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</si>
  <si>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</si>
  <si>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</si>
  <si>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</si>
  <si>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</si>
  <si>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</si>
  <si>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</si>
  <si>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</si>
  <si>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</si>
  <si>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</si>
  <si>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</si>
  <si>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</si>
  <si>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</si>
  <si>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</si>
  <si>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</si>
  <si>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</si>
  <si>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</si>
  <si>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</si>
  <si>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</si>
  <si>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</si>
  <si>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</si>
  <si>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</si>
  <si>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</si>
  <si>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</si>
  <si>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</si>
  <si>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</si>
  <si>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</si>
  <si>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</si>
  <si>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</si>
  <si>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</si>
  <si>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</si>
  <si>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</si>
  <si>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</si>
  <si>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</si>
  <si>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</si>
  <si>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</si>
  <si>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</si>
  <si>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</si>
  <si>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</si>
  <si>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</si>
  <si>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</si>
  <si>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</si>
  <si>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</si>
  <si>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</si>
  <si>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</si>
  <si>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</si>
  <si>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</si>
  <si>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</si>
  <si>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</si>
  <si>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</si>
  <si>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</si>
  <si>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</si>
  <si>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</si>
  <si>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</si>
  <si>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</si>
  <si>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</si>
  <si>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</si>
  <si>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</si>
  <si>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</si>
  <si>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</si>
  <si>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</si>
  <si>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</si>
  <si>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</si>
  <si>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</si>
  <si>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</si>
  <si>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</si>
  <si>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</si>
  <si>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</si>
  <si>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</si>
  <si>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</si>
  <si>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</si>
  <si>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</si>
  <si>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</si>
  <si>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</si>
  <si>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</si>
  <si>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</si>
  <si>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</si>
  <si>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</si>
  <si>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</si>
  <si>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</si>
  <si>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</si>
  <si>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</si>
  <si>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</si>
  <si>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</si>
  <si>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</si>
  <si>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</si>
  <si>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</si>
  <si>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</si>
  <si>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</si>
  <si>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</si>
  <si>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</si>
  <si>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</si>
  <si>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</si>
  <si>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</si>
  <si>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</si>
  <si>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</si>
  <si>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</si>
  <si>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</si>
  <si>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</si>
  <si>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</si>
  <si>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</si>
  <si>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</si>
  <si>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</si>
  <si>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</si>
  <si>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</si>
  <si>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</si>
  <si>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</si>
  <si>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</si>
  <si>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</si>
  <si>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</si>
  <si>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</si>
  <si>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</si>
  <si>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</si>
  <si>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</si>
  <si>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</si>
  <si>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</si>
  <si>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</si>
  <si>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</si>
  <si>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</si>
  <si>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</si>
  <si>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</si>
  <si>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</si>
  <si>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</si>
  <si>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</si>
  <si>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</si>
  <si>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</si>
  <si>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</si>
  <si>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</si>
  <si>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</si>
  <si>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</si>
  <si>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</si>
  <si>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</si>
  <si>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</si>
  <si>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</si>
  <si>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</si>
  <si>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</si>
  <si>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</si>
  <si>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</si>
  <si>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</si>
  <si>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</si>
  <si>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</si>
  <si>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</si>
  <si>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</si>
  <si>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</si>
  <si>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</si>
  <si>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</si>
  <si>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</si>
  <si>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</si>
  <si>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</si>
  <si>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</si>
  <si>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</si>
  <si>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</si>
  <si>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</si>
  <si>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</si>
  <si>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</si>
  <si>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</si>
  <si>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</si>
  <si>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</si>
  <si>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</si>
  <si>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</si>
  <si>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</si>
  <si>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</si>
  <si>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</si>
  <si>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</si>
  <si>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</si>
  <si>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</si>
  <si>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</si>
  <si>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</si>
  <si>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</si>
  <si>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</si>
  <si>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31005</t>
  </si>
  <si>
    <t>BRUGGE</t>
  </si>
  <si>
    <t>Fluvius</t>
  </si>
  <si>
    <t>referentietaak LNE (2017); Jaarverslag De Lijn</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</si>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</sst>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868689.47447650111</c:v>
                </c:pt>
                <c:pt idx="1">
                  <c:v>772008.95435698167</c:v>
                </c:pt>
                <c:pt idx="2">
                  <c:v>8014.75</c:v>
                </c:pt>
                <c:pt idx="3">
                  <c:v>59331.162179152583</c:v>
                </c:pt>
                <c:pt idx="4">
                  <c:v>315271.23790219089</c:v>
                </c:pt>
                <c:pt idx="5">
                  <c:v>749473.12936787342</c:v>
                </c:pt>
                <c:pt idx="6">
                  <c:v>23898.573897477356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868689.47447650111</c:v>
                </c:pt>
                <c:pt idx="1">
                  <c:v>772008.95435698167</c:v>
                </c:pt>
                <c:pt idx="2">
                  <c:v>8014.75</c:v>
                </c:pt>
                <c:pt idx="3">
                  <c:v>59331.162179152583</c:v>
                </c:pt>
                <c:pt idx="4">
                  <c:v>315271.23790219089</c:v>
                </c:pt>
                <c:pt idx="5">
                  <c:v>749473.12936787342</c:v>
                </c:pt>
                <c:pt idx="6">
                  <c:v>23898.573897477356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159065.29419724652</c:v>
                </c:pt>
                <c:pt idx="2">
                  <c:v>144025.88314785401</c:v>
                </c:pt>
                <c:pt idx="3">
                  <c:v>1378.2453941431493</c:v>
                </c:pt>
                <c:pt idx="4">
                  <c:v>14116.393714528105</c:v>
                </c:pt>
                <c:pt idx="5">
                  <c:v>60630.781718307881</c:v>
                </c:pt>
                <c:pt idx="6">
                  <c:v>187629.7950109815</c:v>
                </c:pt>
                <c:pt idx="7">
                  <c:v>5971.119015284562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159065.29419724652</c:v>
                </c:pt>
                <c:pt idx="2">
                  <c:v>144025.88314785401</c:v>
                </c:pt>
                <c:pt idx="3">
                  <c:v>1378.2453941431493</c:v>
                </c:pt>
                <c:pt idx="4">
                  <c:v>14116.393714528105</c:v>
                </c:pt>
                <c:pt idx="5">
                  <c:v>60630.781718307881</c:v>
                </c:pt>
                <c:pt idx="6">
                  <c:v>187629.7950109815</c:v>
                </c:pt>
                <c:pt idx="7">
                  <c:v>5971.119015284562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31005</v>
      </c>
      <c r="B6" s="390"/>
      <c r="C6" s="391"/>
    </row>
    <row r="7" spans="1:7" s="388" customFormat="1" ht="15.75" customHeight="1">
      <c r="A7" s="392" t="str">
        <f>txtMunicipality</f>
        <v>BRUGGE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0.1719636163502479</v>
      </c>
      <c r="C17" s="498">
        <f ca="1">'EF ele_warmte'!B22</f>
        <v>0.23722871872249465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0.1719636163502479</v>
      </c>
      <c r="C29" s="499">
        <f ca="1">'EF ele_warmte'!B22</f>
        <v>0.23722871872249465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53689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4452.8100000000004</v>
      </c>
      <c r="C14" s="330"/>
      <c r="D14" s="330"/>
      <c r="E14" s="330"/>
      <c r="F14" s="330"/>
    </row>
    <row r="15" spans="1:6">
      <c r="A15" s="1293" t="s">
        <v>183</v>
      </c>
      <c r="B15" s="1294">
        <v>896</v>
      </c>
      <c r="C15" s="330"/>
      <c r="D15" s="330"/>
      <c r="E15" s="330"/>
      <c r="F15" s="330"/>
    </row>
    <row r="16" spans="1:6">
      <c r="A16" s="1293" t="s">
        <v>6</v>
      </c>
      <c r="B16" s="1294">
        <v>1315</v>
      </c>
      <c r="C16" s="330"/>
      <c r="D16" s="330"/>
      <c r="E16" s="330"/>
      <c r="F16" s="330"/>
    </row>
    <row r="17" spans="1:6">
      <c r="A17" s="1293" t="s">
        <v>7</v>
      </c>
      <c r="B17" s="1294">
        <v>1285</v>
      </c>
      <c r="C17" s="330"/>
      <c r="D17" s="330"/>
      <c r="E17" s="330"/>
      <c r="F17" s="330"/>
    </row>
    <row r="18" spans="1:6">
      <c r="A18" s="1293" t="s">
        <v>8</v>
      </c>
      <c r="B18" s="1294">
        <v>1708</v>
      </c>
      <c r="C18" s="330"/>
      <c r="D18" s="330"/>
      <c r="E18" s="330"/>
      <c r="F18" s="330"/>
    </row>
    <row r="19" spans="1:6">
      <c r="A19" s="1293" t="s">
        <v>9</v>
      </c>
      <c r="B19" s="1294">
        <v>1603</v>
      </c>
      <c r="C19" s="330"/>
      <c r="D19" s="330"/>
      <c r="E19" s="330"/>
      <c r="F19" s="330"/>
    </row>
    <row r="20" spans="1:6">
      <c r="A20" s="1293" t="s">
        <v>10</v>
      </c>
      <c r="B20" s="1294">
        <v>1631</v>
      </c>
      <c r="C20" s="330"/>
      <c r="D20" s="330"/>
      <c r="E20" s="330"/>
      <c r="F20" s="330"/>
    </row>
    <row r="21" spans="1:6">
      <c r="A21" s="1293" t="s">
        <v>11</v>
      </c>
      <c r="B21" s="1294">
        <v>2690</v>
      </c>
      <c r="C21" s="330"/>
      <c r="D21" s="330"/>
      <c r="E21" s="330"/>
      <c r="F21" s="330"/>
    </row>
    <row r="22" spans="1:6">
      <c r="A22" s="1293" t="s">
        <v>12</v>
      </c>
      <c r="B22" s="1294">
        <v>14250</v>
      </c>
      <c r="C22" s="330"/>
      <c r="D22" s="330"/>
      <c r="E22" s="330"/>
      <c r="F22" s="330"/>
    </row>
    <row r="23" spans="1:6">
      <c r="A23" s="1293" t="s">
        <v>13</v>
      </c>
      <c r="B23" s="1294">
        <v>190</v>
      </c>
      <c r="C23" s="330"/>
      <c r="D23" s="330"/>
      <c r="E23" s="330"/>
      <c r="F23" s="330"/>
    </row>
    <row r="24" spans="1:6">
      <c r="A24" s="1293" t="s">
        <v>14</v>
      </c>
      <c r="B24" s="1294">
        <v>4</v>
      </c>
      <c r="C24" s="330"/>
      <c r="D24" s="330"/>
      <c r="E24" s="330"/>
      <c r="F24" s="330"/>
    </row>
    <row r="25" spans="1:6">
      <c r="A25" s="1293" t="s">
        <v>15</v>
      </c>
      <c r="B25" s="1294">
        <v>862</v>
      </c>
      <c r="C25" s="330"/>
      <c r="D25" s="330"/>
      <c r="E25" s="330"/>
      <c r="F25" s="330"/>
    </row>
    <row r="26" spans="1:6">
      <c r="A26" s="1293" t="s">
        <v>16</v>
      </c>
      <c r="B26" s="1294">
        <v>912</v>
      </c>
      <c r="C26" s="330"/>
      <c r="D26" s="330"/>
      <c r="E26" s="330"/>
      <c r="F26" s="330"/>
    </row>
    <row r="27" spans="1:6">
      <c r="A27" s="1293" t="s">
        <v>17</v>
      </c>
      <c r="B27" s="1294">
        <v>220</v>
      </c>
      <c r="C27" s="330"/>
      <c r="D27" s="330"/>
      <c r="E27" s="330"/>
      <c r="F27" s="330"/>
    </row>
    <row r="28" spans="1:6" s="43" customFormat="1">
      <c r="A28" s="1295" t="s">
        <v>18</v>
      </c>
      <c r="B28" s="1296">
        <v>166243</v>
      </c>
      <c r="C28" s="336"/>
      <c r="D28" s="336"/>
      <c r="E28" s="336"/>
      <c r="F28" s="336"/>
    </row>
    <row r="29" spans="1:6">
      <c r="A29" s="1295" t="s">
        <v>734</v>
      </c>
      <c r="B29" s="1296">
        <v>359</v>
      </c>
      <c r="C29" s="336"/>
      <c r="D29" s="336"/>
      <c r="E29" s="336"/>
      <c r="F29" s="336"/>
    </row>
    <row r="30" spans="1:6">
      <c r="A30" s="1288" t="s">
        <v>735</v>
      </c>
      <c r="B30" s="1297">
        <v>75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8</v>
      </c>
      <c r="F35" s="1294">
        <v>921157.60366625898</v>
      </c>
    </row>
    <row r="36" spans="1:6">
      <c r="A36" s="1293" t="s">
        <v>24</v>
      </c>
      <c r="B36" s="1293" t="s">
        <v>26</v>
      </c>
      <c r="C36" s="1294">
        <v>9</v>
      </c>
      <c r="D36" s="1294">
        <v>1379112.56442439</v>
      </c>
      <c r="E36" s="1294">
        <v>20</v>
      </c>
      <c r="F36" s="1294">
        <v>696282.23036513</v>
      </c>
    </row>
    <row r="37" spans="1:6">
      <c r="A37" s="1293" t="s">
        <v>24</v>
      </c>
      <c r="B37" s="1293" t="s">
        <v>27</v>
      </c>
      <c r="C37" s="1294">
        <v>0</v>
      </c>
      <c r="D37" s="1294">
        <v>0</v>
      </c>
      <c r="E37" s="1294">
        <v>0</v>
      </c>
      <c r="F37" s="1294">
        <v>0</v>
      </c>
    </row>
    <row r="38" spans="1:6">
      <c r="A38" s="1293" t="s">
        <v>24</v>
      </c>
      <c r="B38" s="1293" t="s">
        <v>28</v>
      </c>
      <c r="C38" s="1294">
        <v>4</v>
      </c>
      <c r="D38" s="1294">
        <v>646202.53862858599</v>
      </c>
      <c r="E38" s="1294">
        <v>13</v>
      </c>
      <c r="F38" s="1294">
        <v>573078.092487677</v>
      </c>
    </row>
    <row r="39" spans="1:6">
      <c r="A39" s="1293" t="s">
        <v>29</v>
      </c>
      <c r="B39" s="1293" t="s">
        <v>30</v>
      </c>
      <c r="C39" s="1294">
        <v>44469</v>
      </c>
      <c r="D39" s="1294">
        <v>670364190.05148804</v>
      </c>
      <c r="E39" s="1294">
        <v>52951</v>
      </c>
      <c r="F39" s="1294">
        <v>174195722.66662201</v>
      </c>
    </row>
    <row r="40" spans="1:6">
      <c r="A40" s="1293" t="s">
        <v>29</v>
      </c>
      <c r="B40" s="1293" t="s">
        <v>28</v>
      </c>
      <c r="C40" s="1294">
        <v>0</v>
      </c>
      <c r="D40" s="1294">
        <v>0</v>
      </c>
      <c r="E40" s="1294">
        <v>2</v>
      </c>
      <c r="F40" s="1294">
        <v>28233.997880319101</v>
      </c>
    </row>
    <row r="41" spans="1:6">
      <c r="A41" s="1293" t="s">
        <v>31</v>
      </c>
      <c r="B41" s="1293" t="s">
        <v>32</v>
      </c>
      <c r="C41" s="1294">
        <v>517</v>
      </c>
      <c r="D41" s="1294">
        <v>11676359.2388735</v>
      </c>
      <c r="E41" s="1294">
        <v>1016</v>
      </c>
      <c r="F41" s="1294">
        <v>13332563.307293501</v>
      </c>
    </row>
    <row r="42" spans="1:6">
      <c r="A42" s="1293" t="s">
        <v>31</v>
      </c>
      <c r="B42" s="1293" t="s">
        <v>33</v>
      </c>
      <c r="C42" s="1294">
        <v>3</v>
      </c>
      <c r="D42" s="1294">
        <v>52660851.119439103</v>
      </c>
      <c r="E42" s="1294">
        <v>3</v>
      </c>
      <c r="F42" s="1294">
        <v>125798.318550292</v>
      </c>
    </row>
    <row r="43" spans="1:6">
      <c r="A43" s="1293" t="s">
        <v>31</v>
      </c>
      <c r="B43" s="1293" t="s">
        <v>34</v>
      </c>
      <c r="C43" s="1294">
        <v>0</v>
      </c>
      <c r="D43" s="1294">
        <v>0</v>
      </c>
      <c r="E43" s="1294">
        <v>0</v>
      </c>
      <c r="F43" s="1294">
        <v>0</v>
      </c>
    </row>
    <row r="44" spans="1:6">
      <c r="A44" s="1293" t="s">
        <v>31</v>
      </c>
      <c r="B44" s="1293" t="s">
        <v>35</v>
      </c>
      <c r="C44" s="1294">
        <v>40</v>
      </c>
      <c r="D44" s="1294">
        <v>2262190.1207078099</v>
      </c>
      <c r="E44" s="1294">
        <v>140</v>
      </c>
      <c r="F44" s="1294">
        <v>5896152.2848272296</v>
      </c>
    </row>
    <row r="45" spans="1:6">
      <c r="A45" s="1293" t="s">
        <v>31</v>
      </c>
      <c r="B45" s="1293" t="s">
        <v>36</v>
      </c>
      <c r="C45" s="1294">
        <v>3</v>
      </c>
      <c r="D45" s="1294">
        <v>85255.935846274195</v>
      </c>
      <c r="E45" s="1294">
        <v>12</v>
      </c>
      <c r="F45" s="1294">
        <v>1360900.3280581599</v>
      </c>
    </row>
    <row r="46" spans="1:6">
      <c r="A46" s="1293" t="s">
        <v>31</v>
      </c>
      <c r="B46" s="1293" t="s">
        <v>37</v>
      </c>
      <c r="C46" s="1294">
        <v>0</v>
      </c>
      <c r="D46" s="1294">
        <v>0</v>
      </c>
      <c r="E46" s="1294">
        <v>0</v>
      </c>
      <c r="F46" s="1294">
        <v>0</v>
      </c>
    </row>
    <row r="47" spans="1:6">
      <c r="A47" s="1293" t="s">
        <v>31</v>
      </c>
      <c r="B47" s="1293" t="s">
        <v>38</v>
      </c>
      <c r="C47" s="1294">
        <v>43</v>
      </c>
      <c r="D47" s="1294">
        <v>1573759.4986944201</v>
      </c>
      <c r="E47" s="1294">
        <v>52</v>
      </c>
      <c r="F47" s="1294">
        <v>4086912.9566502501</v>
      </c>
    </row>
    <row r="48" spans="1:6">
      <c r="A48" s="1293" t="s">
        <v>31</v>
      </c>
      <c r="B48" s="1293" t="s">
        <v>28</v>
      </c>
      <c r="C48" s="1294">
        <v>151</v>
      </c>
      <c r="D48" s="1294">
        <v>111119056.302728</v>
      </c>
      <c r="E48" s="1294">
        <v>153</v>
      </c>
      <c r="F48" s="1294">
        <v>58094686.495822601</v>
      </c>
    </row>
    <row r="49" spans="1:6">
      <c r="A49" s="1293" t="s">
        <v>31</v>
      </c>
      <c r="B49" s="1293" t="s">
        <v>39</v>
      </c>
      <c r="C49" s="1294">
        <v>17</v>
      </c>
      <c r="D49" s="1294">
        <v>302684.26279460901</v>
      </c>
      <c r="E49" s="1294">
        <v>22</v>
      </c>
      <c r="F49" s="1294">
        <v>199232.43515875601</v>
      </c>
    </row>
    <row r="50" spans="1:6">
      <c r="A50" s="1293" t="s">
        <v>31</v>
      </c>
      <c r="B50" s="1293" t="s">
        <v>40</v>
      </c>
      <c r="C50" s="1294">
        <v>97</v>
      </c>
      <c r="D50" s="1294">
        <v>9177785.2416613102</v>
      </c>
      <c r="E50" s="1294">
        <v>140</v>
      </c>
      <c r="F50" s="1294">
        <v>21024682.0153783</v>
      </c>
    </row>
    <row r="51" spans="1:6">
      <c r="A51" s="1293" t="s">
        <v>41</v>
      </c>
      <c r="B51" s="1293" t="s">
        <v>42</v>
      </c>
      <c r="C51" s="1294">
        <v>126</v>
      </c>
      <c r="D51" s="1294">
        <v>17314082.034275498</v>
      </c>
      <c r="E51" s="1294">
        <v>315</v>
      </c>
      <c r="F51" s="1294">
        <v>7398061.3408184201</v>
      </c>
    </row>
    <row r="52" spans="1:6">
      <c r="A52" s="1293" t="s">
        <v>41</v>
      </c>
      <c r="B52" s="1293" t="s">
        <v>28</v>
      </c>
      <c r="C52" s="1294">
        <v>19</v>
      </c>
      <c r="D52" s="1294">
        <v>666410.98381690704</v>
      </c>
      <c r="E52" s="1294">
        <v>26</v>
      </c>
      <c r="F52" s="1294">
        <v>683185.21528882894</v>
      </c>
    </row>
    <row r="53" spans="1:6">
      <c r="A53" s="1293" t="s">
        <v>43</v>
      </c>
      <c r="B53" s="1293" t="s">
        <v>44</v>
      </c>
      <c r="C53" s="1294">
        <v>1778</v>
      </c>
      <c r="D53" s="1294">
        <v>31251852.038965698</v>
      </c>
      <c r="E53" s="1294">
        <v>2907</v>
      </c>
      <c r="F53" s="1294">
        <v>10526881.534026699</v>
      </c>
    </row>
    <row r="54" spans="1:6">
      <c r="A54" s="1293" t="s">
        <v>45</v>
      </c>
      <c r="B54" s="1293" t="s">
        <v>46</v>
      </c>
      <c r="C54" s="1294">
        <v>0</v>
      </c>
      <c r="D54" s="1294">
        <v>0</v>
      </c>
      <c r="E54" s="1294">
        <v>2</v>
      </c>
      <c r="F54" s="1294">
        <v>8014750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509</v>
      </c>
      <c r="D57" s="1294">
        <v>56241202.298915103</v>
      </c>
      <c r="E57" s="1294">
        <v>736</v>
      </c>
      <c r="F57" s="1294">
        <v>31896051.301036801</v>
      </c>
    </row>
    <row r="58" spans="1:6">
      <c r="A58" s="1293" t="s">
        <v>48</v>
      </c>
      <c r="B58" s="1293" t="s">
        <v>50</v>
      </c>
      <c r="C58" s="1294">
        <v>411</v>
      </c>
      <c r="D58" s="1294">
        <v>45560201.254201204</v>
      </c>
      <c r="E58" s="1294">
        <v>541</v>
      </c>
      <c r="F58" s="1294">
        <v>31395139.845539901</v>
      </c>
    </row>
    <row r="59" spans="1:6">
      <c r="A59" s="1293" t="s">
        <v>48</v>
      </c>
      <c r="B59" s="1293" t="s">
        <v>51</v>
      </c>
      <c r="C59" s="1294">
        <v>1238</v>
      </c>
      <c r="D59" s="1294">
        <v>52167910.416963898</v>
      </c>
      <c r="E59" s="1294">
        <v>2057</v>
      </c>
      <c r="F59" s="1294">
        <v>73435582.379291207</v>
      </c>
    </row>
    <row r="60" spans="1:6">
      <c r="A60" s="1293" t="s">
        <v>48</v>
      </c>
      <c r="B60" s="1293" t="s">
        <v>52</v>
      </c>
      <c r="C60" s="1294">
        <v>1076</v>
      </c>
      <c r="D60" s="1294">
        <v>83350897.253426298</v>
      </c>
      <c r="E60" s="1294">
        <v>1264</v>
      </c>
      <c r="F60" s="1294">
        <v>46467126.629106797</v>
      </c>
    </row>
    <row r="61" spans="1:6">
      <c r="A61" s="1293" t="s">
        <v>48</v>
      </c>
      <c r="B61" s="1293" t="s">
        <v>53</v>
      </c>
      <c r="C61" s="1294">
        <v>1738</v>
      </c>
      <c r="D61" s="1294">
        <v>91830534.547666907</v>
      </c>
      <c r="E61" s="1294">
        <v>3317</v>
      </c>
      <c r="F61" s="1294">
        <v>85211922.188226998</v>
      </c>
    </row>
    <row r="62" spans="1:6">
      <c r="A62" s="1293" t="s">
        <v>48</v>
      </c>
      <c r="B62" s="1293" t="s">
        <v>54</v>
      </c>
      <c r="C62" s="1294">
        <v>304</v>
      </c>
      <c r="D62" s="1294">
        <v>51783664.597805701</v>
      </c>
      <c r="E62" s="1294">
        <v>485</v>
      </c>
      <c r="F62" s="1294">
        <v>18220486.822921298</v>
      </c>
    </row>
    <row r="63" spans="1:6">
      <c r="A63" s="1293" t="s">
        <v>48</v>
      </c>
      <c r="B63" s="1293" t="s">
        <v>28</v>
      </c>
      <c r="C63" s="1294">
        <v>386</v>
      </c>
      <c r="D63" s="1294">
        <v>34588388.362048499</v>
      </c>
      <c r="E63" s="1294">
        <v>341</v>
      </c>
      <c r="F63" s="1294">
        <v>23206476.0678773</v>
      </c>
    </row>
    <row r="64" spans="1:6">
      <c r="A64" s="1293" t="s">
        <v>55</v>
      </c>
      <c r="B64" s="1293" t="s">
        <v>56</v>
      </c>
      <c r="C64" s="1294">
        <v>0</v>
      </c>
      <c r="D64" s="1294">
        <v>0</v>
      </c>
      <c r="E64" s="1294">
        <v>0</v>
      </c>
      <c r="F64" s="1294">
        <v>0</v>
      </c>
    </row>
    <row r="65" spans="1:6">
      <c r="A65" s="1293" t="s">
        <v>55</v>
      </c>
      <c r="B65" s="1293" t="s">
        <v>28</v>
      </c>
      <c r="C65" s="1294">
        <v>20</v>
      </c>
      <c r="D65" s="1294">
        <v>3213366.8076581601</v>
      </c>
      <c r="E65" s="1294">
        <v>14</v>
      </c>
      <c r="F65" s="1294">
        <v>274067.30031482101</v>
      </c>
    </row>
    <row r="66" spans="1:6">
      <c r="A66" s="1293" t="s">
        <v>55</v>
      </c>
      <c r="B66" s="1293" t="s">
        <v>57</v>
      </c>
      <c r="C66" s="1294">
        <v>7</v>
      </c>
      <c r="D66" s="1294">
        <v>79318.977237782907</v>
      </c>
      <c r="E66" s="1294">
        <v>131</v>
      </c>
      <c r="F66" s="1294">
        <v>6377374.7183667598</v>
      </c>
    </row>
    <row r="67" spans="1:6">
      <c r="A67" s="1295" t="s">
        <v>55</v>
      </c>
      <c r="B67" s="1295" t="s">
        <v>58</v>
      </c>
      <c r="C67" s="1294">
        <v>0</v>
      </c>
      <c r="D67" s="1294">
        <v>0</v>
      </c>
      <c r="E67" s="1294">
        <v>0</v>
      </c>
      <c r="F67" s="1294">
        <v>0</v>
      </c>
    </row>
    <row r="68" spans="1:6">
      <c r="A68" s="1288" t="s">
        <v>55</v>
      </c>
      <c r="B68" s="1288" t="s">
        <v>59</v>
      </c>
      <c r="C68" s="1297">
        <v>29</v>
      </c>
      <c r="D68" s="1297">
        <v>780384.420631374</v>
      </c>
      <c r="E68" s="1297">
        <v>86</v>
      </c>
      <c r="F68" s="1297">
        <v>3451175.8150667101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552447542</v>
      </c>
      <c r="E73" s="449"/>
      <c r="F73" s="330"/>
    </row>
    <row r="74" spans="1:6">
      <c r="A74" s="1293" t="s">
        <v>63</v>
      </c>
      <c r="B74" s="1293" t="s">
        <v>656</v>
      </c>
      <c r="C74" s="1307" t="s">
        <v>658</v>
      </c>
      <c r="D74" s="1308">
        <v>55282606.5</v>
      </c>
      <c r="E74" s="449"/>
      <c r="F74" s="330"/>
    </row>
    <row r="75" spans="1:6">
      <c r="A75" s="1293" t="s">
        <v>64</v>
      </c>
      <c r="B75" s="1293" t="s">
        <v>655</v>
      </c>
      <c r="C75" s="1307" t="s">
        <v>659</v>
      </c>
      <c r="D75" s="1308">
        <v>146220003</v>
      </c>
      <c r="E75" s="449"/>
      <c r="F75" s="330"/>
    </row>
    <row r="76" spans="1:6">
      <c r="A76" s="1293" t="s">
        <v>64</v>
      </c>
      <c r="B76" s="1293" t="s">
        <v>656</v>
      </c>
      <c r="C76" s="1307" t="s">
        <v>660</v>
      </c>
      <c r="D76" s="1308">
        <v>5902857.5</v>
      </c>
      <c r="E76" s="449"/>
      <c r="F76" s="330"/>
    </row>
    <row r="77" spans="1:6">
      <c r="A77" s="1293" t="s">
        <v>65</v>
      </c>
      <c r="B77" s="1293" t="s">
        <v>655</v>
      </c>
      <c r="C77" s="1307" t="s">
        <v>661</v>
      </c>
      <c r="D77" s="1308">
        <v>93701928</v>
      </c>
      <c r="E77" s="449"/>
      <c r="F77" s="330"/>
    </row>
    <row r="78" spans="1:6">
      <c r="A78" s="1288" t="s">
        <v>65</v>
      </c>
      <c r="B78" s="1288" t="s">
        <v>656</v>
      </c>
      <c r="C78" s="1288" t="s">
        <v>662</v>
      </c>
      <c r="D78" s="1309">
        <v>14888532</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6291793</v>
      </c>
      <c r="C83" s="449"/>
      <c r="D83" s="330"/>
      <c r="E83" s="330"/>
      <c r="F83" s="330"/>
    </row>
    <row r="84" spans="1:6">
      <c r="A84" s="1288" t="s">
        <v>336</v>
      </c>
      <c r="B84" s="1309">
        <v>235189</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107653.00782841453</v>
      </c>
      <c r="C90" s="330"/>
      <c r="D90" s="330"/>
      <c r="E90" s="330"/>
      <c r="F90" s="330"/>
    </row>
    <row r="91" spans="1:6">
      <c r="A91" s="1293" t="s">
        <v>67</v>
      </c>
      <c r="B91" s="1294">
        <v>13382.676325546718</v>
      </c>
      <c r="C91" s="330"/>
      <c r="D91" s="330"/>
      <c r="E91" s="330"/>
      <c r="F91" s="330"/>
    </row>
    <row r="92" spans="1:6">
      <c r="A92" s="1288" t="s">
        <v>68</v>
      </c>
      <c r="B92" s="1289">
        <v>18686.100726465844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33975</v>
      </c>
      <c r="C97" s="330"/>
      <c r="D97" s="330"/>
      <c r="E97" s="330"/>
      <c r="F97" s="330"/>
    </row>
    <row r="98" spans="1:6">
      <c r="A98" s="1293" t="s">
        <v>71</v>
      </c>
      <c r="B98" s="1294">
        <v>8</v>
      </c>
      <c r="C98" s="330"/>
      <c r="D98" s="330"/>
      <c r="E98" s="330"/>
      <c r="F98" s="330"/>
    </row>
    <row r="99" spans="1:6">
      <c r="A99" s="1293" t="s">
        <v>72</v>
      </c>
      <c r="B99" s="1294">
        <v>191</v>
      </c>
      <c r="C99" s="330"/>
      <c r="D99" s="330"/>
      <c r="E99" s="330"/>
      <c r="F99" s="330"/>
    </row>
    <row r="100" spans="1:6">
      <c r="A100" s="1293" t="s">
        <v>73</v>
      </c>
      <c r="B100" s="1294">
        <v>3941</v>
      </c>
      <c r="C100" s="330"/>
      <c r="D100" s="330"/>
      <c r="E100" s="330"/>
      <c r="F100" s="330"/>
    </row>
    <row r="101" spans="1:6">
      <c r="A101" s="1293" t="s">
        <v>74</v>
      </c>
      <c r="B101" s="1294">
        <v>356</v>
      </c>
      <c r="C101" s="330"/>
      <c r="D101" s="330"/>
      <c r="E101" s="330"/>
      <c r="F101" s="330"/>
    </row>
    <row r="102" spans="1:6">
      <c r="A102" s="1293" t="s">
        <v>75</v>
      </c>
      <c r="B102" s="1294">
        <v>1147</v>
      </c>
      <c r="C102" s="330"/>
      <c r="D102" s="330"/>
      <c r="E102" s="330"/>
      <c r="F102" s="330"/>
    </row>
    <row r="103" spans="1:6">
      <c r="A103" s="1293" t="s">
        <v>76</v>
      </c>
      <c r="B103" s="1294">
        <v>613</v>
      </c>
      <c r="C103" s="330"/>
      <c r="D103" s="330"/>
      <c r="E103" s="330"/>
      <c r="F103" s="330"/>
    </row>
    <row r="104" spans="1:6">
      <c r="A104" s="1293" t="s">
        <v>77</v>
      </c>
      <c r="B104" s="1294">
        <v>8219</v>
      </c>
      <c r="C104" s="330"/>
      <c r="D104" s="330"/>
      <c r="E104" s="330"/>
      <c r="F104" s="330"/>
    </row>
    <row r="105" spans="1:6">
      <c r="A105" s="1288" t="s">
        <v>78</v>
      </c>
      <c r="B105" s="1297">
        <v>33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4</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6</v>
      </c>
      <c r="C121" s="1294">
        <v>0</v>
      </c>
      <c r="D121" s="330"/>
      <c r="E121" s="330"/>
      <c r="F121" s="330"/>
    </row>
    <row r="122" spans="1:6">
      <c r="A122" s="1293" t="s">
        <v>86</v>
      </c>
      <c r="B122" s="1294">
        <v>0</v>
      </c>
      <c r="C122" s="1294">
        <v>0</v>
      </c>
      <c r="D122" s="330"/>
      <c r="E122" s="330"/>
      <c r="F122" s="330"/>
    </row>
    <row r="123" spans="1:6">
      <c r="A123" s="1293" t="s">
        <v>87</v>
      </c>
      <c r="B123" s="1294">
        <v>49</v>
      </c>
      <c r="C123" s="1294">
        <v>123</v>
      </c>
      <c r="D123" s="330"/>
      <c r="E123" s="330"/>
      <c r="F123" s="330"/>
    </row>
    <row r="124" spans="1:6" s="43" customFormat="1">
      <c r="A124" s="1295" t="s">
        <v>88</v>
      </c>
      <c r="B124" s="1316">
        <v>5</v>
      </c>
      <c r="C124" s="1316">
        <v>5</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708</v>
      </c>
      <c r="C129" s="330"/>
      <c r="D129" s="330"/>
      <c r="E129" s="330"/>
      <c r="F129" s="330"/>
    </row>
    <row r="130" spans="1:6">
      <c r="A130" s="1293" t="s">
        <v>294</v>
      </c>
      <c r="B130" s="1294">
        <v>15</v>
      </c>
      <c r="C130" s="330"/>
      <c r="D130" s="330"/>
      <c r="E130" s="330"/>
      <c r="F130" s="330"/>
    </row>
    <row r="131" spans="1:6">
      <c r="A131" s="1293" t="s">
        <v>295</v>
      </c>
      <c r="B131" s="1294">
        <v>17</v>
      </c>
      <c r="C131" s="330"/>
      <c r="D131" s="330"/>
      <c r="E131" s="330"/>
      <c r="F131" s="330"/>
    </row>
    <row r="132" spans="1:6">
      <c r="A132" s="1288" t="s">
        <v>296</v>
      </c>
      <c r="B132" s="1289">
        <v>42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629592.26240392285</v>
      </c>
      <c r="C3" s="43" t="s">
        <v>169</v>
      </c>
      <c r="D3" s="43"/>
      <c r="E3" s="154"/>
      <c r="F3" s="43"/>
      <c r="G3" s="43"/>
      <c r="H3" s="43"/>
      <c r="I3" s="43"/>
      <c r="J3" s="43"/>
      <c r="K3" s="96"/>
    </row>
    <row r="4" spans="1:11">
      <c r="A4" s="358" t="s">
        <v>170</v>
      </c>
      <c r="B4" s="49">
        <f>IF(ISERROR('SEAP template'!B78+'SEAP template'!C78),0,'SEAP template'!B78+'SEAP template'!C78)</f>
        <v>140066.03488042709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81.6659864202188</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0.1719636163502479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120.47829929406696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507.857142857143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0.23722871872249465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8014.75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8014.75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0.1719636163502479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1378.2453941431493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174223.95666450233</v>
      </c>
      <c r="C5" s="17">
        <f>IF(ISERROR('Eigen informatie GS &amp; warmtenet'!B57),0,'Eigen informatie GS &amp; warmtenet'!B57)</f>
        <v>0</v>
      </c>
      <c r="D5" s="30">
        <f>(SUM(HH_hh_gas_kWh,HH_rest_gas_kWh)/1000)*0.902</f>
        <v>604668.4994264422</v>
      </c>
      <c r="E5" s="17">
        <f>B46*B57</f>
        <v>20531.904197544678</v>
      </c>
      <c r="F5" s="17">
        <f>B51*B62</f>
        <v>0</v>
      </c>
      <c r="G5" s="18"/>
      <c r="H5" s="17"/>
      <c r="I5" s="17"/>
      <c r="J5" s="17">
        <f>B50*B61+C50*C61</f>
        <v>0</v>
      </c>
      <c r="K5" s="17"/>
      <c r="L5" s="17"/>
      <c r="M5" s="17"/>
      <c r="N5" s="17">
        <f>B48*B59+C48*C59</f>
        <v>52745.091195798537</v>
      </c>
      <c r="O5" s="17">
        <f>B69*B70*B71</f>
        <v>1306.9466666666667</v>
      </c>
      <c r="P5" s="17">
        <f>B77*B78*B79/1000-B77*B78*B79/1000/B80</f>
        <v>1830.4</v>
      </c>
    </row>
    <row r="6" spans="1:16">
      <c r="A6" s="16" t="s">
        <v>620</v>
      </c>
      <c r="B6" s="762">
        <f>kWh_PV_kleiner_dan_10kW</f>
        <v>13382.676325546718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187606.63299004905</v>
      </c>
      <c r="C8" s="21">
        <f>C5</f>
        <v>0</v>
      </c>
      <c r="D8" s="21">
        <f>D5</f>
        <v>604668.4994264422</v>
      </c>
      <c r="E8" s="21">
        <f>E5</f>
        <v>20531.904197544678</v>
      </c>
      <c r="F8" s="21">
        <f>F5</f>
        <v>0</v>
      </c>
      <c r="G8" s="21"/>
      <c r="H8" s="21"/>
      <c r="I8" s="21"/>
      <c r="J8" s="21">
        <f>J5</f>
        <v>0</v>
      </c>
      <c r="K8" s="21"/>
      <c r="L8" s="21">
        <f>L5</f>
        <v>0</v>
      </c>
      <c r="M8" s="21">
        <f>M5</f>
        <v>0</v>
      </c>
      <c r="N8" s="21">
        <f>N5</f>
        <v>52745.091195798537</v>
      </c>
      <c r="O8" s="21">
        <f>O5</f>
        <v>1306.9466666666667</v>
      </c>
      <c r="P8" s="21">
        <f>P5</f>
        <v>1830.4</v>
      </c>
    </row>
    <row r="9" spans="1:16">
      <c r="B9" s="19"/>
      <c r="C9" s="19"/>
      <c r="D9" s="258"/>
      <c r="E9" s="19"/>
      <c r="F9" s="19"/>
      <c r="G9" s="19"/>
      <c r="H9" s="19"/>
      <c r="I9" s="19"/>
      <c r="J9" s="19"/>
      <c r="K9" s="19"/>
      <c r="L9" s="19"/>
      <c r="M9" s="19"/>
      <c r="N9" s="19"/>
      <c r="O9" s="19"/>
      <c r="P9" s="19"/>
    </row>
    <row r="10" spans="1:16">
      <c r="A10" s="24" t="s">
        <v>213</v>
      </c>
      <c r="B10" s="25">
        <f ca="1">'EF ele_warmte'!B12</f>
        <v>0.1719636163502479</v>
      </c>
      <c r="C10" s="25">
        <f ca="1">'EF ele_warmte'!B22</f>
        <v>0.23722871872249465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32261.515060262558</v>
      </c>
      <c r="C12" s="23">
        <f ca="1">C10*C8</f>
        <v>0</v>
      </c>
      <c r="D12" s="23">
        <f>D8*D10</f>
        <v>122143.03688414133</v>
      </c>
      <c r="E12" s="23">
        <f>E10*E8</f>
        <v>4660.7422528426423</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33975</v>
      </c>
      <c r="C18" s="166" t="s">
        <v>110</v>
      </c>
      <c r="D18" s="228"/>
      <c r="E18" s="15"/>
    </row>
    <row r="19" spans="1:7">
      <c r="A19" s="171" t="s">
        <v>71</v>
      </c>
      <c r="B19" s="37">
        <f>aantalw2001_ander</f>
        <v>8</v>
      </c>
      <c r="C19" s="166" t="s">
        <v>110</v>
      </c>
      <c r="D19" s="229"/>
      <c r="E19" s="15"/>
    </row>
    <row r="20" spans="1:7">
      <c r="A20" s="171" t="s">
        <v>72</v>
      </c>
      <c r="B20" s="37">
        <f>aantalw2001_propaan</f>
        <v>191</v>
      </c>
      <c r="C20" s="167">
        <f>IF(ISERROR(B20/SUM($B$20,$B$21,$B$22)*100),0,B20/SUM($B$20,$B$21,$B$22)*100)</f>
        <v>4.2557932263814617</v>
      </c>
      <c r="D20" s="229"/>
      <c r="E20" s="15"/>
    </row>
    <row r="21" spans="1:7">
      <c r="A21" s="171" t="s">
        <v>73</v>
      </c>
      <c r="B21" s="37">
        <f>aantalw2001_elektriciteit</f>
        <v>3941</v>
      </c>
      <c r="C21" s="167">
        <f>IF(ISERROR(B21/SUM($B$20,$B$21,$B$22)*100),0,B21/SUM($B$20,$B$21,$B$22)*100)</f>
        <v>87.811942959001783</v>
      </c>
      <c r="D21" s="229"/>
      <c r="E21" s="15"/>
    </row>
    <row r="22" spans="1:7">
      <c r="A22" s="171" t="s">
        <v>74</v>
      </c>
      <c r="B22" s="37">
        <f>aantalw2001_hout</f>
        <v>356</v>
      </c>
      <c r="C22" s="167">
        <f>IF(ISERROR(B22/SUM($B$20,$B$21,$B$22)*100),0,B22/SUM($B$20,$B$21,$B$22)*100)</f>
        <v>7.9322638146167552</v>
      </c>
      <c r="D22" s="229"/>
      <c r="E22" s="15"/>
    </row>
    <row r="23" spans="1:7">
      <c r="A23" s="171" t="s">
        <v>75</v>
      </c>
      <c r="B23" s="37">
        <f>aantalw2001_niet_gespec</f>
        <v>1147</v>
      </c>
      <c r="C23" s="166" t="s">
        <v>110</v>
      </c>
      <c r="D23" s="228"/>
      <c r="E23" s="15"/>
    </row>
    <row r="24" spans="1:7">
      <c r="A24" s="171" t="s">
        <v>76</v>
      </c>
      <c r="B24" s="37">
        <f>aantalw2001_steenkool</f>
        <v>613</v>
      </c>
      <c r="C24" s="166" t="s">
        <v>110</v>
      </c>
      <c r="D24" s="229"/>
      <c r="E24" s="15"/>
    </row>
    <row r="25" spans="1:7">
      <c r="A25" s="171" t="s">
        <v>77</v>
      </c>
      <c r="B25" s="37">
        <f>aantalw2001_stookolie</f>
        <v>8219</v>
      </c>
      <c r="C25" s="166" t="s">
        <v>110</v>
      </c>
      <c r="D25" s="228"/>
      <c r="E25" s="52"/>
    </row>
    <row r="26" spans="1:7">
      <c r="A26" s="171" t="s">
        <v>78</v>
      </c>
      <c r="B26" s="37">
        <f>aantalw2001_WP</f>
        <v>33</v>
      </c>
      <c r="C26" s="166" t="s">
        <v>110</v>
      </c>
      <c r="D26" s="228"/>
      <c r="E26" s="15"/>
    </row>
    <row r="27" spans="1:7" s="15" customFormat="1">
      <c r="A27" s="171"/>
      <c r="B27" s="29"/>
      <c r="C27" s="36"/>
      <c r="D27" s="228"/>
    </row>
    <row r="28" spans="1:7" s="15" customFormat="1">
      <c r="A28" s="230" t="s">
        <v>780</v>
      </c>
      <c r="B28" s="37">
        <f>aantalHuishoudens</f>
        <v>53689</v>
      </c>
      <c r="C28" s="36"/>
      <c r="D28" s="228"/>
    </row>
    <row r="29" spans="1:7" s="15" customFormat="1">
      <c r="A29" s="230" t="s">
        <v>781</v>
      </c>
      <c r="B29" s="37">
        <f>SUM(HH_hh_gas_aantal,HH_rest_gas_aantal)</f>
        <v>44469</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44469</v>
      </c>
      <c r="C32" s="167">
        <f>IF(ISERROR(B32/SUM($B$32,$B$34,$B$35,$B$36,$B$38,$B$39)*100),0,B32/SUM($B$32,$B$34,$B$35,$B$36,$B$38,$B$39)*100)</f>
        <v>82.975388576866379</v>
      </c>
      <c r="D32" s="233"/>
      <c r="G32" s="15"/>
    </row>
    <row r="33" spans="1:7">
      <c r="A33" s="171" t="s">
        <v>71</v>
      </c>
      <c r="B33" s="34" t="s">
        <v>110</v>
      </c>
      <c r="C33" s="167"/>
      <c r="D33" s="233"/>
      <c r="G33" s="15"/>
    </row>
    <row r="34" spans="1:7">
      <c r="A34" s="171" t="s">
        <v>72</v>
      </c>
      <c r="B34" s="33">
        <f>IF((($B$28-$B$32-$B$39-$B$77-$B$38)*C20/100)&lt;0,0,($B$28-$B$32-$B$39-$B$77-$B$38)*C20/100)</f>
        <v>388.29857397504458</v>
      </c>
      <c r="C34" s="167">
        <f>IF(ISERROR(B34/SUM($B$32,$B$34,$B$35,$B$36,$B$38,$B$39)*100),0,B34/SUM($B$32,$B$34,$B$35,$B$36,$B$38,$B$39)*100)</f>
        <v>0.72453225976348512</v>
      </c>
      <c r="D34" s="233"/>
      <c r="G34" s="15"/>
    </row>
    <row r="35" spans="1:7">
      <c r="A35" s="171" t="s">
        <v>73</v>
      </c>
      <c r="B35" s="33">
        <f>IF((($B$28-$B$32-$B$39-$B$77-$B$38)*C21/100)&lt;0,0,($B$28-$B$32-$B$39-$B$77-$B$38)*C21/100)</f>
        <v>8011.9616755793231</v>
      </c>
      <c r="C35" s="167">
        <f>IF(ISERROR(B35/SUM($B$32,$B$34,$B$35,$B$36,$B$38,$B$39)*100),0,B35/SUM($B$32,$B$34,$B$35,$B$36,$B$38,$B$39)*100)</f>
        <v>14.949642071873795</v>
      </c>
      <c r="D35" s="233"/>
      <c r="G35" s="15"/>
    </row>
    <row r="36" spans="1:7">
      <c r="A36" s="171" t="s">
        <v>74</v>
      </c>
      <c r="B36" s="33">
        <f>IF((($B$28-$B$32-$B$39-$B$77-$B$38)*C22/100)&lt;0,0,($B$28-$B$32-$B$39-$B$77-$B$38)*C22/100)</f>
        <v>723.73975044563281</v>
      </c>
      <c r="C36" s="167">
        <f>IF(ISERROR(B36/SUM($B$32,$B$34,$B$35,$B$36,$B$38,$B$39)*100),0,B36/SUM($B$32,$B$34,$B$35,$B$36,$B$38,$B$39)*100)</f>
        <v>1.3504370914963388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44469</v>
      </c>
      <c r="C44" s="34" t="s">
        <v>110</v>
      </c>
      <c r="D44" s="174"/>
    </row>
    <row r="45" spans="1:7">
      <c r="A45" s="171" t="s">
        <v>71</v>
      </c>
      <c r="B45" s="33" t="str">
        <f t="shared" si="0"/>
        <v>-</v>
      </c>
      <c r="C45" s="34" t="s">
        <v>110</v>
      </c>
      <c r="D45" s="174"/>
    </row>
    <row r="46" spans="1:7">
      <c r="A46" s="171" t="s">
        <v>72</v>
      </c>
      <c r="B46" s="33">
        <f t="shared" si="0"/>
        <v>388.29857397504458</v>
      </c>
      <c r="C46" s="34" t="s">
        <v>110</v>
      </c>
      <c r="D46" s="174"/>
    </row>
    <row r="47" spans="1:7">
      <c r="A47" s="171" t="s">
        <v>73</v>
      </c>
      <c r="B47" s="33">
        <f t="shared" si="0"/>
        <v>8011.9616755793231</v>
      </c>
      <c r="C47" s="34" t="s">
        <v>110</v>
      </c>
      <c r="D47" s="174"/>
    </row>
    <row r="48" spans="1:7">
      <c r="A48" s="171" t="s">
        <v>74</v>
      </c>
      <c r="B48" s="33">
        <f t="shared" si="0"/>
        <v>723.73975044563281</v>
      </c>
      <c r="C48" s="33">
        <f>B48*10</f>
        <v>7237.3975044563285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309832.78523400036</v>
      </c>
      <c r="C5" s="17">
        <f>IF(ISERROR('Eigen informatie GS &amp; warmtenet'!B58),0,'Eigen informatie GS &amp; warmtenet'!B58)</f>
        <v>0</v>
      </c>
      <c r="D5" s="30">
        <f>SUM(D6:D12)</f>
        <v>374801.56445538689</v>
      </c>
      <c r="E5" s="17">
        <f>SUM(E6:E12)</f>
        <v>3932.5151194971322</v>
      </c>
      <c r="F5" s="17">
        <f>SUM(F6:F12)</f>
        <v>53048.440223459416</v>
      </c>
      <c r="G5" s="18"/>
      <c r="H5" s="17"/>
      <c r="I5" s="17"/>
      <c r="J5" s="17">
        <f>SUM(J6:J12)</f>
        <v>0.7485333121257256</v>
      </c>
      <c r="K5" s="17"/>
      <c r="L5" s="17"/>
      <c r="M5" s="17"/>
      <c r="N5" s="17">
        <f>SUM(N6:N12)</f>
        <v>30065.917457992608</v>
      </c>
      <c r="O5" s="17">
        <f>B38*B39*B40</f>
        <v>23.45</v>
      </c>
      <c r="P5" s="17">
        <f>B46*B47*B48/1000-B46*B47*B48/1000/B49</f>
        <v>438.5333333333333</v>
      </c>
      <c r="R5" s="32"/>
    </row>
    <row r="6" spans="1:18">
      <c r="A6" s="32" t="s">
        <v>53</v>
      </c>
      <c r="B6" s="37">
        <f>B26</f>
        <v>85211.922188226992</v>
      </c>
      <c r="C6" s="33"/>
      <c r="D6" s="37">
        <f>IF(ISERROR(TER_kantoor_gas_kWh/1000),0,TER_kantoor_gas_kWh/1000)*0.902</f>
        <v>82831.142161995551</v>
      </c>
      <c r="E6" s="33">
        <f>$C$26*'E Balans VL '!I12/100/3.6*1000000</f>
        <v>0.53407998723448935</v>
      </c>
      <c r="F6" s="33">
        <f>$C$26*('E Balans VL '!L12+'E Balans VL '!N12)/100/3.6*1000000</f>
        <v>12804.970856695052</v>
      </c>
      <c r="G6" s="34"/>
      <c r="H6" s="33"/>
      <c r="I6" s="33"/>
      <c r="J6" s="33">
        <f>$C$26*('E Balans VL '!D12+'E Balans VL '!E12)/100/3.6*1000000</f>
        <v>0</v>
      </c>
      <c r="K6" s="33"/>
      <c r="L6" s="33"/>
      <c r="M6" s="33"/>
      <c r="N6" s="33">
        <f>$C$26*'E Balans VL '!Y12/100/3.6*1000000</f>
        <v>81.492569519060993</v>
      </c>
      <c r="O6" s="33"/>
      <c r="P6" s="33"/>
      <c r="R6" s="32"/>
    </row>
    <row r="7" spans="1:18">
      <c r="A7" s="32" t="s">
        <v>52</v>
      </c>
      <c r="B7" s="37">
        <f t="shared" ref="B7:B12" si="0">B27</f>
        <v>46467.126629106795</v>
      </c>
      <c r="C7" s="33"/>
      <c r="D7" s="37">
        <f>IF(ISERROR(TER_horeca_gas_kWh/1000),0,TER_horeca_gas_kWh/1000)*0.902</f>
        <v>75182.509322590529</v>
      </c>
      <c r="E7" s="33">
        <f>$C$27*'E Balans VL '!I9/100/3.6*1000000</f>
        <v>665.40151338305395</v>
      </c>
      <c r="F7" s="33">
        <f>$C$27*('E Balans VL '!L9+'E Balans VL '!N9)/100/3.6*1000000</f>
        <v>5884.2707761237634</v>
      </c>
      <c r="G7" s="34"/>
      <c r="H7" s="33"/>
      <c r="I7" s="33"/>
      <c r="J7" s="33">
        <f>$C$27*('E Balans VL '!D9+'E Balans VL '!E9)/100/3.6*1000000</f>
        <v>0</v>
      </c>
      <c r="K7" s="33"/>
      <c r="L7" s="33"/>
      <c r="M7" s="33"/>
      <c r="N7" s="33">
        <f>$C$27*'E Balans VL '!Y9/100/3.6*1000000</f>
        <v>13.358274393669817</v>
      </c>
      <c r="O7" s="33"/>
      <c r="P7" s="33"/>
      <c r="R7" s="32"/>
    </row>
    <row r="8" spans="1:18">
      <c r="A8" s="6" t="s">
        <v>51</v>
      </c>
      <c r="B8" s="37">
        <f t="shared" si="0"/>
        <v>73435.582379291212</v>
      </c>
      <c r="C8" s="33"/>
      <c r="D8" s="37">
        <f>IF(ISERROR(TER_handel_gas_kWh/1000),0,TER_handel_gas_kWh/1000)*0.902</f>
        <v>47055.455196101437</v>
      </c>
      <c r="E8" s="33">
        <f>$C$28*'E Balans VL '!I13/100/3.6*1000000</f>
        <v>2663.4995172265817</v>
      </c>
      <c r="F8" s="33">
        <f>$C$28*('E Balans VL '!L13+'E Balans VL '!N13)/100/3.6*1000000</f>
        <v>14144.436748798582</v>
      </c>
      <c r="G8" s="34"/>
      <c r="H8" s="33"/>
      <c r="I8" s="33"/>
      <c r="J8" s="33">
        <f>$C$28*('E Balans VL '!D13+'E Balans VL '!E13)/100/3.6*1000000</f>
        <v>0</v>
      </c>
      <c r="K8" s="33"/>
      <c r="L8" s="33"/>
      <c r="M8" s="33"/>
      <c r="N8" s="33">
        <f>$C$28*'E Balans VL '!Y13/100/3.6*1000000</f>
        <v>101.72517836925027</v>
      </c>
      <c r="O8" s="33"/>
      <c r="P8" s="33"/>
      <c r="R8" s="32"/>
    </row>
    <row r="9" spans="1:18">
      <c r="A9" s="32" t="s">
        <v>50</v>
      </c>
      <c r="B9" s="37">
        <f t="shared" si="0"/>
        <v>31395.139845539903</v>
      </c>
      <c r="C9" s="33"/>
      <c r="D9" s="37">
        <f>IF(ISERROR(TER_gezond_gas_kWh/1000),0,TER_gezond_gas_kWh/1000)*0.902</f>
        <v>41095.301531289486</v>
      </c>
      <c r="E9" s="33">
        <f>$C$29*'E Balans VL '!I10/100/3.6*1000000</f>
        <v>1.9656457253372721</v>
      </c>
      <c r="F9" s="33">
        <f>$C$29*('E Balans VL '!L10+'E Balans VL '!N10)/100/3.6*1000000</f>
        <v>4663.8436131523576</v>
      </c>
      <c r="G9" s="34"/>
      <c r="H9" s="33"/>
      <c r="I9" s="33"/>
      <c r="J9" s="33">
        <f>$C$29*('E Balans VL '!D10+'E Balans VL '!E10)/100/3.6*1000000</f>
        <v>0</v>
      </c>
      <c r="K9" s="33"/>
      <c r="L9" s="33"/>
      <c r="M9" s="33"/>
      <c r="N9" s="33">
        <f>$C$29*'E Balans VL '!Y10/100/3.6*1000000</f>
        <v>485.62305250285505</v>
      </c>
      <c r="O9" s="33"/>
      <c r="P9" s="33"/>
      <c r="R9" s="32"/>
    </row>
    <row r="10" spans="1:18">
      <c r="A10" s="32" t="s">
        <v>49</v>
      </c>
      <c r="B10" s="37">
        <f t="shared" si="0"/>
        <v>31896.051301036801</v>
      </c>
      <c r="C10" s="33"/>
      <c r="D10" s="37">
        <f>IF(ISERROR(TER_ander_gas_kWh/1000),0,TER_ander_gas_kWh/1000)*0.902</f>
        <v>50729.564473621424</v>
      </c>
      <c r="E10" s="33">
        <f>$C$30*'E Balans VL '!I14/100/3.6*1000000</f>
        <v>38.018953378550044</v>
      </c>
      <c r="F10" s="33">
        <f>$C$30*('E Balans VL '!L14+'E Balans VL '!N14)/100/3.6*1000000</f>
        <v>8345.4250074189131</v>
      </c>
      <c r="G10" s="34"/>
      <c r="H10" s="33"/>
      <c r="I10" s="33"/>
      <c r="J10" s="33">
        <f>$C$30*('E Balans VL '!D14+'E Balans VL '!E14)/100/3.6*1000000</f>
        <v>0.69233824467670657</v>
      </c>
      <c r="K10" s="33"/>
      <c r="L10" s="33"/>
      <c r="M10" s="33"/>
      <c r="N10" s="33">
        <f>$C$30*'E Balans VL '!Y14/100/3.6*1000000</f>
        <v>27085.346279451234</v>
      </c>
      <c r="O10" s="33"/>
      <c r="P10" s="33"/>
      <c r="R10" s="32"/>
    </row>
    <row r="11" spans="1:18">
      <c r="A11" s="32" t="s">
        <v>54</v>
      </c>
      <c r="B11" s="37">
        <f t="shared" si="0"/>
        <v>18220.486822921299</v>
      </c>
      <c r="C11" s="33"/>
      <c r="D11" s="37">
        <f>IF(ISERROR(TER_onderwijs_gas_kWh/1000),0,TER_onderwijs_gas_kWh/1000)*0.902</f>
        <v>46708.865467220741</v>
      </c>
      <c r="E11" s="33">
        <f>$C$31*'E Balans VL '!I11/100/3.6*1000000</f>
        <v>274.91779927326775</v>
      </c>
      <c r="F11" s="33">
        <f>$C$31*('E Balans VL '!L11+'E Balans VL '!N11)/100/3.6*1000000</f>
        <v>3192.5203723123677</v>
      </c>
      <c r="G11" s="34"/>
      <c r="H11" s="33"/>
      <c r="I11" s="33"/>
      <c r="J11" s="33">
        <f>$C$31*('E Balans VL '!D11+'E Balans VL '!E11)/100/3.6*1000000</f>
        <v>0</v>
      </c>
      <c r="K11" s="33"/>
      <c r="L11" s="33"/>
      <c r="M11" s="33"/>
      <c r="N11" s="33">
        <f>$C$31*'E Balans VL '!Y11/100/3.6*1000000</f>
        <v>51.273835093858835</v>
      </c>
      <c r="O11" s="33"/>
      <c r="P11" s="33"/>
      <c r="R11" s="32"/>
    </row>
    <row r="12" spans="1:18">
      <c r="A12" s="32" t="s">
        <v>259</v>
      </c>
      <c r="B12" s="37">
        <f t="shared" si="0"/>
        <v>23206.476067877302</v>
      </c>
      <c r="C12" s="33"/>
      <c r="D12" s="37">
        <f>IF(ISERROR(TER_rest_gas_kWh/1000),0,TER_rest_gas_kWh/1000)*0.902</f>
        <v>31198.726302567746</v>
      </c>
      <c r="E12" s="33">
        <f>$C$32*'E Balans VL '!I8/100/3.6*1000000</f>
        <v>288.17761052310755</v>
      </c>
      <c r="F12" s="33">
        <f>$C$32*('E Balans VL '!L8+'E Balans VL '!N8)/100/3.6*1000000</f>
        <v>4012.9728489583777</v>
      </c>
      <c r="G12" s="34"/>
      <c r="H12" s="33"/>
      <c r="I12" s="33"/>
      <c r="J12" s="33">
        <f>$C$32*('E Balans VL '!D8+'E Balans VL '!E8)/100/3.6*1000000</f>
        <v>5.6195067449018983E-2</v>
      </c>
      <c r="K12" s="33"/>
      <c r="L12" s="33"/>
      <c r="M12" s="33"/>
      <c r="N12" s="33">
        <f>$C$32*'E Balans VL '!Y8/100/3.6*1000000</f>
        <v>2247.0982686626776</v>
      </c>
      <c r="O12" s="33"/>
      <c r="P12" s="33"/>
      <c r="R12" s="32"/>
    </row>
    <row r="13" spans="1:18">
      <c r="A13" s="16" t="s">
        <v>487</v>
      </c>
      <c r="B13" s="247">
        <f ca="1">'lokale energieproductie'!N40+'lokale energieproductie'!N33</f>
        <v>315.00000000000006</v>
      </c>
      <c r="C13" s="247">
        <f ca="1">'lokale energieproductie'!O40+'lokale energieproductie'!O33</f>
        <v>450.00000000000011</v>
      </c>
      <c r="D13" s="308">
        <f ca="1">('lokale energieproductie'!P33+'lokale energieproductie'!P40)*(-1)</f>
        <v>-900.00000000000023</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310147.78523400036</v>
      </c>
      <c r="C16" s="21">
        <f t="shared" ca="1" si="1"/>
        <v>450.00000000000011</v>
      </c>
      <c r="D16" s="21">
        <f t="shared" ca="1" si="1"/>
        <v>373901.56445538689</v>
      </c>
      <c r="E16" s="21">
        <f t="shared" si="1"/>
        <v>3932.5151194971322</v>
      </c>
      <c r="F16" s="21">
        <f t="shared" ca="1" si="1"/>
        <v>53048.440223459416</v>
      </c>
      <c r="G16" s="21">
        <f t="shared" si="1"/>
        <v>0</v>
      </c>
      <c r="H16" s="21">
        <f t="shared" si="1"/>
        <v>0</v>
      </c>
      <c r="I16" s="21">
        <f t="shared" si="1"/>
        <v>0</v>
      </c>
      <c r="J16" s="21">
        <f t="shared" si="1"/>
        <v>0.7485333121257256</v>
      </c>
      <c r="K16" s="21">
        <f t="shared" si="1"/>
        <v>0</v>
      </c>
      <c r="L16" s="21">
        <f t="shared" ca="1" si="1"/>
        <v>0</v>
      </c>
      <c r="M16" s="21">
        <f t="shared" si="1"/>
        <v>0</v>
      </c>
      <c r="N16" s="21">
        <f t="shared" ca="1" si="1"/>
        <v>30065.917457992608</v>
      </c>
      <c r="O16" s="21">
        <f>O5</f>
        <v>23.45</v>
      </c>
      <c r="P16" s="21">
        <f>P5</f>
        <v>438.5333333333333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0.1719636163502479</v>
      </c>
      <c r="C18" s="25">
        <f ca="1">'EF ele_warmte'!B22</f>
        <v>0.23722871872249465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53334.134751858721</v>
      </c>
      <c r="C20" s="23">
        <f t="shared" ref="C20:P20" ca="1" si="2">C16*C18</f>
        <v>106.75292342512262</v>
      </c>
      <c r="D20" s="23">
        <f t="shared" ca="1" si="2"/>
        <v>75528.116019988156</v>
      </c>
      <c r="E20" s="23">
        <f t="shared" si="2"/>
        <v>892.68093212584904</v>
      </c>
      <c r="F20" s="23">
        <f t="shared" ca="1" si="2"/>
        <v>14163.933539663665</v>
      </c>
      <c r="G20" s="23">
        <f t="shared" si="2"/>
        <v>0</v>
      </c>
      <c r="H20" s="23">
        <f t="shared" si="2"/>
        <v>0</v>
      </c>
      <c r="I20" s="23">
        <f t="shared" si="2"/>
        <v>0</v>
      </c>
      <c r="J20" s="23">
        <f t="shared" si="2"/>
        <v>0.26498079249250683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85211.922188226992</v>
      </c>
      <c r="C26" s="39">
        <f>IF(ISERROR(B26*3.6/1000000/'E Balans VL '!Z12*100),0,B26*3.6/1000000/'E Balans VL '!Z12*100)</f>
        <v>1.8012450484708213</v>
      </c>
      <c r="D26" s="237" t="s">
        <v>744</v>
      </c>
      <c r="F26" s="6"/>
    </row>
    <row r="27" spans="1:18">
      <c r="A27" s="231" t="s">
        <v>52</v>
      </c>
      <c r="B27" s="33">
        <f>IF(ISERROR(TER_horeca_ele_kWh/1000),0,TER_horeca_ele_kWh/1000)</f>
        <v>46467.126629106795</v>
      </c>
      <c r="C27" s="39">
        <f>IF(ISERROR(B27*3.6/1000000/'E Balans VL '!Z9*100),0,B27*3.6/1000000/'E Balans VL '!Z9*100)</f>
        <v>3.6629862729902181</v>
      </c>
      <c r="D27" s="237" t="s">
        <v>744</v>
      </c>
      <c r="F27" s="6"/>
    </row>
    <row r="28" spans="1:18">
      <c r="A28" s="171" t="s">
        <v>51</v>
      </c>
      <c r="B28" s="33">
        <f>IF(ISERROR(TER_handel_ele_kWh/1000),0,TER_handel_ele_kWh/1000)</f>
        <v>73435.582379291212</v>
      </c>
      <c r="C28" s="39">
        <f>IF(ISERROR(B28*3.6/1000000/'E Balans VL '!Z13*100),0,B28*3.6/1000000/'E Balans VL '!Z13*100)</f>
        <v>2.1313973136483466</v>
      </c>
      <c r="D28" s="237" t="s">
        <v>744</v>
      </c>
      <c r="F28" s="6"/>
    </row>
    <row r="29" spans="1:18">
      <c r="A29" s="231" t="s">
        <v>50</v>
      </c>
      <c r="B29" s="33">
        <f>IF(ISERROR(TER_gezond_ele_kWh/1000),0,TER_gezond_ele_kWh/1000)</f>
        <v>31395.139845539903</v>
      </c>
      <c r="C29" s="39">
        <f>IF(ISERROR(B29*3.6/1000000/'E Balans VL '!Z10*100),0,B29*3.6/1000000/'E Balans VL '!Z10*100)</f>
        <v>3.3064237475393985</v>
      </c>
      <c r="D29" s="237" t="s">
        <v>744</v>
      </c>
      <c r="F29" s="6"/>
    </row>
    <row r="30" spans="1:18">
      <c r="A30" s="231" t="s">
        <v>49</v>
      </c>
      <c r="B30" s="33">
        <f>IF(ISERROR(TER_ander_ele_kWh/1000),0,TER_ander_ele_kWh/1000)</f>
        <v>31896.051301036801</v>
      </c>
      <c r="C30" s="39">
        <f>IF(ISERROR(B30*3.6/1000000/'E Balans VL '!Z14*100),0,B30*3.6/1000000/'E Balans VL '!Z14*100)</f>
        <v>2.352659671752356</v>
      </c>
      <c r="D30" s="237" t="s">
        <v>744</v>
      </c>
      <c r="F30" s="6"/>
    </row>
    <row r="31" spans="1:18">
      <c r="A31" s="231" t="s">
        <v>54</v>
      </c>
      <c r="B31" s="33">
        <f>IF(ISERROR(TER_onderwijs_ele_kWh/1000),0,TER_onderwijs_ele_kWh/1000)</f>
        <v>18220.486822921299</v>
      </c>
      <c r="C31" s="39">
        <f>IF(ISERROR(B31*3.6/1000000/'E Balans VL '!Z11*100),0,B31*3.6/1000000/'E Balans VL '!Z11*100)</f>
        <v>4.525000375998391</v>
      </c>
      <c r="D31" s="237" t="s">
        <v>744</v>
      </c>
    </row>
    <row r="32" spans="1:18">
      <c r="A32" s="231" t="s">
        <v>259</v>
      </c>
      <c r="B32" s="33">
        <f>IF(ISERROR(TER_rest_ele_kWh/1000),0,TER_rest_ele_kWh/1000)</f>
        <v>23206.476067877302</v>
      </c>
      <c r="C32" s="39">
        <f>IF(ISERROR(B32*3.6/1000000/'E Balans VL '!Z8*100),0,B32*3.6/1000000/'E Balans VL '!Z8*100)</f>
        <v>0.19095849457290365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104120.9281417391</v>
      </c>
      <c r="C5" s="17">
        <f>IF(ISERROR('Eigen informatie GS &amp; warmtenet'!B59),0,'Eigen informatie GS &amp; warmtenet'!B59)</f>
        <v>0</v>
      </c>
      <c r="D5" s="30">
        <f>SUM(D6:D15)</f>
        <v>170349.86343211203</v>
      </c>
      <c r="E5" s="17">
        <f>SUM(E6:E15)</f>
        <v>7249.9547470687357</v>
      </c>
      <c r="F5" s="17">
        <f>SUM(F6:F15)</f>
        <v>24699.320743596778</v>
      </c>
      <c r="G5" s="18"/>
      <c r="H5" s="17"/>
      <c r="I5" s="17"/>
      <c r="J5" s="17">
        <f>SUM(J6:J15)</f>
        <v>210.84632174733056</v>
      </c>
      <c r="K5" s="17"/>
      <c r="L5" s="17"/>
      <c r="M5" s="17"/>
      <c r="N5" s="17">
        <f>SUM(N6:N15)</f>
        <v>8640.3245159269027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5896.1522848272298</v>
      </c>
      <c r="C8" s="33"/>
      <c r="D8" s="37">
        <f>IF( ISERROR(IND_metaal_Gas_kWH/1000),0,IND_metaal_Gas_kWH/1000)*0.902</f>
        <v>2040.4954888784446</v>
      </c>
      <c r="E8" s="33">
        <f>C30*'E Balans VL '!I18/100/3.6*1000000</f>
        <v>54.209425700954277</v>
      </c>
      <c r="F8" s="33">
        <f>C30*'E Balans VL '!L18/100/3.6*1000000+C30*'E Balans VL '!N18/100/3.6*1000000</f>
        <v>552.86278153656474</v>
      </c>
      <c r="G8" s="34"/>
      <c r="H8" s="33"/>
      <c r="I8" s="33"/>
      <c r="J8" s="40">
        <f>C30*'E Balans VL '!D18/100/3.6*1000000+C30*'E Balans VL '!E18/100/3.6*1000000</f>
        <v>0</v>
      </c>
      <c r="K8" s="33"/>
      <c r="L8" s="33"/>
      <c r="M8" s="33"/>
      <c r="N8" s="33">
        <f>C30*'E Balans VL '!Y18/100/3.6*1000000</f>
        <v>84.11835614503282</v>
      </c>
      <c r="O8" s="33"/>
      <c r="P8" s="33"/>
      <c r="R8" s="32"/>
    </row>
    <row r="9" spans="1:18">
      <c r="A9" s="6" t="s">
        <v>32</v>
      </c>
      <c r="B9" s="37">
        <f t="shared" si="0"/>
        <v>13332.563307293502</v>
      </c>
      <c r="C9" s="33"/>
      <c r="D9" s="37">
        <f>IF( ISERROR(IND_andere_gas_kWh/1000),0,IND_andere_gas_kWh/1000)*0.902</f>
        <v>10532.076033463896</v>
      </c>
      <c r="E9" s="33">
        <f>C31*'E Balans VL '!I19/100/3.6*1000000</f>
        <v>3897.3678091152196</v>
      </c>
      <c r="F9" s="33">
        <f>C31*'E Balans VL '!L19/100/3.6*1000000+C31*'E Balans VL '!N19/100/3.6*1000000</f>
        <v>10713.723799723044</v>
      </c>
      <c r="G9" s="34"/>
      <c r="H9" s="33"/>
      <c r="I9" s="33"/>
      <c r="J9" s="40">
        <f>C31*'E Balans VL '!D19/100/3.6*1000000+C31*'E Balans VL '!E19/100/3.6*1000000</f>
        <v>0</v>
      </c>
      <c r="K9" s="33"/>
      <c r="L9" s="33"/>
      <c r="M9" s="33"/>
      <c r="N9" s="33">
        <f>C31*'E Balans VL '!Y19/100/3.6*1000000</f>
        <v>1045.7881579516591</v>
      </c>
      <c r="O9" s="33"/>
      <c r="P9" s="33"/>
      <c r="R9" s="32"/>
    </row>
    <row r="10" spans="1:18">
      <c r="A10" s="6" t="s">
        <v>40</v>
      </c>
      <c r="B10" s="37">
        <f t="shared" si="0"/>
        <v>21024.682015378301</v>
      </c>
      <c r="C10" s="33"/>
      <c r="D10" s="37">
        <f>IF( ISERROR(IND_voed_gas_kWh/1000),0,IND_voed_gas_kWh/1000)*0.902</f>
        <v>8278.3622879785016</v>
      </c>
      <c r="E10" s="33">
        <f>C32*'E Balans VL '!I20/100/3.6*1000000</f>
        <v>44.478040795088454</v>
      </c>
      <c r="F10" s="33">
        <f>C32*'E Balans VL '!L20/100/3.6*1000000+C32*'E Balans VL '!N20/100/3.6*1000000</f>
        <v>1336.7707586206548</v>
      </c>
      <c r="G10" s="34"/>
      <c r="H10" s="33"/>
      <c r="I10" s="33"/>
      <c r="J10" s="40">
        <f>C32*'E Balans VL '!D20/100/3.6*1000000+C32*'E Balans VL '!E20/100/3.6*1000000</f>
        <v>0</v>
      </c>
      <c r="K10" s="33"/>
      <c r="L10" s="33"/>
      <c r="M10" s="33"/>
      <c r="N10" s="33">
        <f>C32*'E Balans VL '!Y20/100/3.6*1000000</f>
        <v>1450.9105356928355</v>
      </c>
      <c r="O10" s="33"/>
      <c r="P10" s="33"/>
      <c r="R10" s="32"/>
    </row>
    <row r="11" spans="1:18">
      <c r="A11" s="6" t="s">
        <v>39</v>
      </c>
      <c r="B11" s="37">
        <f t="shared" si="0"/>
        <v>199.232435158756</v>
      </c>
      <c r="C11" s="33"/>
      <c r="D11" s="37">
        <f>IF( ISERROR(IND_textiel_gas_kWh/1000),0,IND_textiel_gas_kWh/1000)*0.902</f>
        <v>273.02120504073736</v>
      </c>
      <c r="E11" s="33">
        <f>C33*'E Balans VL '!I21/100/3.6*1000000</f>
        <v>0.59170315528341755</v>
      </c>
      <c r="F11" s="33">
        <f>C33*'E Balans VL '!L21/100/3.6*1000000+C33*'E Balans VL '!N21/100/3.6*1000000</f>
        <v>20.127945701542281</v>
      </c>
      <c r="G11" s="34"/>
      <c r="H11" s="33"/>
      <c r="I11" s="33"/>
      <c r="J11" s="40">
        <f>C33*'E Balans VL '!D21/100/3.6*1000000+C33*'E Balans VL '!E21/100/3.6*1000000</f>
        <v>0</v>
      </c>
      <c r="K11" s="33"/>
      <c r="L11" s="33"/>
      <c r="M11" s="33"/>
      <c r="N11" s="33">
        <f>C33*'E Balans VL '!Y21/100/3.6*1000000</f>
        <v>10.98830462028433</v>
      </c>
      <c r="O11" s="33"/>
      <c r="P11" s="33"/>
      <c r="R11" s="32"/>
    </row>
    <row r="12" spans="1:18">
      <c r="A12" s="6" t="s">
        <v>36</v>
      </c>
      <c r="B12" s="37">
        <f t="shared" si="0"/>
        <v>1360.9003280581599</v>
      </c>
      <c r="C12" s="33"/>
      <c r="D12" s="37">
        <f>IF( ISERROR(IND_min_gas_kWh/1000),0,IND_min_gas_kWh/1000)*0.902</f>
        <v>76.900854133339323</v>
      </c>
      <c r="E12" s="33">
        <f>C34*'E Balans VL '!I22/100/3.6*1000000</f>
        <v>39.446896779939301</v>
      </c>
      <c r="F12" s="33">
        <f>C34*'E Balans VL '!L22/100/3.6*1000000+C34*'E Balans VL '!N22/100/3.6*1000000</f>
        <v>467.89291130284488</v>
      </c>
      <c r="G12" s="34"/>
      <c r="H12" s="33"/>
      <c r="I12" s="33"/>
      <c r="J12" s="40">
        <f>C34*'E Balans VL '!D22/100/3.6*1000000+C34*'E Balans VL '!E22/100/3.6*1000000</f>
        <v>2.236369340196219</v>
      </c>
      <c r="K12" s="33"/>
      <c r="L12" s="33"/>
      <c r="M12" s="33"/>
      <c r="N12" s="33">
        <f>C34*'E Balans VL '!Y22/100/3.6*1000000</f>
        <v>297.92344588343155</v>
      </c>
      <c r="O12" s="33"/>
      <c r="P12" s="33"/>
      <c r="R12" s="32"/>
    </row>
    <row r="13" spans="1:18">
      <c r="A13" s="6" t="s">
        <v>38</v>
      </c>
      <c r="B13" s="37">
        <f t="shared" si="0"/>
        <v>4086.9129566502502</v>
      </c>
      <c r="C13" s="33"/>
      <c r="D13" s="37">
        <f>IF( ISERROR(IND_papier_gas_kWh/1000),0,IND_papier_gas_kWh/1000)*0.902</f>
        <v>1419.5310678223668</v>
      </c>
      <c r="E13" s="33">
        <f>C35*'E Balans VL '!I23/100/3.6*1000000</f>
        <v>5.7983948157493428</v>
      </c>
      <c r="F13" s="33">
        <f>C35*'E Balans VL '!L23/100/3.6*1000000+C35*'E Balans VL '!N23/100/3.6*1000000</f>
        <v>99.776913055378401</v>
      </c>
      <c r="G13" s="34"/>
      <c r="H13" s="33"/>
      <c r="I13" s="33"/>
      <c r="J13" s="40">
        <f>C35*'E Balans VL '!D23/100/3.6*1000000+C35*'E Balans VL '!E23/100/3.6*1000000</f>
        <v>0.63207945902298535</v>
      </c>
      <c r="K13" s="33"/>
      <c r="L13" s="33"/>
      <c r="M13" s="33"/>
      <c r="N13" s="33">
        <f>C35*'E Balans VL '!Y23/100/3.6*1000000</f>
        <v>1669.8533778235037</v>
      </c>
      <c r="O13" s="33"/>
      <c r="P13" s="33"/>
      <c r="R13" s="32"/>
    </row>
    <row r="14" spans="1:18">
      <c r="A14" s="6" t="s">
        <v>33</v>
      </c>
      <c r="B14" s="37">
        <f t="shared" si="0"/>
        <v>125.798318550292</v>
      </c>
      <c r="C14" s="33"/>
      <c r="D14" s="37">
        <f>IF( ISERROR(IND_chemie_gas_kWh/1000),0,IND_chemie_gas_kWh/1000)*0.902</f>
        <v>47500.087709734071</v>
      </c>
      <c r="E14" s="33">
        <f>C36*'E Balans VL '!I24/100/3.6*1000000</f>
        <v>0.30967941668679688</v>
      </c>
      <c r="F14" s="33">
        <f>C36*'E Balans VL '!L24/100/3.6*1000000+C36*'E Balans VL '!N24/100/3.6*1000000</f>
        <v>1.347042494983872</v>
      </c>
      <c r="G14" s="34"/>
      <c r="H14" s="33"/>
      <c r="I14" s="33"/>
      <c r="J14" s="40">
        <f>C36*'E Balans VL '!D24/100/3.6*1000000+C36*'E Balans VL '!E24/100/3.6*1000000</f>
        <v>0</v>
      </c>
      <c r="K14" s="33"/>
      <c r="L14" s="33"/>
      <c r="M14" s="33"/>
      <c r="N14" s="33">
        <f>C36*'E Balans VL '!Y24/100/3.6*1000000</f>
        <v>2.8093869892980514</v>
      </c>
      <c r="O14" s="33"/>
      <c r="P14" s="33"/>
      <c r="R14" s="32"/>
    </row>
    <row r="15" spans="1:18">
      <c r="A15" s="6" t="s">
        <v>269</v>
      </c>
      <c r="B15" s="37">
        <f t="shared" si="0"/>
        <v>58094.6864958226</v>
      </c>
      <c r="C15" s="33"/>
      <c r="D15" s="37">
        <f>IF( ISERROR(IND_rest_gas_kWh/1000),0,IND_rest_gas_kWh/1000)*0.902</f>
        <v>100229.38878506066</v>
      </c>
      <c r="E15" s="33">
        <f>C37*'E Balans VL '!I15/100/3.6*1000000</f>
        <v>3207.7527972898138</v>
      </c>
      <c r="F15" s="33">
        <f>C37*'E Balans VL '!L15/100/3.6*1000000+C37*'E Balans VL '!N15/100/3.6*1000000</f>
        <v>11506.818591161766</v>
      </c>
      <c r="G15" s="34"/>
      <c r="H15" s="33"/>
      <c r="I15" s="33"/>
      <c r="J15" s="40">
        <f>C37*'E Balans VL '!D15/100/3.6*1000000+C37*'E Balans VL '!E15/100/3.6*1000000</f>
        <v>207.97787294811135</v>
      </c>
      <c r="K15" s="33"/>
      <c r="L15" s="33"/>
      <c r="M15" s="33"/>
      <c r="N15" s="33">
        <f>C37*'E Balans VL '!Y15/100/3.6*1000000</f>
        <v>4077.932950820858</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104120.9281417391</v>
      </c>
      <c r="C18" s="21">
        <f>C5+C16</f>
        <v>0</v>
      </c>
      <c r="D18" s="21">
        <f>MAX((D5+D16),0)</f>
        <v>170349.86343211203</v>
      </c>
      <c r="E18" s="21">
        <f>MAX((E5+E16),0)</f>
        <v>7249.9547470687357</v>
      </c>
      <c r="F18" s="21">
        <f>MAX((F5+F16),0)</f>
        <v>24699.320743596778</v>
      </c>
      <c r="G18" s="21"/>
      <c r="H18" s="21"/>
      <c r="I18" s="21"/>
      <c r="J18" s="21">
        <f>MAX((J5+J16),0)</f>
        <v>210.84632174733056</v>
      </c>
      <c r="K18" s="21"/>
      <c r="L18" s="21">
        <f>MAX((L5+L16),0)</f>
        <v>0</v>
      </c>
      <c r="M18" s="21"/>
      <c r="N18" s="21">
        <f>MAX((N5+N16),0)</f>
        <v>8640.3245159269027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0.1719636163502479</v>
      </c>
      <c r="C20" s="25">
        <f ca="1">'EF ele_warmte'!B22</f>
        <v>0.23722871872249465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17905.011340997753</v>
      </c>
      <c r="C22" s="23">
        <f ca="1">C18*C20</f>
        <v>0</v>
      </c>
      <c r="D22" s="23">
        <f>D18*D20</f>
        <v>34410.672413286637</v>
      </c>
      <c r="E22" s="23">
        <f>E18*E20</f>
        <v>1645.7397275846031</v>
      </c>
      <c r="F22" s="23">
        <f>F18*F20</f>
        <v>6594.7186385403402</v>
      </c>
      <c r="G22" s="23"/>
      <c r="H22" s="23"/>
      <c r="I22" s="23"/>
      <c r="J22" s="23">
        <f>J18*J20</f>
        <v>74.63959789855501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5896.1522848272298</v>
      </c>
      <c r="C30" s="39">
        <f>IF(ISERROR(B30*3.6/1000000/'E Balans VL '!Z18*100),0,B30*3.6/1000000/'E Balans VL '!Z18*100)</f>
        <v>0.33415006870445507</v>
      </c>
      <c r="D30" s="237" t="s">
        <v>744</v>
      </c>
    </row>
    <row r="31" spans="1:18">
      <c r="A31" s="6" t="s">
        <v>32</v>
      </c>
      <c r="B31" s="37">
        <f>IF( ISERROR(IND_ander_ele_kWh/1000),0,IND_ander_ele_kWh/1000)</f>
        <v>13332.563307293502</v>
      </c>
      <c r="C31" s="39">
        <f>IF(ISERROR(B31*3.6/1000000/'E Balans VL '!Z19*100),0,B31*3.6/1000000/'E Balans VL '!Z19*100)</f>
        <v>0.60470955579145769</v>
      </c>
      <c r="D31" s="237" t="s">
        <v>744</v>
      </c>
    </row>
    <row r="32" spans="1:18">
      <c r="A32" s="171" t="s">
        <v>40</v>
      </c>
      <c r="B32" s="37">
        <f>IF( ISERROR(IND_voed_ele_kWh/1000),0,IND_voed_ele_kWh/1000)</f>
        <v>21024.682015378301</v>
      </c>
      <c r="C32" s="39">
        <f>IF(ISERROR(B32*3.6/1000000/'E Balans VL '!Z20*100),0,B32*3.6/1000000/'E Balans VL '!Z20*100)</f>
        <v>0.65038885873313967</v>
      </c>
      <c r="D32" s="237" t="s">
        <v>744</v>
      </c>
    </row>
    <row r="33" spans="1:5">
      <c r="A33" s="171" t="s">
        <v>39</v>
      </c>
      <c r="B33" s="37">
        <f>IF( ISERROR(IND_textiel_ele_kWh/1000),0,IND_textiel_ele_kWh/1000)</f>
        <v>199.232435158756</v>
      </c>
      <c r="C33" s="39">
        <f>IF(ISERROR(B33*3.6/1000000/'E Balans VL '!Z21*100),0,B33*3.6/1000000/'E Balans VL '!Z21*100)</f>
        <v>2.5977694963418212E-2</v>
      </c>
      <c r="D33" s="237" t="s">
        <v>744</v>
      </c>
    </row>
    <row r="34" spans="1:5">
      <c r="A34" s="171" t="s">
        <v>36</v>
      </c>
      <c r="B34" s="37">
        <f>IF( ISERROR(IND_min_ele_kWh/1000),0,IND_min_ele_kWh/1000)</f>
        <v>1360.9003280581599</v>
      </c>
      <c r="C34" s="39">
        <f>IF(ISERROR(B34*3.6/1000000/'E Balans VL '!Z22*100),0,B34*3.6/1000000/'E Balans VL '!Z22*100)</f>
        <v>0.24478350941643121</v>
      </c>
      <c r="D34" s="237" t="s">
        <v>744</v>
      </c>
    </row>
    <row r="35" spans="1:5">
      <c r="A35" s="171" t="s">
        <v>38</v>
      </c>
      <c r="B35" s="37">
        <f>IF( ISERROR(IND_papier_ele_kWh/1000),0,IND_papier_ele_kWh/1000)</f>
        <v>4086.9129566502502</v>
      </c>
      <c r="C35" s="39">
        <f>IF(ISERROR(B35*3.6/1000000/'E Balans VL '!Z22*100),0,B35*3.6/1000000/'E Balans VL '!Z22*100)</f>
        <v>0.73510813068565706</v>
      </c>
      <c r="D35" s="237" t="s">
        <v>744</v>
      </c>
    </row>
    <row r="36" spans="1:5">
      <c r="A36" s="171" t="s">
        <v>33</v>
      </c>
      <c r="B36" s="37">
        <f>IF( ISERROR(IND_chemie_ele_kWh/1000),0,IND_chemie_ele_kWh/1000)</f>
        <v>125.798318550292</v>
      </c>
      <c r="C36" s="39">
        <f>IF(ISERROR(B36*3.6/1000000/'E Balans VL '!Z24*100),0,B36*3.6/1000000/'E Balans VL '!Z24*100)</f>
        <v>3.8360970542059805E-3</v>
      </c>
      <c r="D36" s="237" t="s">
        <v>744</v>
      </c>
    </row>
    <row r="37" spans="1:5">
      <c r="A37" s="171" t="s">
        <v>269</v>
      </c>
      <c r="B37" s="37">
        <f>IF( ISERROR(IND_rest_ele_kWh/1000),0,IND_rest_ele_kWh/1000)</f>
        <v>58094.6864958226</v>
      </c>
      <c r="C37" s="39">
        <f>IF(ISERROR(B37*3.6/1000000/'E Balans VL '!Z15*100),0,B37*3.6/1000000/'E Balans VL '!Z15*100)</f>
        <v>0.46047173753985982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8081.2465561072495</v>
      </c>
      <c r="C5" s="17">
        <f>'Eigen informatie GS &amp; warmtenet'!B60</f>
        <v>0</v>
      </c>
      <c r="D5" s="30">
        <f>IF(ISERROR(SUM(LB_lb_gas_kWh,LB_rest_gas_kWh)/1000),0,SUM(LB_lb_gas_kWh,LB_rest_gas_kWh)/1000)*0.902</f>
        <v>16218.404702319351</v>
      </c>
      <c r="E5" s="17">
        <f>B17*'E Balans VL '!I25/3.6*1000000/100</f>
        <v>237.53251925992049</v>
      </c>
      <c r="F5" s="17">
        <f>B17*('E Balans VL '!L25/3.6*1000000+'E Balans VL '!N25/3.6*1000000)/100</f>
        <v>33666.036465099627</v>
      </c>
      <c r="G5" s="18"/>
      <c r="H5" s="17"/>
      <c r="I5" s="17"/>
      <c r="J5" s="17">
        <f>('E Balans VL '!D25+'E Balans VL '!E25)/3.6*1000000*landbouw!B17/100</f>
        <v>1170.7990792235778</v>
      </c>
      <c r="K5" s="17"/>
      <c r="L5" s="17">
        <f>L6*(-1)</f>
        <v>0</v>
      </c>
      <c r="M5" s="17"/>
      <c r="N5" s="17">
        <f>N6*(-1)</f>
        <v>0</v>
      </c>
      <c r="O5" s="17"/>
      <c r="P5" s="17"/>
      <c r="R5" s="32"/>
    </row>
    <row r="6" spans="1:18">
      <c r="A6" s="16" t="s">
        <v>487</v>
      </c>
      <c r="B6" s="17" t="s">
        <v>210</v>
      </c>
      <c r="C6" s="17">
        <f>'lokale energieproductie'!O41+'lokale energieproductie'!O34</f>
        <v>57.857142857142861</v>
      </c>
      <c r="D6" s="308">
        <f>('lokale energieproductie'!P34+'lokale energieproductie'!P41)*(-1)</f>
        <v>-100.71428571428572</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8081.2465561072495</v>
      </c>
      <c r="C8" s="21">
        <f>C5+C6</f>
        <v>57.857142857142861</v>
      </c>
      <c r="D8" s="21">
        <f>MAX((D5+D6),0)</f>
        <v>16117.690416605064</v>
      </c>
      <c r="E8" s="21">
        <f>MAX((E5+E6),0)</f>
        <v>237.53251925992049</v>
      </c>
      <c r="F8" s="21">
        <f>MAX((F5+F6),0)</f>
        <v>33666.036465099627</v>
      </c>
      <c r="G8" s="21"/>
      <c r="H8" s="21"/>
      <c r="I8" s="21"/>
      <c r="J8" s="21">
        <f>MAX((J5+J6),0)</f>
        <v>1170.7990792235778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0.1719636163502479</v>
      </c>
      <c r="C10" s="31">
        <f ca="1">'EF ele_warmte'!B22</f>
        <v>0.23722871872249465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1389.6803824061892</v>
      </c>
      <c r="C12" s="23">
        <f ca="1">C8*C10</f>
        <v>13.725375868944335</v>
      </c>
      <c r="D12" s="23">
        <f>D8*D10</f>
        <v>3255.7734641542233</v>
      </c>
      <c r="E12" s="23">
        <f>E8*E10</f>
        <v>53.919881872001952</v>
      </c>
      <c r="F12" s="23">
        <f>F8*F10</f>
        <v>8988.8317361816007</v>
      </c>
      <c r="G12" s="23"/>
      <c r="H12" s="23"/>
      <c r="I12" s="23"/>
      <c r="J12" s="23">
        <f>J8*J10</f>
        <v>414.46287404514652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1.1467542404494662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572.92498046067703</v>
      </c>
      <c r="C26" s="247">
        <f>B26*'GWP N2O_CH4'!B5</f>
        <v>12031.424589674218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162.02904595507056</v>
      </c>
      <c r="C27" s="247">
        <f>B27*'GWP N2O_CH4'!B5</f>
        <v>3402.6099650564815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8.3088359421508553</v>
      </c>
      <c r="C28" s="247">
        <f>B28*'GWP N2O_CH4'!B4</f>
        <v>2575.739142066765</v>
      </c>
      <c r="D28" s="50"/>
    </row>
    <row r="29" spans="1:4">
      <c r="A29" s="41" t="s">
        <v>276</v>
      </c>
      <c r="B29" s="247">
        <f>B34*'ha_N2O bodem landbouw'!B4</f>
        <v>28.971052248817571</v>
      </c>
      <c r="C29" s="247">
        <f>B29*'GWP N2O_CH4'!B4</f>
        <v>8981.0261971334476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6.6110942844925889E-3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9.5398820280138963E-4</v>
      </c>
      <c r="C5" s="437" t="s">
        <v>210</v>
      </c>
      <c r="D5" s="422">
        <f>SUM(D6:D11)</f>
        <v>2.6651984578435245E-3</v>
      </c>
      <c r="E5" s="422">
        <f>SUM(E6:E11)</f>
        <v>4.6301515787806977E-3</v>
      </c>
      <c r="F5" s="435" t="s">
        <v>210</v>
      </c>
      <c r="G5" s="422">
        <f>SUM(G6:G11)</f>
        <v>2.1015902708908176</v>
      </c>
      <c r="H5" s="422">
        <f>SUM(H6:H11)</f>
        <v>0.45216543756429028</v>
      </c>
      <c r="I5" s="437" t="s">
        <v>210</v>
      </c>
      <c r="J5" s="437" t="s">
        <v>210</v>
      </c>
      <c r="K5" s="437" t="s">
        <v>210</v>
      </c>
      <c r="L5" s="437" t="s">
        <v>210</v>
      </c>
      <c r="M5" s="422">
        <f>SUM(M6:M11)</f>
        <v>0.13609821902981101</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6.6512965944944371E-4</v>
      </c>
      <c r="C6" s="423"/>
      <c r="D6" s="865">
        <f>vkm_GW_PW*SUMIFS(TableVerdeelsleutelVkm[CNG],TableVerdeelsleutelVkm[Voertuigtype],"Lichte voertuigen")*SUMIFS(TableECFTransport[EnergieConsumptieFactor (PJ per km)],TableECFTransport[Index],CONCATENATE($A6,"_CNG_CNG"))</f>
        <v>1.6483536998094708E-3</v>
      </c>
      <c r="E6" s="865">
        <f>vkm_GW_PW*SUMIFS(TableVerdeelsleutelVkm[LPG],TableVerdeelsleutelVkm[Voertuigtype],"Lichte voertuigen")*SUMIFS(TableECFTransport[EnergieConsumptieFactor (PJ per km)],TableECFTransport[Index],CONCATENATE($A6,"_LPG_LPG"))</f>
        <v>2.8298116858804625E-3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0.86709539496055299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0.28006217946371748</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5.8905706081951607E-2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0.51937333639874694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8.6881711903744004E-6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3.0344675959666861E-2</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1.760443361699067E-4</v>
      </c>
      <c r="C8" s="423"/>
      <c r="D8" s="425">
        <f>vkm_NGW_PW*SUMIFS(TableVerdeelsleutelVkm[CNG],TableVerdeelsleutelVkm[Voertuigtype],"Lichte voertuigen")*SUMIFS(TableECFTransport[EnergieConsumptieFactor (PJ per km)],TableECFTransport[Index],CONCATENATE($A8,"_CNG_CNG"))</f>
        <v>7.3740929224740668E-4</v>
      </c>
      <c r="E8" s="425">
        <f>vkm_NGW_PW*SUMIFS(TableVerdeelsleutelVkm[LPG],TableVerdeelsleutelVkm[Voertuigtype],"Lichte voertuigen")*SUMIFS(TableECFTransport[EnergieConsumptieFactor (PJ per km)],TableECFTransport[Index],CONCATENATE($A8,"_LPG_LPG"))</f>
        <v>1.2022160035826894E-3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0.34650718560863791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0.12253324535695397</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2.3852333331101528E-2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7.1349337031589466E-2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1.4702916370461535E-6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4.168632835534947E-3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1.1281420718203919E-4</v>
      </c>
      <c r="C10" s="423"/>
      <c r="D10" s="425">
        <f>vkm_SW_PW*SUMIFS(TableVerdeelsleutelVkm[CNG],TableVerdeelsleutelVkm[Voertuigtype],"Lichte voertuigen")*SUMIFS(TableECFTransport[EnergieConsumptieFactor (PJ per km)],TableECFTransport[Index],CONCATENATE($A10,"_CNG_CNG"))</f>
        <v>2.7943546578664712E-4</v>
      </c>
      <c r="E10" s="425">
        <f>vkm_SW_PW*SUMIFS(TableVerdeelsleutelVkm[LPG],TableVerdeelsleutelVkm[Voertuigtype],"Lichte voertuigen")*SUMIFS(TableECFTransport[EnergieConsumptieFactor (PJ per km)],TableECFTransport[Index],CONCATENATE($A10,"_LPG_LPG"))</f>
        <v>5.981238893175457E-4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0.16396288493184877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4.9557478860960964E-2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1.1038615359195243E-2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0.13330213195944141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2.3754198304218371E-6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7.7882554623608102E-3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264.996723000386</v>
      </c>
      <c r="C14" s="21"/>
      <c r="D14" s="21">
        <f t="shared" ref="D14:M14" si="0">((D5)*10^9/3600)+D12</f>
        <v>740.33290495653455</v>
      </c>
      <c r="E14" s="21">
        <f t="shared" si="0"/>
        <v>1286.1532163279717</v>
      </c>
      <c r="F14" s="21"/>
      <c r="G14" s="21">
        <f t="shared" si="0"/>
        <v>583775.07524744933</v>
      </c>
      <c r="H14" s="21">
        <f t="shared" si="0"/>
        <v>125601.51043452507</v>
      </c>
      <c r="I14" s="21"/>
      <c r="J14" s="21"/>
      <c r="K14" s="21"/>
      <c r="L14" s="21"/>
      <c r="M14" s="21">
        <f t="shared" si="0"/>
        <v>37805.060841614162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0.1719636163502479</v>
      </c>
      <c r="C16" s="56">
        <f ca="1">'EF ele_warmte'!B22</f>
        <v>0.23722871872249465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45.56979480811129</v>
      </c>
      <c r="C18" s="23"/>
      <c r="D18" s="23">
        <f t="shared" ref="D18:M18" si="1">D14*D16</f>
        <v>149.54724680121998</v>
      </c>
      <c r="E18" s="23">
        <f t="shared" si="1"/>
        <v>291.95678010644957</v>
      </c>
      <c r="F18" s="23"/>
      <c r="G18" s="23">
        <f t="shared" si="1"/>
        <v>155867.94509106898</v>
      </c>
      <c r="H18" s="23">
        <f t="shared" si="1"/>
        <v>31274.776098196744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2.9845484100000002E-3</v>
      </c>
      <c r="C50" s="319">
        <f t="shared" ref="C50:P50" si="2">SUM(C51:C52)</f>
        <v>0</v>
      </c>
      <c r="D50" s="319">
        <f t="shared" si="2"/>
        <v>0</v>
      </c>
      <c r="E50" s="319">
        <f t="shared" si="2"/>
        <v>0</v>
      </c>
      <c r="F50" s="319">
        <f t="shared" si="2"/>
        <v>0</v>
      </c>
      <c r="G50" s="319">
        <f t="shared" si="2"/>
        <v>7.8587246132091518E-2</v>
      </c>
      <c r="H50" s="319">
        <f t="shared" si="2"/>
        <v>0</v>
      </c>
      <c r="I50" s="319">
        <f t="shared" si="2"/>
        <v>0</v>
      </c>
      <c r="J50" s="319">
        <f t="shared" si="2"/>
        <v>0</v>
      </c>
      <c r="K50" s="319">
        <f t="shared" si="2"/>
        <v>0</v>
      </c>
      <c r="L50" s="319">
        <f t="shared" si="2"/>
        <v>0</v>
      </c>
      <c r="M50" s="319">
        <f t="shared" si="2"/>
        <v>4.4630714888269545E-3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7.8587246132091518E-2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4.4630714888269545E-3</v>
      </c>
      <c r="N51" s="321"/>
      <c r="O51" s="321"/>
      <c r="P51" s="324"/>
    </row>
    <row r="52" spans="1:18">
      <c r="A52" s="4" t="s">
        <v>329</v>
      </c>
      <c r="B52" s="866">
        <f>vkm_tram*SUMIFS(TableECFTransport[EnergieConsumptieFactor (PJ per km)],TableECFTransport[Index],"Tram_gemiddeld_Electric_Electric")</f>
        <v>2.9845484100000002E-3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829.04122500000005</v>
      </c>
      <c r="C54" s="21">
        <f t="shared" ref="C54:P54" si="3">(C50)*10^9/3600</f>
        <v>0</v>
      </c>
      <c r="D54" s="21">
        <f t="shared" si="3"/>
        <v>0</v>
      </c>
      <c r="E54" s="21">
        <f t="shared" si="3"/>
        <v>0</v>
      </c>
      <c r="F54" s="21">
        <f t="shared" si="3"/>
        <v>0</v>
      </c>
      <c r="G54" s="21">
        <f t="shared" si="3"/>
        <v>21829.790592247646</v>
      </c>
      <c r="H54" s="21">
        <f t="shared" si="3"/>
        <v>0</v>
      </c>
      <c r="I54" s="21">
        <f t="shared" si="3"/>
        <v>0</v>
      </c>
      <c r="J54" s="21">
        <f t="shared" si="3"/>
        <v>0</v>
      </c>
      <c r="K54" s="21">
        <f t="shared" si="3"/>
        <v>0</v>
      </c>
      <c r="L54" s="21">
        <f t="shared" si="3"/>
        <v>0</v>
      </c>
      <c r="M54" s="21">
        <f t="shared" si="3"/>
        <v>1239.7420802297097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0.1719636163502479</v>
      </c>
      <c r="C56" s="56">
        <f ca="1">'EF ele_warmte'!B22</f>
        <v>0.23722871872249465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142.56492715443954</v>
      </c>
      <c r="C58" s="23">
        <f t="shared" ref="C58:P58" ca="1" si="4">C54*C56</f>
        <v>0</v>
      </c>
      <c r="D58" s="23">
        <f t="shared" si="4"/>
        <v>0</v>
      </c>
      <c r="E58" s="23">
        <f t="shared" si="4"/>
        <v>0</v>
      </c>
      <c r="F58" s="23">
        <f t="shared" si="4"/>
        <v>0</v>
      </c>
      <c r="G58" s="23">
        <f t="shared" si="4"/>
        <v>5828.5540881301222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318162.53523400036</v>
      </c>
      <c r="D10" s="979">
        <f ca="1">tertiair!C16</f>
        <v>450.00000000000011</v>
      </c>
      <c r="E10" s="979">
        <f ca="1">tertiair!D16</f>
        <v>373901.56445538689</v>
      </c>
      <c r="F10" s="979">
        <f>tertiair!E16</f>
        <v>3932.5151194971322</v>
      </c>
      <c r="G10" s="979">
        <f ca="1">tertiair!F16</f>
        <v>53048.440223459416</v>
      </c>
      <c r="H10" s="979">
        <f>tertiair!G16</f>
        <v>0</v>
      </c>
      <c r="I10" s="979">
        <f>tertiair!H16</f>
        <v>0</v>
      </c>
      <c r="J10" s="979">
        <f>tertiair!I16</f>
        <v>0</v>
      </c>
      <c r="K10" s="979">
        <f>tertiair!J16</f>
        <v>0.7485333121257256</v>
      </c>
      <c r="L10" s="979">
        <f>tertiair!K16</f>
        <v>0</v>
      </c>
      <c r="M10" s="979">
        <f ca="1">tertiair!L16</f>
        <v>0</v>
      </c>
      <c r="N10" s="979">
        <f>tertiair!M16</f>
        <v>0</v>
      </c>
      <c r="O10" s="979">
        <f ca="1">tertiair!N16</f>
        <v>30065.917457992608</v>
      </c>
      <c r="P10" s="979">
        <f>tertiair!O16</f>
        <v>23.45</v>
      </c>
      <c r="Q10" s="980">
        <f>tertiair!P16</f>
        <v>438.5333333333333</v>
      </c>
      <c r="R10" s="674">
        <f ca="1">SUM(C10:Q10)</f>
        <v>780023.70435698167</v>
      </c>
      <c r="S10" s="67"/>
    </row>
    <row r="11" spans="1:19" s="447" customFormat="1">
      <c r="A11" s="783" t="s">
        <v>224</v>
      </c>
      <c r="B11" s="788"/>
      <c r="C11" s="979">
        <f>huishoudens!B8</f>
        <v>187606.63299004905</v>
      </c>
      <c r="D11" s="979">
        <f>huishoudens!C8</f>
        <v>0</v>
      </c>
      <c r="E11" s="979">
        <f>huishoudens!D8</f>
        <v>604668.4994264422</v>
      </c>
      <c r="F11" s="979">
        <f>huishoudens!E8</f>
        <v>20531.904197544678</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52745.091195798537</v>
      </c>
      <c r="P11" s="979">
        <f>huishoudens!O8</f>
        <v>1306.9466666666667</v>
      </c>
      <c r="Q11" s="980">
        <f>huishoudens!P8</f>
        <v>1830.4</v>
      </c>
      <c r="R11" s="674">
        <f>SUM(C11:Q11)</f>
        <v>868689.47447650111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104120.9281417391</v>
      </c>
      <c r="D13" s="979">
        <f>industrie!C18</f>
        <v>0</v>
      </c>
      <c r="E13" s="979">
        <f>industrie!D18</f>
        <v>170349.86343211203</v>
      </c>
      <c r="F13" s="979">
        <f>industrie!E18</f>
        <v>7249.9547470687357</v>
      </c>
      <c r="G13" s="979">
        <f>industrie!F18</f>
        <v>24699.320743596778</v>
      </c>
      <c r="H13" s="979">
        <f>industrie!G18</f>
        <v>0</v>
      </c>
      <c r="I13" s="979">
        <f>industrie!H18</f>
        <v>0</v>
      </c>
      <c r="J13" s="979">
        <f>industrie!I18</f>
        <v>0</v>
      </c>
      <c r="K13" s="979">
        <f>industrie!J18</f>
        <v>210.84632174733056</v>
      </c>
      <c r="L13" s="979">
        <f>industrie!K18</f>
        <v>0</v>
      </c>
      <c r="M13" s="979">
        <f>industrie!L18</f>
        <v>0</v>
      </c>
      <c r="N13" s="979">
        <f>industrie!M18</f>
        <v>0</v>
      </c>
      <c r="O13" s="979">
        <f>industrie!N18</f>
        <v>8640.3245159269027</v>
      </c>
      <c r="P13" s="979">
        <f>industrie!O18</f>
        <v>0</v>
      </c>
      <c r="Q13" s="980">
        <f>industrie!P18</f>
        <v>0</v>
      </c>
      <c r="R13" s="674">
        <f>SUM(C13:Q13)</f>
        <v>315271.23790219089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609890.09636578849</v>
      </c>
      <c r="D16" s="706">
        <f t="shared" ref="D16:R16" ca="1" si="0">SUM(D9:D15)</f>
        <v>450.00000000000011</v>
      </c>
      <c r="E16" s="706">
        <f t="shared" ca="1" si="0"/>
        <v>1148919.9273139411</v>
      </c>
      <c r="F16" s="706">
        <f t="shared" si="0"/>
        <v>31714.374064110547</v>
      </c>
      <c r="G16" s="706">
        <f t="shared" ca="1" si="0"/>
        <v>77747.760967056194</v>
      </c>
      <c r="H16" s="706">
        <f t="shared" si="0"/>
        <v>0</v>
      </c>
      <c r="I16" s="706">
        <f t="shared" si="0"/>
        <v>0</v>
      </c>
      <c r="J16" s="706">
        <f t="shared" si="0"/>
        <v>0</v>
      </c>
      <c r="K16" s="706">
        <f t="shared" si="0"/>
        <v>211.59485505945628</v>
      </c>
      <c r="L16" s="706">
        <f t="shared" si="0"/>
        <v>0</v>
      </c>
      <c r="M16" s="706">
        <f t="shared" ca="1" si="0"/>
        <v>0</v>
      </c>
      <c r="N16" s="706">
        <f t="shared" si="0"/>
        <v>0</v>
      </c>
      <c r="O16" s="706">
        <f t="shared" ca="1" si="0"/>
        <v>91451.33316971804</v>
      </c>
      <c r="P16" s="706">
        <f t="shared" si="0"/>
        <v>1330.3966666666668</v>
      </c>
      <c r="Q16" s="706">
        <f t="shared" si="0"/>
        <v>2268.9333333333334</v>
      </c>
      <c r="R16" s="706">
        <f t="shared" ca="1" si="0"/>
        <v>1963984.4167356738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829.04122500000005</v>
      </c>
      <c r="D19" s="979">
        <f>transport!C54</f>
        <v>0</v>
      </c>
      <c r="E19" s="979">
        <f>transport!D54</f>
        <v>0</v>
      </c>
      <c r="F19" s="979">
        <f>transport!E54</f>
        <v>0</v>
      </c>
      <c r="G19" s="979">
        <f>transport!F54</f>
        <v>0</v>
      </c>
      <c r="H19" s="979">
        <f>transport!G54</f>
        <v>21829.790592247646</v>
      </c>
      <c r="I19" s="979">
        <f>transport!H54</f>
        <v>0</v>
      </c>
      <c r="J19" s="979">
        <f>transport!I54</f>
        <v>0</v>
      </c>
      <c r="K19" s="979">
        <f>transport!J54</f>
        <v>0</v>
      </c>
      <c r="L19" s="979">
        <f>transport!K54</f>
        <v>0</v>
      </c>
      <c r="M19" s="979">
        <f>transport!L54</f>
        <v>0</v>
      </c>
      <c r="N19" s="979">
        <f>transport!M54</f>
        <v>1239.7420802297097</v>
      </c>
      <c r="O19" s="979">
        <f>transport!N54</f>
        <v>0</v>
      </c>
      <c r="P19" s="979">
        <f>transport!O54</f>
        <v>0</v>
      </c>
      <c r="Q19" s="980">
        <f>transport!P54</f>
        <v>0</v>
      </c>
      <c r="R19" s="674">
        <f>SUM(C19:Q19)</f>
        <v>23898.573897477356</v>
      </c>
      <c r="S19" s="67"/>
    </row>
    <row r="20" spans="1:19" s="447" customFormat="1">
      <c r="A20" s="783" t="s">
        <v>306</v>
      </c>
      <c r="B20" s="788"/>
      <c r="C20" s="979">
        <f>transport!B14</f>
        <v>264.996723000386</v>
      </c>
      <c r="D20" s="979">
        <f>transport!C14</f>
        <v>0</v>
      </c>
      <c r="E20" s="979">
        <f>transport!D14</f>
        <v>740.33290495653455</v>
      </c>
      <c r="F20" s="979">
        <f>transport!E14</f>
        <v>1286.1532163279717</v>
      </c>
      <c r="G20" s="979">
        <f>transport!F14</f>
        <v>0</v>
      </c>
      <c r="H20" s="979">
        <f>transport!G14</f>
        <v>583775.07524744933</v>
      </c>
      <c r="I20" s="979">
        <f>transport!H14</f>
        <v>125601.51043452507</v>
      </c>
      <c r="J20" s="979">
        <f>transport!I14</f>
        <v>0</v>
      </c>
      <c r="K20" s="979">
        <f>transport!J14</f>
        <v>0</v>
      </c>
      <c r="L20" s="979">
        <f>transport!K14</f>
        <v>0</v>
      </c>
      <c r="M20" s="979">
        <f>transport!L14</f>
        <v>0</v>
      </c>
      <c r="N20" s="979">
        <f>transport!M14</f>
        <v>37805.060841614162</v>
      </c>
      <c r="O20" s="979">
        <f>transport!N14</f>
        <v>0</v>
      </c>
      <c r="P20" s="979">
        <f>transport!O14</f>
        <v>0</v>
      </c>
      <c r="Q20" s="980">
        <f>transport!P14</f>
        <v>0</v>
      </c>
      <c r="R20" s="674">
        <f>SUM(C20:Q20)</f>
        <v>749473.12936787342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1094.037948000386</v>
      </c>
      <c r="D22" s="786">
        <f t="shared" ref="D22:R22" si="1">SUM(D18:D21)</f>
        <v>0</v>
      </c>
      <c r="E22" s="786">
        <f t="shared" si="1"/>
        <v>740.33290495653455</v>
      </c>
      <c r="F22" s="786">
        <f t="shared" si="1"/>
        <v>1286.1532163279717</v>
      </c>
      <c r="G22" s="786">
        <f t="shared" si="1"/>
        <v>0</v>
      </c>
      <c r="H22" s="786">
        <f t="shared" si="1"/>
        <v>605604.86583969695</v>
      </c>
      <c r="I22" s="786">
        <f t="shared" si="1"/>
        <v>125601.51043452507</v>
      </c>
      <c r="J22" s="786">
        <f t="shared" si="1"/>
        <v>0</v>
      </c>
      <c r="K22" s="786">
        <f t="shared" si="1"/>
        <v>0</v>
      </c>
      <c r="L22" s="786">
        <f t="shared" si="1"/>
        <v>0</v>
      </c>
      <c r="M22" s="786">
        <f t="shared" si="1"/>
        <v>0</v>
      </c>
      <c r="N22" s="786">
        <f t="shared" si="1"/>
        <v>39044.802921843875</v>
      </c>
      <c r="O22" s="786">
        <f t="shared" si="1"/>
        <v>0</v>
      </c>
      <c r="P22" s="786">
        <f t="shared" si="1"/>
        <v>0</v>
      </c>
      <c r="Q22" s="786">
        <f t="shared" si="1"/>
        <v>0</v>
      </c>
      <c r="R22" s="786">
        <f t="shared" si="1"/>
        <v>773371.70326535078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8081.2465561072495</v>
      </c>
      <c r="D24" s="979">
        <f>+landbouw!C8</f>
        <v>57.857142857142861</v>
      </c>
      <c r="E24" s="979">
        <f>+landbouw!D8</f>
        <v>16117.690416605064</v>
      </c>
      <c r="F24" s="979">
        <f>+landbouw!E8</f>
        <v>237.53251925992049</v>
      </c>
      <c r="G24" s="979">
        <f>+landbouw!F8</f>
        <v>33666.036465099627</v>
      </c>
      <c r="H24" s="979">
        <f>+landbouw!G8</f>
        <v>0</v>
      </c>
      <c r="I24" s="979">
        <f>+landbouw!H8</f>
        <v>0</v>
      </c>
      <c r="J24" s="979">
        <f>+landbouw!I8</f>
        <v>0</v>
      </c>
      <c r="K24" s="979">
        <f>+landbouw!J8</f>
        <v>1170.7990792235778</v>
      </c>
      <c r="L24" s="979">
        <f>+landbouw!K8</f>
        <v>0</v>
      </c>
      <c r="M24" s="979">
        <f>+landbouw!L8</f>
        <v>0</v>
      </c>
      <c r="N24" s="979">
        <f>+landbouw!M8</f>
        <v>0</v>
      </c>
      <c r="O24" s="979">
        <f>+landbouw!N8</f>
        <v>0</v>
      </c>
      <c r="P24" s="979">
        <f>+landbouw!O8</f>
        <v>0</v>
      </c>
      <c r="Q24" s="980">
        <f>+landbouw!P8</f>
        <v>0</v>
      </c>
      <c r="R24" s="674">
        <f>SUM(C24:Q24)</f>
        <v>59331.162179152583</v>
      </c>
      <c r="S24" s="67"/>
    </row>
    <row r="25" spans="1:19" s="447" customFormat="1" ht="15" thickBot="1">
      <c r="A25" s="805" t="s">
        <v>823</v>
      </c>
      <c r="B25" s="982"/>
      <c r="C25" s="983">
        <f>IF(Onbekend_ele_kWh="---",0,Onbekend_ele_kWh)/1000+IF(REST_rest_ele_kWh="---",0,REST_rest_ele_kWh)/1000</f>
        <v>10526.881534026699</v>
      </c>
      <c r="D25" s="983"/>
      <c r="E25" s="983">
        <f>IF(onbekend_gas_kWh="---",0,onbekend_gas_kWh)/1000+IF(REST_rest_gas_kWh="---",0,REST_rest_gas_kWh)/1000</f>
        <v>31251.852038965699</v>
      </c>
      <c r="F25" s="983"/>
      <c r="G25" s="983"/>
      <c r="H25" s="983"/>
      <c r="I25" s="983"/>
      <c r="J25" s="983"/>
      <c r="K25" s="983"/>
      <c r="L25" s="983"/>
      <c r="M25" s="983"/>
      <c r="N25" s="983"/>
      <c r="O25" s="983"/>
      <c r="P25" s="983"/>
      <c r="Q25" s="984"/>
      <c r="R25" s="674">
        <f>SUM(C25:Q25)</f>
        <v>41778.733572992394</v>
      </c>
      <c r="S25" s="67"/>
    </row>
    <row r="26" spans="1:19" s="447" customFormat="1" ht="15.75" thickBot="1">
      <c r="A26" s="679" t="s">
        <v>824</v>
      </c>
      <c r="B26" s="791"/>
      <c r="C26" s="786">
        <f>SUM(C24:C25)</f>
        <v>18608.128090133949</v>
      </c>
      <c r="D26" s="786">
        <f t="shared" ref="D26:R26" si="2">SUM(D24:D25)</f>
        <v>57.857142857142861</v>
      </c>
      <c r="E26" s="786">
        <f t="shared" si="2"/>
        <v>47369.542455570765</v>
      </c>
      <c r="F26" s="786">
        <f t="shared" si="2"/>
        <v>237.53251925992049</v>
      </c>
      <c r="G26" s="786">
        <f t="shared" si="2"/>
        <v>33666.036465099627</v>
      </c>
      <c r="H26" s="786">
        <f t="shared" si="2"/>
        <v>0</v>
      </c>
      <c r="I26" s="786">
        <f t="shared" si="2"/>
        <v>0</v>
      </c>
      <c r="J26" s="786">
        <f t="shared" si="2"/>
        <v>0</v>
      </c>
      <c r="K26" s="786">
        <f t="shared" si="2"/>
        <v>1170.7990792235778</v>
      </c>
      <c r="L26" s="786">
        <f t="shared" si="2"/>
        <v>0</v>
      </c>
      <c r="M26" s="786">
        <f t="shared" si="2"/>
        <v>0</v>
      </c>
      <c r="N26" s="786">
        <f t="shared" si="2"/>
        <v>0</v>
      </c>
      <c r="O26" s="786">
        <f t="shared" si="2"/>
        <v>0</v>
      </c>
      <c r="P26" s="786">
        <f t="shared" si="2"/>
        <v>0</v>
      </c>
      <c r="Q26" s="786">
        <f t="shared" si="2"/>
        <v>0</v>
      </c>
      <c r="R26" s="786">
        <f t="shared" si="2"/>
        <v>101109.89575214498</v>
      </c>
      <c r="S26" s="67"/>
    </row>
    <row r="27" spans="1:19" s="447" customFormat="1" ht="17.25" thickTop="1" thickBot="1">
      <c r="A27" s="680" t="s">
        <v>115</v>
      </c>
      <c r="B27" s="779"/>
      <c r="C27" s="681">
        <f ca="1">C22+C16+C26</f>
        <v>629592.26240392285</v>
      </c>
      <c r="D27" s="681">
        <f t="shared" ref="D27:R27" ca="1" si="3">D22+D16+D26</f>
        <v>507.857142857143</v>
      </c>
      <c r="E27" s="681">
        <f t="shared" ca="1" si="3"/>
        <v>1197029.8026744684</v>
      </c>
      <c r="F27" s="681">
        <f t="shared" si="3"/>
        <v>33238.059799698436</v>
      </c>
      <c r="G27" s="681">
        <f t="shared" ca="1" si="3"/>
        <v>111413.79743215581</v>
      </c>
      <c r="H27" s="681">
        <f t="shared" si="3"/>
        <v>605604.86583969695</v>
      </c>
      <c r="I27" s="681">
        <f t="shared" si="3"/>
        <v>125601.51043452507</v>
      </c>
      <c r="J27" s="681">
        <f t="shared" si="3"/>
        <v>0</v>
      </c>
      <c r="K27" s="681">
        <f t="shared" si="3"/>
        <v>1382.393934283034</v>
      </c>
      <c r="L27" s="681">
        <f t="shared" si="3"/>
        <v>0</v>
      </c>
      <c r="M27" s="681">
        <f t="shared" ca="1" si="3"/>
        <v>0</v>
      </c>
      <c r="N27" s="681">
        <f t="shared" si="3"/>
        <v>39044.802921843875</v>
      </c>
      <c r="O27" s="681">
        <f t="shared" ca="1" si="3"/>
        <v>91451.33316971804</v>
      </c>
      <c r="P27" s="681">
        <f t="shared" si="3"/>
        <v>1330.3966666666668</v>
      </c>
      <c r="Q27" s="681">
        <f t="shared" si="3"/>
        <v>2268.9333333333334</v>
      </c>
      <c r="R27" s="681">
        <f t="shared" ca="1" si="3"/>
        <v>2838466.0157531695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54712.380146001873</v>
      </c>
      <c r="D40" s="979">
        <f ca="1">tertiair!C20</f>
        <v>106.75292342512262</v>
      </c>
      <c r="E40" s="979">
        <f ca="1">tertiair!D20</f>
        <v>75528.116019988156</v>
      </c>
      <c r="F40" s="979">
        <f>tertiair!E20</f>
        <v>892.68093212584904</v>
      </c>
      <c r="G40" s="979">
        <f ca="1">tertiair!F20</f>
        <v>14163.933539663665</v>
      </c>
      <c r="H40" s="979">
        <f>tertiair!G20</f>
        <v>0</v>
      </c>
      <c r="I40" s="979">
        <f>tertiair!H20</f>
        <v>0</v>
      </c>
      <c r="J40" s="979">
        <f>tertiair!I20</f>
        <v>0</v>
      </c>
      <c r="K40" s="979">
        <f>tertiair!J20</f>
        <v>0.26498079249250683</v>
      </c>
      <c r="L40" s="979">
        <f>tertiair!K20</f>
        <v>0</v>
      </c>
      <c r="M40" s="979">
        <f ca="1">tertiair!L20</f>
        <v>0</v>
      </c>
      <c r="N40" s="979">
        <f>tertiair!M20</f>
        <v>0</v>
      </c>
      <c r="O40" s="979">
        <f ca="1">tertiair!N20</f>
        <v>0</v>
      </c>
      <c r="P40" s="979">
        <f>tertiair!O20</f>
        <v>0</v>
      </c>
      <c r="Q40" s="748">
        <f>tertiair!P20</f>
        <v>0</v>
      </c>
      <c r="R40" s="824">
        <f t="shared" ca="1" si="4"/>
        <v>145404.1285419972</v>
      </c>
    </row>
    <row r="41" spans="1:18">
      <c r="A41" s="796" t="s">
        <v>224</v>
      </c>
      <c r="B41" s="803"/>
      <c r="C41" s="979">
        <f ca="1">huishoudens!B12</f>
        <v>32261.515060262558</v>
      </c>
      <c r="D41" s="979">
        <f ca="1">huishoudens!C12</f>
        <v>0</v>
      </c>
      <c r="E41" s="979">
        <f>huishoudens!D12</f>
        <v>122143.03688414133</v>
      </c>
      <c r="F41" s="979">
        <f>huishoudens!E12</f>
        <v>4660.7422528426423</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159065.29419724652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17905.011340997753</v>
      </c>
      <c r="D43" s="979">
        <f ca="1">industrie!C22</f>
        <v>0</v>
      </c>
      <c r="E43" s="979">
        <f>industrie!D22</f>
        <v>34410.672413286637</v>
      </c>
      <c r="F43" s="979">
        <f>industrie!E22</f>
        <v>1645.7397275846031</v>
      </c>
      <c r="G43" s="979">
        <f>industrie!F22</f>
        <v>6594.7186385403402</v>
      </c>
      <c r="H43" s="979">
        <f>industrie!G22</f>
        <v>0</v>
      </c>
      <c r="I43" s="979">
        <f>industrie!H22</f>
        <v>0</v>
      </c>
      <c r="J43" s="979">
        <f>industrie!I22</f>
        <v>0</v>
      </c>
      <c r="K43" s="979">
        <f>industrie!J22</f>
        <v>74.63959789855501</v>
      </c>
      <c r="L43" s="979">
        <f>industrie!K22</f>
        <v>0</v>
      </c>
      <c r="M43" s="979">
        <f>industrie!L22</f>
        <v>0</v>
      </c>
      <c r="N43" s="979">
        <f>industrie!M22</f>
        <v>0</v>
      </c>
      <c r="O43" s="979">
        <f>industrie!N22</f>
        <v>0</v>
      </c>
      <c r="P43" s="979">
        <f>industrie!O22</f>
        <v>0</v>
      </c>
      <c r="Q43" s="748">
        <f>industrie!P22</f>
        <v>0</v>
      </c>
      <c r="R43" s="823">
        <f t="shared" ca="1" si="4"/>
        <v>60630.781718307881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104878.90654726217</v>
      </c>
      <c r="D46" s="706">
        <f t="shared" ref="D46:Q46" ca="1" si="5">SUM(D39:D45)</f>
        <v>106.75292342512262</v>
      </c>
      <c r="E46" s="706">
        <f t="shared" ca="1" si="5"/>
        <v>232081.82531741611</v>
      </c>
      <c r="F46" s="706">
        <f t="shared" si="5"/>
        <v>7199.1629125530944</v>
      </c>
      <c r="G46" s="706">
        <f t="shared" ca="1" si="5"/>
        <v>20758.652178204007</v>
      </c>
      <c r="H46" s="706">
        <f t="shared" si="5"/>
        <v>0</v>
      </c>
      <c r="I46" s="706">
        <f t="shared" si="5"/>
        <v>0</v>
      </c>
      <c r="J46" s="706">
        <f t="shared" si="5"/>
        <v>0</v>
      </c>
      <c r="K46" s="706">
        <f t="shared" si="5"/>
        <v>74.904578691047519</v>
      </c>
      <c r="L46" s="706">
        <f t="shared" si="5"/>
        <v>0</v>
      </c>
      <c r="M46" s="706">
        <f t="shared" ca="1" si="5"/>
        <v>0</v>
      </c>
      <c r="N46" s="706">
        <f t="shared" si="5"/>
        <v>0</v>
      </c>
      <c r="O46" s="706">
        <f t="shared" ca="1" si="5"/>
        <v>0</v>
      </c>
      <c r="P46" s="706">
        <f t="shared" si="5"/>
        <v>0</v>
      </c>
      <c r="Q46" s="706">
        <f t="shared" si="5"/>
        <v>0</v>
      </c>
      <c r="R46" s="706">
        <f ca="1">SUM(R39:R45)</f>
        <v>365100.20445755159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142.56492715443954</v>
      </c>
      <c r="D49" s="979">
        <f ca="1">transport!C58</f>
        <v>0</v>
      </c>
      <c r="E49" s="979">
        <f>transport!D58</f>
        <v>0</v>
      </c>
      <c r="F49" s="979">
        <f>transport!E58</f>
        <v>0</v>
      </c>
      <c r="G49" s="979">
        <f>transport!F58</f>
        <v>0</v>
      </c>
      <c r="H49" s="979">
        <f>transport!G58</f>
        <v>5828.5540881301222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5971.119015284562</v>
      </c>
    </row>
    <row r="50" spans="1:18">
      <c r="A50" s="799" t="s">
        <v>306</v>
      </c>
      <c r="B50" s="809"/>
      <c r="C50" s="677">
        <f ca="1">transport!B18</f>
        <v>45.56979480811129</v>
      </c>
      <c r="D50" s="677">
        <f>transport!C18</f>
        <v>0</v>
      </c>
      <c r="E50" s="677">
        <f>transport!D18</f>
        <v>149.54724680121998</v>
      </c>
      <c r="F50" s="677">
        <f>transport!E18</f>
        <v>291.95678010644957</v>
      </c>
      <c r="G50" s="677">
        <f>transport!F18</f>
        <v>0</v>
      </c>
      <c r="H50" s="677">
        <f>transport!G18</f>
        <v>155867.94509106898</v>
      </c>
      <c r="I50" s="677">
        <f>transport!H18</f>
        <v>31274.776098196744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187629.7950109815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188.13472196255083</v>
      </c>
      <c r="D52" s="706">
        <f t="shared" ref="D52:Q52" ca="1" si="6">SUM(D48:D51)</f>
        <v>0</v>
      </c>
      <c r="E52" s="706">
        <f t="shared" si="6"/>
        <v>149.54724680121998</v>
      </c>
      <c r="F52" s="706">
        <f t="shared" si="6"/>
        <v>291.95678010644957</v>
      </c>
      <c r="G52" s="706">
        <f t="shared" si="6"/>
        <v>0</v>
      </c>
      <c r="H52" s="706">
        <f t="shared" si="6"/>
        <v>161696.49917919911</v>
      </c>
      <c r="I52" s="706">
        <f t="shared" si="6"/>
        <v>31274.776098196744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193600.91402626605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1389.6803824061892</v>
      </c>
      <c r="D54" s="677">
        <f ca="1">+landbouw!C12</f>
        <v>13.725375868944335</v>
      </c>
      <c r="E54" s="677">
        <f>+landbouw!D12</f>
        <v>3255.7734641542233</v>
      </c>
      <c r="F54" s="677">
        <f>+landbouw!E12</f>
        <v>53.919881872001952</v>
      </c>
      <c r="G54" s="677">
        <f>+landbouw!F12</f>
        <v>8988.8317361816007</v>
      </c>
      <c r="H54" s="677">
        <f>+landbouw!G12</f>
        <v>0</v>
      </c>
      <c r="I54" s="677">
        <f>+landbouw!H12</f>
        <v>0</v>
      </c>
      <c r="J54" s="677">
        <f>+landbouw!I12</f>
        <v>0</v>
      </c>
      <c r="K54" s="677">
        <f>+landbouw!J12</f>
        <v>414.46287404514652</v>
      </c>
      <c r="L54" s="677">
        <f>+landbouw!K12</f>
        <v>0</v>
      </c>
      <c r="M54" s="677">
        <f>+landbouw!L12</f>
        <v>0</v>
      </c>
      <c r="N54" s="677">
        <f>+landbouw!M12</f>
        <v>0</v>
      </c>
      <c r="O54" s="677">
        <f>+landbouw!N12</f>
        <v>0</v>
      </c>
      <c r="P54" s="677">
        <f>+landbouw!O12</f>
        <v>0</v>
      </c>
      <c r="Q54" s="678">
        <f>+landbouw!P12</f>
        <v>0</v>
      </c>
      <c r="R54" s="705">
        <f ca="1">SUM(C54:Q54)</f>
        <v>14116.393714528105</v>
      </c>
    </row>
    <row r="55" spans="1:18" ht="15" thickBot="1">
      <c r="A55" s="799" t="s">
        <v>823</v>
      </c>
      <c r="B55" s="809"/>
      <c r="C55" s="677">
        <f ca="1">C25*'EF ele_warmte'!B12</f>
        <v>1810.2406174818764</v>
      </c>
      <c r="D55" s="677"/>
      <c r="E55" s="677">
        <f>E25*EF_CO2_aardgas</f>
        <v>6312.8741118710714</v>
      </c>
      <c r="F55" s="677"/>
      <c r="G55" s="677"/>
      <c r="H55" s="677"/>
      <c r="I55" s="677"/>
      <c r="J55" s="677"/>
      <c r="K55" s="677"/>
      <c r="L55" s="677"/>
      <c r="M55" s="677"/>
      <c r="N55" s="677"/>
      <c r="O55" s="677"/>
      <c r="P55" s="677"/>
      <c r="Q55" s="678"/>
      <c r="R55" s="705">
        <f ca="1">SUM(C55:Q55)</f>
        <v>8123.1147293529475</v>
      </c>
    </row>
    <row r="56" spans="1:18" ht="15.75" thickBot="1">
      <c r="A56" s="797" t="s">
        <v>824</v>
      </c>
      <c r="B56" s="810"/>
      <c r="C56" s="706">
        <f ca="1">SUM(C54:C55)</f>
        <v>3199.9209998880656</v>
      </c>
      <c r="D56" s="706">
        <f t="shared" ref="D56:Q56" ca="1" si="7">SUM(D54:D55)</f>
        <v>13.725375868944335</v>
      </c>
      <c r="E56" s="706">
        <f t="shared" si="7"/>
        <v>9568.6475760252943</v>
      </c>
      <c r="F56" s="706">
        <f t="shared" si="7"/>
        <v>53.919881872001952</v>
      </c>
      <c r="G56" s="706">
        <f t="shared" si="7"/>
        <v>8988.8317361816007</v>
      </c>
      <c r="H56" s="706">
        <f t="shared" si="7"/>
        <v>0</v>
      </c>
      <c r="I56" s="706">
        <f t="shared" si="7"/>
        <v>0</v>
      </c>
      <c r="J56" s="706">
        <f t="shared" si="7"/>
        <v>0</v>
      </c>
      <c r="K56" s="706">
        <f t="shared" si="7"/>
        <v>414.46287404514652</v>
      </c>
      <c r="L56" s="706">
        <f t="shared" si="7"/>
        <v>0</v>
      </c>
      <c r="M56" s="706">
        <f t="shared" si="7"/>
        <v>0</v>
      </c>
      <c r="N56" s="706">
        <f t="shared" si="7"/>
        <v>0</v>
      </c>
      <c r="O56" s="706">
        <f t="shared" si="7"/>
        <v>0</v>
      </c>
      <c r="P56" s="706">
        <f t="shared" si="7"/>
        <v>0</v>
      </c>
      <c r="Q56" s="707">
        <f t="shared" si="7"/>
        <v>0</v>
      </c>
      <c r="R56" s="708">
        <f ca="1">SUM(R54:R55)</f>
        <v>22239.508443881052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108266.96226911279</v>
      </c>
      <c r="D61" s="714">
        <f t="shared" ref="D61:Q61" ca="1" si="8">D46+D52+D56</f>
        <v>120.47829929406696</v>
      </c>
      <c r="E61" s="714">
        <f t="shared" ca="1" si="8"/>
        <v>241800.02014024265</v>
      </c>
      <c r="F61" s="714">
        <f t="shared" si="8"/>
        <v>7545.0395745315454</v>
      </c>
      <c r="G61" s="714">
        <f t="shared" ca="1" si="8"/>
        <v>29747.483914385608</v>
      </c>
      <c r="H61" s="714">
        <f t="shared" si="8"/>
        <v>161696.49917919911</v>
      </c>
      <c r="I61" s="714">
        <f t="shared" si="8"/>
        <v>31274.776098196744</v>
      </c>
      <c r="J61" s="714">
        <f t="shared" si="8"/>
        <v>0</v>
      </c>
      <c r="K61" s="714">
        <f t="shared" si="8"/>
        <v>489.36745273619402</v>
      </c>
      <c r="L61" s="714">
        <f t="shared" si="8"/>
        <v>0</v>
      </c>
      <c r="M61" s="714">
        <f t="shared" ca="1" si="8"/>
        <v>0</v>
      </c>
      <c r="N61" s="714">
        <f t="shared" si="8"/>
        <v>0</v>
      </c>
      <c r="O61" s="714">
        <f t="shared" ca="1" si="8"/>
        <v>0</v>
      </c>
      <c r="P61" s="714">
        <f t="shared" si="8"/>
        <v>0</v>
      </c>
      <c r="Q61" s="714">
        <f t="shared" si="8"/>
        <v>0</v>
      </c>
      <c r="R61" s="714">
        <f ca="1">R46+R52+R56</f>
        <v>580940.62692769873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0.1719636163502479</v>
      </c>
      <c r="D63" s="755">
        <f t="shared" ca="1" si="9"/>
        <v>0.23722871872249465</v>
      </c>
      <c r="E63" s="990">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107653.00782841453</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32068.777052012563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344.25000000000006</v>
      </c>
      <c r="D76" s="1000">
        <f>'lokale energieproductie'!C8</f>
        <v>404.28706148623166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81.6659864202188</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139721.78488042709</v>
      </c>
      <c r="C78" s="729">
        <f>SUM(C72:C77)</f>
        <v>344.25000000000006</v>
      </c>
      <c r="D78" s="730">
        <f t="shared" ref="D78:H78" si="10">SUM(D76:D77)</f>
        <v>404.28706148623166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81.6659864202188</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507.857142857143</v>
      </c>
      <c r="D87" s="751">
        <f>'lokale energieproductie'!C17</f>
        <v>596.42722422805423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120.47829929406696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507.857142857143</v>
      </c>
      <c r="D90" s="729">
        <f t="shared" ref="D90:H90" si="12">SUM(D87:D89)</f>
        <v>596.42722422805423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120.47829929406696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107653.00782841453</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32068.777052012563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344.25000000000006</v>
      </c>
      <c r="C8" s="544">
        <f>B50</f>
        <v>404.28706148623166</v>
      </c>
      <c r="D8" s="1010"/>
      <c r="E8" s="1010">
        <f>E50</f>
        <v>0</v>
      </c>
      <c r="F8" s="1011"/>
      <c r="G8" s="545"/>
      <c r="H8" s="1010">
        <f>I50</f>
        <v>0</v>
      </c>
      <c r="I8" s="1010">
        <f>G50+F50</f>
        <v>0</v>
      </c>
      <c r="J8" s="1010">
        <f>H50+D50+C50</f>
        <v>0</v>
      </c>
      <c r="K8" s="1010"/>
      <c r="L8" s="1010"/>
      <c r="M8" s="1010"/>
      <c r="N8" s="546"/>
      <c r="O8" s="547">
        <f>C8*$C$12+D8*$D$12+E8*$E$12+F8*$F$12+G8*$G$12+H8*$H$12+I8*$I$12+J8*$J$12</f>
        <v>81.6659864202188</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140066.03488042709</v>
      </c>
      <c r="C10" s="557">
        <f t="shared" ref="C10:L10" si="0">SUM(C8:C9)</f>
        <v>404.28706148623166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81.6659864202188</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507.857142857143</v>
      </c>
      <c r="C17" s="569">
        <f>B51</f>
        <v>596.42722422805423</v>
      </c>
      <c r="D17" s="570"/>
      <c r="E17" s="570">
        <f>E51</f>
        <v>0</v>
      </c>
      <c r="F17" s="1016"/>
      <c r="G17" s="571"/>
      <c r="H17" s="569">
        <f>I51</f>
        <v>0</v>
      </c>
      <c r="I17" s="570">
        <f>G51+F51</f>
        <v>0</v>
      </c>
      <c r="J17" s="570">
        <f>H51+D51+C51</f>
        <v>0</v>
      </c>
      <c r="K17" s="570"/>
      <c r="L17" s="570"/>
      <c r="M17" s="570"/>
      <c r="N17" s="1017"/>
      <c r="O17" s="572">
        <f>C17*$C$22+E17*$E$22+H17*$H$22+I17*$I$22+J17*$J$22+D17*$D$22+F17*$F$22+G17*$G$22+K17*$K$22+L17*$L$22</f>
        <v>120.47829929406696</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507.857142857143</v>
      </c>
      <c r="C20" s="556">
        <f>SUM(C17:C19)</f>
        <v>596.42722422805423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120.47829929406696</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31005</v>
      </c>
      <c r="C28" s="770">
        <v>8000</v>
      </c>
      <c r="D28" s="627" t="s">
        <v>887</v>
      </c>
      <c r="E28" s="626" t="s">
        <v>888</v>
      </c>
      <c r="F28" s="626" t="s">
        <v>889</v>
      </c>
      <c r="G28" s="626" t="s">
        <v>890</v>
      </c>
      <c r="H28" s="626" t="s">
        <v>891</v>
      </c>
      <c r="I28" s="626" t="s">
        <v>888</v>
      </c>
      <c r="J28" s="769">
        <v>41207</v>
      </c>
      <c r="K28" s="769">
        <v>41306</v>
      </c>
      <c r="L28" s="626" t="s">
        <v>892</v>
      </c>
      <c r="M28" s="626">
        <v>5.5</v>
      </c>
      <c r="N28" s="626">
        <v>24.75</v>
      </c>
      <c r="O28" s="626">
        <v>35.357142857142861</v>
      </c>
      <c r="P28" s="626">
        <v>70.714285714285722</v>
      </c>
      <c r="Q28" s="626">
        <v>0</v>
      </c>
      <c r="R28" s="626">
        <v>0</v>
      </c>
      <c r="S28" s="626">
        <v>0</v>
      </c>
      <c r="T28" s="626">
        <v>0</v>
      </c>
      <c r="U28" s="626">
        <v>0</v>
      </c>
      <c r="V28" s="626">
        <v>0</v>
      </c>
      <c r="W28" s="626">
        <v>0</v>
      </c>
      <c r="X28" s="626">
        <v>10</v>
      </c>
      <c r="Y28" s="626" t="s">
        <v>111</v>
      </c>
      <c r="Z28" s="628" t="s">
        <v>111</v>
      </c>
    </row>
    <row r="29" spans="1:26" s="580" customFormat="1" ht="12.75">
      <c r="A29" s="579"/>
      <c r="B29" s="770">
        <v>31005</v>
      </c>
      <c r="C29" s="770">
        <v>8000</v>
      </c>
      <c r="D29" s="627" t="s">
        <v>893</v>
      </c>
      <c r="E29" s="626" t="s">
        <v>894</v>
      </c>
      <c r="F29" s="626" t="s">
        <v>895</v>
      </c>
      <c r="G29" s="626" t="s">
        <v>896</v>
      </c>
      <c r="H29" s="626" t="s">
        <v>896</v>
      </c>
      <c r="I29" s="626" t="s">
        <v>894</v>
      </c>
      <c r="J29" s="769">
        <v>41624</v>
      </c>
      <c r="K29" s="769">
        <v>41619</v>
      </c>
      <c r="L29" s="626" t="s">
        <v>892</v>
      </c>
      <c r="M29" s="626">
        <v>1</v>
      </c>
      <c r="N29" s="626">
        <v>4.5</v>
      </c>
      <c r="O29" s="626">
        <v>22.5</v>
      </c>
      <c r="P29" s="626">
        <v>30</v>
      </c>
      <c r="Q29" s="626">
        <v>0</v>
      </c>
      <c r="R29" s="626">
        <v>0</v>
      </c>
      <c r="S29" s="626">
        <v>0</v>
      </c>
      <c r="T29" s="626">
        <v>0</v>
      </c>
      <c r="U29" s="626">
        <v>0</v>
      </c>
      <c r="V29" s="626">
        <v>0</v>
      </c>
      <c r="W29" s="626">
        <v>0</v>
      </c>
      <c r="X29" s="626">
        <v>10</v>
      </c>
      <c r="Y29" s="626" t="s">
        <v>111</v>
      </c>
      <c r="Z29" s="628" t="s">
        <v>111</v>
      </c>
    </row>
    <row r="30" spans="1:26" s="580" customFormat="1" ht="63.75">
      <c r="A30" s="579"/>
      <c r="B30" s="770">
        <v>31005</v>
      </c>
      <c r="C30" s="770">
        <v>8000</v>
      </c>
      <c r="D30" s="627" t="s">
        <v>897</v>
      </c>
      <c r="E30" s="626" t="s">
        <v>898</v>
      </c>
      <c r="F30" s="626" t="s">
        <v>899</v>
      </c>
      <c r="G30" s="626" t="s">
        <v>890</v>
      </c>
      <c r="H30" s="626" t="s">
        <v>891</v>
      </c>
      <c r="I30" s="626" t="s">
        <v>898</v>
      </c>
      <c r="J30" s="769">
        <v>42137</v>
      </c>
      <c r="K30" s="769">
        <v>42107</v>
      </c>
      <c r="L30" s="626" t="s">
        <v>892</v>
      </c>
      <c r="M30" s="626">
        <v>70</v>
      </c>
      <c r="N30" s="626">
        <v>315.00000000000006</v>
      </c>
      <c r="O30" s="626">
        <v>450.00000000000011</v>
      </c>
      <c r="P30" s="626">
        <v>900.00000000000023</v>
      </c>
      <c r="Q30" s="626">
        <v>0</v>
      </c>
      <c r="R30" s="626">
        <v>0</v>
      </c>
      <c r="S30" s="626">
        <v>0</v>
      </c>
      <c r="T30" s="626">
        <v>0</v>
      </c>
      <c r="U30" s="626">
        <v>0</v>
      </c>
      <c r="V30" s="626">
        <v>0</v>
      </c>
      <c r="W30" s="626">
        <v>0</v>
      </c>
      <c r="X30" s="626">
        <v>1600</v>
      </c>
      <c r="Y30" s="626" t="s">
        <v>49</v>
      </c>
      <c r="Z30" s="628" t="s">
        <v>155</v>
      </c>
    </row>
    <row r="31" spans="1:26" s="564" customFormat="1">
      <c r="A31" s="582" t="s">
        <v>279</v>
      </c>
      <c r="B31" s="583"/>
      <c r="C31" s="583"/>
      <c r="D31" s="583"/>
      <c r="E31" s="583"/>
      <c r="F31" s="583"/>
      <c r="G31" s="583"/>
      <c r="H31" s="583"/>
      <c r="I31" s="583"/>
      <c r="J31" s="583"/>
      <c r="K31" s="583"/>
      <c r="L31" s="584"/>
      <c r="M31" s="584">
        <f>SUM(M28:M30)</f>
        <v>76.5</v>
      </c>
      <c r="N31" s="584">
        <f>SUM(N28:N30)</f>
        <v>344.25000000000006</v>
      </c>
      <c r="O31" s="584">
        <f>SUM(O28:O30)</f>
        <v>507.857142857143</v>
      </c>
      <c r="P31" s="584">
        <f>SUM(P28:P30)</f>
        <v>1000.714285714286</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70</v>
      </c>
      <c r="N33" s="584">
        <f ca="1">SUMIF($Z$28:AD30,"tertiair",N28:N30)</f>
        <v>315.00000000000006</v>
      </c>
      <c r="O33" s="584">
        <f ca="1">SUMIF($Z$28:AE30,"tertiair",O28:O30)</f>
        <v>450.00000000000011</v>
      </c>
      <c r="P33" s="584">
        <f ca="1">SUMIF($Z$28:AF30,"tertiair",P28:P30)</f>
        <v>900.00000000000023</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6.5</v>
      </c>
      <c r="N34" s="589">
        <f>SUMIF($Z$28:$Z$30,"landbouw",N28:N30)</f>
        <v>29.25</v>
      </c>
      <c r="O34" s="589">
        <f>SUMIF($Z$28:$Z$30,"landbouw",O28:O30)</f>
        <v>57.857142857142861</v>
      </c>
      <c r="P34" s="589">
        <f>SUMIF($Z$28:$Z$30,"landbouw",P28:P30)</f>
        <v>100.71428571428572</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0.59600150886457937</v>
      </c>
      <c r="C47" s="609">
        <f>IF(ISERROR(N31/(O31+N31)),0,N31/(N31+O31))</f>
        <v>0.40399849113542052</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404.28706148623166</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596.42722422805423</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187606.63299004905</v>
      </c>
      <c r="C4" s="451">
        <f>huishoudens!C8</f>
        <v>0</v>
      </c>
      <c r="D4" s="451">
        <f>huishoudens!D8</f>
        <v>604668.4994264422</v>
      </c>
      <c r="E4" s="451">
        <f>huishoudens!E8</f>
        <v>20531.904197544678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52745.091195798537</v>
      </c>
      <c r="O4" s="451">
        <f>huishoudens!O8</f>
        <v>1306.9466666666667</v>
      </c>
      <c r="P4" s="452">
        <f>huishoudens!P8</f>
        <v>1830.4</v>
      </c>
      <c r="Q4" s="453">
        <f>SUM(B4:P4)</f>
        <v>868689.47447650111</v>
      </c>
    </row>
    <row r="5" spans="1:17">
      <c r="A5" s="450" t="s">
        <v>155</v>
      </c>
      <c r="B5" s="451">
        <f ca="1">tertiair!B16</f>
        <v>310147.78523400036</v>
      </c>
      <c r="C5" s="451">
        <f ca="1">tertiair!C16</f>
        <v>450.00000000000011</v>
      </c>
      <c r="D5" s="451">
        <f ca="1">tertiair!D16</f>
        <v>373901.56445538689</v>
      </c>
      <c r="E5" s="451">
        <f>tertiair!E16</f>
        <v>3932.5151194971322</v>
      </c>
      <c r="F5" s="451">
        <f ca="1">tertiair!F16</f>
        <v>53048.440223459416</v>
      </c>
      <c r="G5" s="451">
        <f>tertiair!G16</f>
        <v>0</v>
      </c>
      <c r="H5" s="451">
        <f>tertiair!H16</f>
        <v>0</v>
      </c>
      <c r="I5" s="451">
        <f>tertiair!I16</f>
        <v>0</v>
      </c>
      <c r="J5" s="451">
        <f>tertiair!J16</f>
        <v>0.7485333121257256</v>
      </c>
      <c r="K5" s="451">
        <f>tertiair!K16</f>
        <v>0</v>
      </c>
      <c r="L5" s="451">
        <f ca="1">tertiair!L16</f>
        <v>0</v>
      </c>
      <c r="M5" s="451">
        <f>tertiair!M16</f>
        <v>0</v>
      </c>
      <c r="N5" s="451">
        <f ca="1">tertiair!N16</f>
        <v>30065.917457992608</v>
      </c>
      <c r="O5" s="451">
        <f>tertiair!O16</f>
        <v>23.45</v>
      </c>
      <c r="P5" s="452">
        <f>tertiair!P16</f>
        <v>438.5333333333333</v>
      </c>
      <c r="Q5" s="450">
        <f t="shared" ref="Q5:Q14" ca="1" si="0">SUM(B5:P5)</f>
        <v>772008.95435698167</v>
      </c>
    </row>
    <row r="6" spans="1:17">
      <c r="A6" s="450" t="s">
        <v>193</v>
      </c>
      <c r="B6" s="451">
        <f>'openbare verlichting'!B8</f>
        <v>8014.75</v>
      </c>
      <c r="C6" s="451"/>
      <c r="D6" s="451"/>
      <c r="E6" s="451"/>
      <c r="F6" s="451"/>
      <c r="G6" s="451"/>
      <c r="H6" s="451"/>
      <c r="I6" s="451"/>
      <c r="J6" s="451"/>
      <c r="K6" s="451"/>
      <c r="L6" s="451"/>
      <c r="M6" s="451"/>
      <c r="N6" s="451"/>
      <c r="O6" s="451"/>
      <c r="P6" s="452"/>
      <c r="Q6" s="450">
        <f t="shared" si="0"/>
        <v>8014.75</v>
      </c>
    </row>
    <row r="7" spans="1:17">
      <c r="A7" s="450" t="s">
        <v>111</v>
      </c>
      <c r="B7" s="451">
        <f>landbouw!B8</f>
        <v>8081.2465561072495</v>
      </c>
      <c r="C7" s="451">
        <f>landbouw!C8</f>
        <v>57.857142857142861</v>
      </c>
      <c r="D7" s="451">
        <f>landbouw!D8</f>
        <v>16117.690416605064</v>
      </c>
      <c r="E7" s="451">
        <f>landbouw!E8</f>
        <v>237.53251925992049</v>
      </c>
      <c r="F7" s="451">
        <f>landbouw!F8</f>
        <v>33666.036465099627</v>
      </c>
      <c r="G7" s="451">
        <f>landbouw!G8</f>
        <v>0</v>
      </c>
      <c r="H7" s="451">
        <f>landbouw!H8</f>
        <v>0</v>
      </c>
      <c r="I7" s="451">
        <f>landbouw!I8</f>
        <v>0</v>
      </c>
      <c r="J7" s="451">
        <f>landbouw!J8</f>
        <v>1170.7990792235778</v>
      </c>
      <c r="K7" s="451">
        <f>landbouw!K8</f>
        <v>0</v>
      </c>
      <c r="L7" s="451">
        <f>landbouw!L8</f>
        <v>0</v>
      </c>
      <c r="M7" s="451">
        <f>landbouw!M8</f>
        <v>0</v>
      </c>
      <c r="N7" s="451">
        <f>landbouw!N8</f>
        <v>0</v>
      </c>
      <c r="O7" s="451">
        <f>landbouw!O8</f>
        <v>0</v>
      </c>
      <c r="P7" s="452">
        <f>landbouw!P8</f>
        <v>0</v>
      </c>
      <c r="Q7" s="450">
        <f t="shared" si="0"/>
        <v>59331.162179152583</v>
      </c>
    </row>
    <row r="8" spans="1:17">
      <c r="A8" s="450" t="s">
        <v>634</v>
      </c>
      <c r="B8" s="451">
        <f>industrie!B18</f>
        <v>104120.9281417391</v>
      </c>
      <c r="C8" s="451">
        <f>industrie!C18</f>
        <v>0</v>
      </c>
      <c r="D8" s="451">
        <f>industrie!D18</f>
        <v>170349.86343211203</v>
      </c>
      <c r="E8" s="451">
        <f>industrie!E18</f>
        <v>7249.9547470687357</v>
      </c>
      <c r="F8" s="451">
        <f>industrie!F18</f>
        <v>24699.320743596778</v>
      </c>
      <c r="G8" s="451">
        <f>industrie!G18</f>
        <v>0</v>
      </c>
      <c r="H8" s="451">
        <f>industrie!H18</f>
        <v>0</v>
      </c>
      <c r="I8" s="451">
        <f>industrie!I18</f>
        <v>0</v>
      </c>
      <c r="J8" s="451">
        <f>industrie!J18</f>
        <v>210.84632174733056</v>
      </c>
      <c r="K8" s="451">
        <f>industrie!K18</f>
        <v>0</v>
      </c>
      <c r="L8" s="451">
        <f>industrie!L18</f>
        <v>0</v>
      </c>
      <c r="M8" s="451">
        <f>industrie!M18</f>
        <v>0</v>
      </c>
      <c r="N8" s="451">
        <f>industrie!N18</f>
        <v>8640.3245159269027</v>
      </c>
      <c r="O8" s="451">
        <f>industrie!O18</f>
        <v>0</v>
      </c>
      <c r="P8" s="452">
        <f>industrie!P18</f>
        <v>0</v>
      </c>
      <c r="Q8" s="450">
        <f t="shared" si="0"/>
        <v>315271.23790219089</v>
      </c>
    </row>
    <row r="9" spans="1:17" s="456" customFormat="1">
      <c r="A9" s="454" t="s">
        <v>560</v>
      </c>
      <c r="B9" s="455">
        <f>transport!B14</f>
        <v>264.996723000386</v>
      </c>
      <c r="C9" s="455">
        <f>transport!C14</f>
        <v>0</v>
      </c>
      <c r="D9" s="455">
        <f>transport!D14</f>
        <v>740.33290495653455</v>
      </c>
      <c r="E9" s="455">
        <f>transport!E14</f>
        <v>1286.1532163279717</v>
      </c>
      <c r="F9" s="455">
        <f>transport!F14</f>
        <v>0</v>
      </c>
      <c r="G9" s="455">
        <f>transport!G14</f>
        <v>583775.07524744933</v>
      </c>
      <c r="H9" s="455">
        <f>transport!H14</f>
        <v>125601.51043452507</v>
      </c>
      <c r="I9" s="455">
        <f>transport!I14</f>
        <v>0</v>
      </c>
      <c r="J9" s="455">
        <f>transport!J14</f>
        <v>0</v>
      </c>
      <c r="K9" s="455">
        <f>transport!K14</f>
        <v>0</v>
      </c>
      <c r="L9" s="455">
        <f>transport!L14</f>
        <v>0</v>
      </c>
      <c r="M9" s="455">
        <f>transport!M14</f>
        <v>37805.060841614162</v>
      </c>
      <c r="N9" s="455">
        <f>transport!N14</f>
        <v>0</v>
      </c>
      <c r="O9" s="455">
        <f>transport!O14</f>
        <v>0</v>
      </c>
      <c r="P9" s="455">
        <f>transport!P14</f>
        <v>0</v>
      </c>
      <c r="Q9" s="454">
        <f>SUM(B9:P9)</f>
        <v>749473.12936787342</v>
      </c>
    </row>
    <row r="10" spans="1:17">
      <c r="A10" s="450" t="s">
        <v>550</v>
      </c>
      <c r="B10" s="451">
        <f>transport!B54</f>
        <v>829.04122500000005</v>
      </c>
      <c r="C10" s="451">
        <f>transport!C54</f>
        <v>0</v>
      </c>
      <c r="D10" s="451">
        <f>transport!D54</f>
        <v>0</v>
      </c>
      <c r="E10" s="451">
        <f>transport!E54</f>
        <v>0</v>
      </c>
      <c r="F10" s="451">
        <f>transport!F54</f>
        <v>0</v>
      </c>
      <c r="G10" s="451">
        <f>transport!G54</f>
        <v>21829.790592247646</v>
      </c>
      <c r="H10" s="451">
        <f>transport!H54</f>
        <v>0</v>
      </c>
      <c r="I10" s="451">
        <f>transport!I54</f>
        <v>0</v>
      </c>
      <c r="J10" s="451">
        <f>transport!J54</f>
        <v>0</v>
      </c>
      <c r="K10" s="451">
        <f>transport!K54</f>
        <v>0</v>
      </c>
      <c r="L10" s="451">
        <f>transport!L54</f>
        <v>0</v>
      </c>
      <c r="M10" s="451">
        <f>transport!M54</f>
        <v>1239.7420802297097</v>
      </c>
      <c r="N10" s="451">
        <f>transport!N54</f>
        <v>0</v>
      </c>
      <c r="O10" s="451">
        <f>transport!O54</f>
        <v>0</v>
      </c>
      <c r="P10" s="452">
        <f>transport!P54</f>
        <v>0</v>
      </c>
      <c r="Q10" s="450">
        <f t="shared" si="0"/>
        <v>23898.573897477356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10526.881534026699</v>
      </c>
      <c r="C14" s="458"/>
      <c r="D14" s="458">
        <f>'SEAP template'!E25</f>
        <v>31251.852038965699</v>
      </c>
      <c r="E14" s="458"/>
      <c r="F14" s="458"/>
      <c r="G14" s="458"/>
      <c r="H14" s="458"/>
      <c r="I14" s="458"/>
      <c r="J14" s="458"/>
      <c r="K14" s="458"/>
      <c r="L14" s="458"/>
      <c r="M14" s="458"/>
      <c r="N14" s="458"/>
      <c r="O14" s="458"/>
      <c r="P14" s="459"/>
      <c r="Q14" s="450">
        <f t="shared" si="0"/>
        <v>41778.733572992394</v>
      </c>
    </row>
    <row r="15" spans="1:17" s="460" customFormat="1">
      <c r="A15" s="1005" t="s">
        <v>554</v>
      </c>
      <c r="B15" s="953">
        <f ca="1">SUM(B4:B14)</f>
        <v>629592.26240392285</v>
      </c>
      <c r="C15" s="953">
        <f t="shared" ref="C15:Q15" ca="1" si="1">SUM(C4:C14)</f>
        <v>507.857142857143</v>
      </c>
      <c r="D15" s="953">
        <f t="shared" ca="1" si="1"/>
        <v>1197029.8026744686</v>
      </c>
      <c r="E15" s="953">
        <f t="shared" si="1"/>
        <v>33238.059799698436</v>
      </c>
      <c r="F15" s="953">
        <f t="shared" ca="1" si="1"/>
        <v>111413.79743215583</v>
      </c>
      <c r="G15" s="953">
        <f t="shared" si="1"/>
        <v>605604.86583969695</v>
      </c>
      <c r="H15" s="953">
        <f t="shared" si="1"/>
        <v>125601.51043452507</v>
      </c>
      <c r="I15" s="953">
        <f t="shared" si="1"/>
        <v>0</v>
      </c>
      <c r="J15" s="953">
        <f t="shared" si="1"/>
        <v>1382.3939342830342</v>
      </c>
      <c r="K15" s="953">
        <f t="shared" si="1"/>
        <v>0</v>
      </c>
      <c r="L15" s="953">
        <f t="shared" ca="1" si="1"/>
        <v>0</v>
      </c>
      <c r="M15" s="953">
        <f t="shared" si="1"/>
        <v>39044.802921843875</v>
      </c>
      <c r="N15" s="953">
        <f t="shared" ca="1" si="1"/>
        <v>91451.33316971804</v>
      </c>
      <c r="O15" s="953">
        <f t="shared" si="1"/>
        <v>1330.3966666666668</v>
      </c>
      <c r="P15" s="953">
        <f t="shared" si="1"/>
        <v>2268.9333333333334</v>
      </c>
      <c r="Q15" s="953">
        <f t="shared" ca="1" si="1"/>
        <v>2838466.0157531695</v>
      </c>
    </row>
    <row r="17" spans="1:17">
      <c r="A17" s="461" t="s">
        <v>555</v>
      </c>
      <c r="B17" s="760">
        <f ca="1">huishoudens!B10</f>
        <v>0.1719636163502479</v>
      </c>
      <c r="C17" s="760">
        <f ca="1">huishoudens!C10</f>
        <v>0.23722871872249465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32261.515060262558</v>
      </c>
      <c r="C22" s="451">
        <f t="shared" ref="C22:C32" ca="1" si="3">C4*$C$17</f>
        <v>0</v>
      </c>
      <c r="D22" s="451">
        <f t="shared" ref="D22:D32" si="4">D4*$D$17</f>
        <v>122143.03688414133</v>
      </c>
      <c r="E22" s="451">
        <f t="shared" ref="E22:E32" si="5">E4*$E$17</f>
        <v>4660.7422528426423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159065.29419724652</v>
      </c>
    </row>
    <row r="23" spans="1:17">
      <c r="A23" s="450" t="s">
        <v>155</v>
      </c>
      <c r="B23" s="451">
        <f t="shared" ca="1" si="2"/>
        <v>53334.134751858721</v>
      </c>
      <c r="C23" s="451">
        <f t="shared" ca="1" si="3"/>
        <v>106.75292342512262</v>
      </c>
      <c r="D23" s="451">
        <f t="shared" ca="1" si="4"/>
        <v>75528.116019988156</v>
      </c>
      <c r="E23" s="451">
        <f t="shared" si="5"/>
        <v>892.68093212584904</v>
      </c>
      <c r="F23" s="451">
        <f t="shared" ca="1" si="6"/>
        <v>14163.933539663665</v>
      </c>
      <c r="G23" s="451">
        <f t="shared" si="7"/>
        <v>0</v>
      </c>
      <c r="H23" s="451">
        <f t="shared" si="8"/>
        <v>0</v>
      </c>
      <c r="I23" s="451">
        <f t="shared" si="9"/>
        <v>0</v>
      </c>
      <c r="J23" s="451">
        <f t="shared" si="10"/>
        <v>0.26498079249250683</v>
      </c>
      <c r="K23" s="451">
        <f t="shared" si="11"/>
        <v>0</v>
      </c>
      <c r="L23" s="451">
        <f t="shared" ca="1" si="12"/>
        <v>0</v>
      </c>
      <c r="M23" s="451">
        <f t="shared" si="13"/>
        <v>0</v>
      </c>
      <c r="N23" s="451">
        <f t="shared" ca="1" si="14"/>
        <v>0</v>
      </c>
      <c r="O23" s="451">
        <f t="shared" si="15"/>
        <v>0</v>
      </c>
      <c r="P23" s="452">
        <f t="shared" si="16"/>
        <v>0</v>
      </c>
      <c r="Q23" s="450">
        <f t="shared" ref="Q23:Q32" ca="1" si="17">SUM(B23:P23)</f>
        <v>144025.88314785401</v>
      </c>
    </row>
    <row r="24" spans="1:17">
      <c r="A24" s="450" t="s">
        <v>193</v>
      </c>
      <c r="B24" s="451">
        <f t="shared" ca="1" si="2"/>
        <v>1378.2453941431493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1378.2453941431493</v>
      </c>
    </row>
    <row r="25" spans="1:17">
      <c r="A25" s="450" t="s">
        <v>111</v>
      </c>
      <c r="B25" s="451">
        <f t="shared" ca="1" si="2"/>
        <v>1389.6803824061892</v>
      </c>
      <c r="C25" s="451">
        <f t="shared" ca="1" si="3"/>
        <v>13.725375868944335</v>
      </c>
      <c r="D25" s="451">
        <f t="shared" si="4"/>
        <v>3255.7734641542233</v>
      </c>
      <c r="E25" s="451">
        <f t="shared" si="5"/>
        <v>53.919881872001952</v>
      </c>
      <c r="F25" s="451">
        <f t="shared" si="6"/>
        <v>8988.8317361816007</v>
      </c>
      <c r="G25" s="451">
        <f t="shared" si="7"/>
        <v>0</v>
      </c>
      <c r="H25" s="451">
        <f t="shared" si="8"/>
        <v>0</v>
      </c>
      <c r="I25" s="451">
        <f t="shared" si="9"/>
        <v>0</v>
      </c>
      <c r="J25" s="451">
        <f t="shared" si="10"/>
        <v>414.46287404514652</v>
      </c>
      <c r="K25" s="451">
        <f t="shared" si="11"/>
        <v>0</v>
      </c>
      <c r="L25" s="451">
        <f t="shared" si="12"/>
        <v>0</v>
      </c>
      <c r="M25" s="451">
        <f t="shared" si="13"/>
        <v>0</v>
      </c>
      <c r="N25" s="451">
        <f t="shared" si="14"/>
        <v>0</v>
      </c>
      <c r="O25" s="451">
        <f t="shared" si="15"/>
        <v>0</v>
      </c>
      <c r="P25" s="452">
        <f t="shared" si="16"/>
        <v>0</v>
      </c>
      <c r="Q25" s="450">
        <f t="shared" ca="1" si="17"/>
        <v>14116.393714528105</v>
      </c>
    </row>
    <row r="26" spans="1:17">
      <c r="A26" s="450" t="s">
        <v>634</v>
      </c>
      <c r="B26" s="451">
        <f t="shared" ca="1" si="2"/>
        <v>17905.011340997753</v>
      </c>
      <c r="C26" s="451">
        <f t="shared" ca="1" si="3"/>
        <v>0</v>
      </c>
      <c r="D26" s="451">
        <f t="shared" si="4"/>
        <v>34410.672413286637</v>
      </c>
      <c r="E26" s="451">
        <f t="shared" si="5"/>
        <v>1645.7397275846031</v>
      </c>
      <c r="F26" s="451">
        <f t="shared" si="6"/>
        <v>6594.7186385403402</v>
      </c>
      <c r="G26" s="451">
        <f t="shared" si="7"/>
        <v>0</v>
      </c>
      <c r="H26" s="451">
        <f t="shared" si="8"/>
        <v>0</v>
      </c>
      <c r="I26" s="451">
        <f t="shared" si="9"/>
        <v>0</v>
      </c>
      <c r="J26" s="451">
        <f t="shared" si="10"/>
        <v>74.63959789855501</v>
      </c>
      <c r="K26" s="451">
        <f t="shared" si="11"/>
        <v>0</v>
      </c>
      <c r="L26" s="451">
        <f t="shared" si="12"/>
        <v>0</v>
      </c>
      <c r="M26" s="451">
        <f t="shared" si="13"/>
        <v>0</v>
      </c>
      <c r="N26" s="451">
        <f t="shared" si="14"/>
        <v>0</v>
      </c>
      <c r="O26" s="451">
        <f t="shared" si="15"/>
        <v>0</v>
      </c>
      <c r="P26" s="452">
        <f t="shared" si="16"/>
        <v>0</v>
      </c>
      <c r="Q26" s="450">
        <f t="shared" ca="1" si="17"/>
        <v>60630.781718307881</v>
      </c>
    </row>
    <row r="27" spans="1:17" s="456" customFormat="1">
      <c r="A27" s="454" t="s">
        <v>560</v>
      </c>
      <c r="B27" s="754">
        <f t="shared" ca="1" si="2"/>
        <v>45.56979480811129</v>
      </c>
      <c r="C27" s="455">
        <f t="shared" ca="1" si="3"/>
        <v>0</v>
      </c>
      <c r="D27" s="455">
        <f t="shared" si="4"/>
        <v>149.54724680121998</v>
      </c>
      <c r="E27" s="455">
        <f t="shared" si="5"/>
        <v>291.95678010644957</v>
      </c>
      <c r="F27" s="455">
        <f t="shared" si="6"/>
        <v>0</v>
      </c>
      <c r="G27" s="455">
        <f t="shared" si="7"/>
        <v>155867.94509106898</v>
      </c>
      <c r="H27" s="455">
        <f t="shared" si="8"/>
        <v>31274.776098196744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187629.7950109815</v>
      </c>
    </row>
    <row r="28" spans="1:17">
      <c r="A28" s="450" t="s">
        <v>550</v>
      </c>
      <c r="B28" s="451">
        <f t="shared" ca="1" si="2"/>
        <v>142.56492715443954</v>
      </c>
      <c r="C28" s="451">
        <f t="shared" ca="1" si="3"/>
        <v>0</v>
      </c>
      <c r="D28" s="451">
        <f t="shared" si="4"/>
        <v>0</v>
      </c>
      <c r="E28" s="451">
        <f t="shared" si="5"/>
        <v>0</v>
      </c>
      <c r="F28" s="451">
        <f t="shared" si="6"/>
        <v>0</v>
      </c>
      <c r="G28" s="451">
        <f t="shared" si="7"/>
        <v>5828.5540881301222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5971.119015284562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1810.2406174818764</v>
      </c>
      <c r="C32" s="451">
        <f t="shared" ca="1" si="3"/>
        <v>0</v>
      </c>
      <c r="D32" s="451">
        <f t="shared" si="4"/>
        <v>6312.8741118710714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8123.1147293529475</v>
      </c>
    </row>
    <row r="33" spans="1:17" s="460" customFormat="1">
      <c r="A33" s="1005" t="s">
        <v>554</v>
      </c>
      <c r="B33" s="953">
        <f ca="1">SUM(B22:B32)</f>
        <v>108266.96226911279</v>
      </c>
      <c r="C33" s="953">
        <f t="shared" ref="C33:Q33" ca="1" si="18">SUM(C22:C32)</f>
        <v>120.47829929406696</v>
      </c>
      <c r="D33" s="953">
        <f t="shared" ca="1" si="18"/>
        <v>241800.02014024262</v>
      </c>
      <c r="E33" s="953">
        <f t="shared" si="18"/>
        <v>7545.0395745315454</v>
      </c>
      <c r="F33" s="953">
        <f t="shared" ca="1" si="18"/>
        <v>29747.483914385608</v>
      </c>
      <c r="G33" s="953">
        <f t="shared" si="18"/>
        <v>161696.49917919911</v>
      </c>
      <c r="H33" s="953">
        <f t="shared" si="18"/>
        <v>31274.776098196744</v>
      </c>
      <c r="I33" s="953">
        <f t="shared" si="18"/>
        <v>0</v>
      </c>
      <c r="J33" s="953">
        <f t="shared" si="18"/>
        <v>489.36745273619402</v>
      </c>
      <c r="K33" s="953">
        <f t="shared" si="18"/>
        <v>0</v>
      </c>
      <c r="L33" s="953">
        <f t="shared" ca="1" si="18"/>
        <v>0</v>
      </c>
      <c r="M33" s="953">
        <f t="shared" si="18"/>
        <v>0</v>
      </c>
      <c r="N33" s="953">
        <f t="shared" ca="1" si="18"/>
        <v>0</v>
      </c>
      <c r="O33" s="953">
        <f t="shared" si="18"/>
        <v>0</v>
      </c>
      <c r="P33" s="953">
        <f t="shared" si="18"/>
        <v>0</v>
      </c>
      <c r="Q33" s="953">
        <f t="shared" ca="1" si="18"/>
        <v>580940.62692769873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107653.00782841453</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32068.777052012563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344.25000000000006</v>
      </c>
      <c r="D8" s="1022">
        <f>'SEAP template'!D76</f>
        <v>404.28706148623166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81.6659864202188</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139721.78488042709</v>
      </c>
      <c r="C10" s="1026">
        <f>SUM(C4:C9)</f>
        <v>344.25000000000006</v>
      </c>
      <c r="D10" s="1026">
        <f t="shared" ref="D10:H10" si="0">SUM(D8:D9)</f>
        <v>404.28706148623166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81.6659864202188</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0.1719636163502479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507.857142857143</v>
      </c>
      <c r="D17" s="1023">
        <f>'SEAP template'!D87</f>
        <v>596.42722422805423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120.47829929406696</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507.857142857143</v>
      </c>
      <c r="D20" s="1026">
        <f t="shared" ref="D20:H20" si="2">SUM(D17:D19)</f>
        <v>596.42722422805423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120.47829929406696</v>
      </c>
    </row>
    <row r="22" spans="1:16">
      <c r="A22" s="461" t="s">
        <v>848</v>
      </c>
      <c r="B22" s="760" t="s">
        <v>842</v>
      </c>
      <c r="C22" s="760">
        <f ca="1">'EF ele_warmte'!B22</f>
        <v>0.23722871872249465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0.1719636163502479</v>
      </c>
      <c r="C17" s="498">
        <f ca="1">'EF ele_warmte'!B22</f>
        <v>0.23722871872249465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4</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6.2533333333333339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2020-06-20T15:43:24Z</dcterms:modified>
</cp:coreProperties>
</file>