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J77" i="14" s="1"/>
  <c r="J9" i="61"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F13" i="15" s="1"/>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B8" i="18"/>
  <c r="B47" i="18"/>
  <c r="D51"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C51" i="18"/>
  <c r="B51" i="18"/>
  <c r="C17" i="18" s="1"/>
  <c r="H51"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1" i="18"/>
  <c r="E17" i="18" s="1"/>
  <c r="I51" i="18"/>
  <c r="H17" i="18" s="1"/>
  <c r="G51" i="18"/>
  <c r="O9" i="18"/>
  <c r="F51"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C10" i="18"/>
  <c r="C88" i="14"/>
  <c r="C18" i="61" s="1"/>
  <c r="F76" i="14"/>
  <c r="E10" i="18"/>
  <c r="I17" i="18"/>
  <c r="I10" i="18"/>
  <c r="I76" i="14"/>
  <c r="I8" i="61" s="1"/>
  <c r="I10" i="61" s="1"/>
  <c r="Q88" i="14"/>
  <c r="P18" i="61" s="1"/>
  <c r="I33" i="48"/>
  <c r="O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F24" i="14"/>
  <c r="F26" i="14" s="1"/>
  <c r="E7" i="48"/>
  <c r="E25" i="48" s="1"/>
  <c r="P16" i="14"/>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N52" i="14"/>
  <c r="N61" i="14" s="1"/>
  <c r="E5" i="48"/>
  <c r="E23" i="48" s="1"/>
  <c r="F10" i="14"/>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K13" i="14" l="1"/>
  <c r="K16" i="14" s="1"/>
  <c r="K27" i="14" s="1"/>
  <c r="J8" i="48"/>
  <c r="J26" i="48" s="1"/>
  <c r="J33" i="48" s="1"/>
  <c r="E8" i="48"/>
  <c r="E26" i="48" s="1"/>
  <c r="E33" i="48" s="1"/>
  <c r="F13" i="14"/>
  <c r="F16" i="14" s="1"/>
  <c r="F27" i="14" s="1"/>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<sst xmlns="http://schemas.openxmlformats.org/spreadsheetml/2006/main" count="2425" uniqueCount="899">
  <si>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</si>
  <si>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</si>
  <si>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</si>
  <si>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</si>
  <si>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</si>
  <si>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</si>
  <si>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</si>
  <si>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</si>
  <si>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</si>
  <si>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</si>
  <si>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</si>
  <si>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</si>
  <si>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</si>
  <si>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</si>
  <si>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</si>
  <si>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</si>
  <si>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</si>
  <si>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</si>
  <si>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</si>
  <si>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</si>
  <si>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</si>
  <si>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</si>
  <si>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</si>
  <si>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</si>
  <si>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</si>
  <si>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</si>
  <si>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</si>
  <si>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</si>
  <si>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</si>
  <si>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</si>
  <si>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</si>
  <si>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</si>
  <si>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</si>
  <si>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</si>
  <si>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</si>
  <si>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</si>
  <si>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</si>
  <si>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</si>
  <si>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</si>
  <si>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</si>
  <si>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</si>
  <si>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</si>
  <si>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</si>
  <si>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</si>
  <si>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</si>
  <si>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</si>
  <si>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</si>
  <si>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</si>
  <si>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</si>
  <si>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</si>
  <si>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</si>
  <si>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</si>
  <si>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</si>
  <si>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</si>
  <si>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</si>
  <si>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</si>
  <si>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</si>
  <si>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</si>
  <si>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</si>
  <si>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</si>
  <si>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</si>
  <si>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</si>
  <si>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</si>
  <si>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</si>
  <si>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</si>
  <si>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</si>
  <si>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</si>
  <si>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</si>
  <si>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</si>
  <si>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</si>
  <si>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</si>
  <si>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</si>
  <si>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</si>
  <si>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</si>
  <si>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</si>
  <si>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</si>
  <si>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</si>
  <si>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</si>
  <si>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</si>
  <si>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</si>
  <si>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</si>
  <si>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</si>
  <si>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</si>
  <si>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</si>
  <si>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</si>
  <si>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</si>
  <si>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</si>
  <si>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</si>
  <si>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</si>
  <si>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</si>
  <si>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</si>
  <si>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</si>
  <si>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</si>
  <si>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</si>
  <si>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</si>
  <si>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</si>
  <si>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</si>
  <si>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</si>
  <si>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</si>
  <si>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</si>
  <si>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</si>
  <si>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</si>
  <si>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</si>
  <si>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</si>
  <si>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</si>
  <si>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</si>
  <si>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</si>
  <si>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</si>
  <si>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</si>
  <si>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</si>
  <si>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</si>
  <si>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</si>
  <si>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</si>
  <si>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</si>
  <si>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</si>
  <si>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</si>
  <si>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</si>
  <si>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</si>
  <si>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</si>
  <si>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</si>
  <si>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</si>
  <si>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</si>
  <si>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</si>
  <si>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</si>
  <si>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</si>
  <si>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</si>
  <si>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</si>
  <si>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</si>
  <si>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</si>
  <si>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</si>
  <si>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</si>
  <si>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</si>
  <si>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</si>
  <si>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</si>
  <si>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</si>
  <si>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</si>
  <si>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</si>
  <si>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</si>
  <si>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</si>
  <si>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</si>
  <si>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</si>
  <si>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</si>
  <si>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</si>
  <si>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</si>
  <si>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</si>
  <si>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</si>
  <si>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</si>
  <si>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</si>
  <si>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</si>
  <si>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</si>
  <si>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</si>
  <si>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</si>
  <si>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</si>
  <si>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</si>
  <si>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</si>
  <si>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</si>
  <si>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</si>
  <si>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</si>
  <si>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</si>
  <si>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</si>
  <si>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</si>
  <si>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</si>
  <si>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</si>
  <si>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</si>
  <si>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</si>
  <si>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</si>
  <si>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</si>
  <si>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</si>
  <si>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</si>
  <si>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</si>
  <si>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</si>
  <si>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</si>
  <si>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</si>
  <si>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</si>
  <si>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</si>
  <si>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</si>
  <si>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</si>
  <si>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</si>
  <si>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</si>
  <si>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</si>
  <si>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</si>
  <si>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</si>
  <si>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</si>
  <si>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</si>
  <si>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</si>
  <si>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</si>
  <si>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</si>
  <si>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</si>
  <si>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</si>
  <si>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</si>
  <si>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</si>
  <si>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</si>
  <si>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</si>
  <si>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</si>
  <si>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</si>
  <si>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</si>
  <si>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</si>
  <si>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</si>
  <si>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</si>
  <si>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</si>
  <si>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</si>
  <si>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</si>
  <si>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</si>
  <si>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</si>
  <si>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</si>
  <si>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</si>
  <si>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</si>
  <si>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</si>
  <si>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</si>
  <si>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</si>
  <si>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</si>
  <si>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</si>
  <si>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</si>
  <si>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</si>
  <si>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</si>
  <si>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</si>
  <si>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</si>
  <si>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</si>
  <si>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</si>
  <si>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</si>
  <si>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</si>
  <si>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</si>
  <si>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</si>
  <si>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</si>
  <si>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</si>
  <si>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</si>
  <si>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</si>
  <si>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</si>
  <si>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</si>
  <si>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</si>
  <si>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</si>
  <si>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</si>
  <si>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</si>
  <si>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</si>
  <si>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</si>
  <si>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</si>
  <si>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</si>
  <si>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</si>
  <si>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</si>
  <si>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</si>
  <si>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</si>
  <si>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</si>
  <si>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</si>
  <si>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</si>
  <si>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</si>
  <si>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</si>
  <si>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</si>
  <si>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</si>
  <si>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</si>
  <si>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</si>
  <si>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</si>
  <si>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</si>
  <si>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</si>
  <si>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</si>
  <si>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</si>
  <si>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</si>
  <si>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</si>
  <si>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</si>
  <si>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</si>
  <si>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</si>
  <si>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</si>
  <si>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</si>
  <si>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</si>
  <si>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</si>
  <si>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</si>
  <si>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</si>
  <si>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</si>
  <si>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</si>
  <si>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</si>
  <si>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</si>
  <si>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</si>
  <si>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</si>
  <si>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</si>
  <si>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</si>
  <si>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</si>
  <si>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</si>
  <si>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</si>
  <si>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</si>
  <si>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</si>
  <si>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</si>
  <si>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</si>
  <si>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</si>
  <si>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</si>
  <si>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</si>
  <si>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</si>
  <si>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</si>
  <si>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</si>
  <si>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</si>
  <si>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</si>
  <si>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</si>
  <si>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</si>
  <si>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</si>
  <si>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</si>
  <si>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</si>
  <si>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</si>
  <si>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</si>
  <si>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</si>
  <si>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</si>
  <si>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</si>
  <si>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</si>
  <si>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</si>
  <si>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</si>
  <si>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</si>
  <si>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</si>
  <si>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</si>
  <si>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</si>
  <si>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</si>
  <si>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</si>
  <si>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</si>
  <si>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</si>
  <si>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</si>
  <si>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</si>
  <si>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</si>
  <si>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</si>
  <si>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</si>
  <si>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</si>
  <si>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</si>
  <si>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</si>
  <si>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</si>
  <si>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</si>
  <si>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</si>
  <si>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</si>
  <si>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</si>
  <si>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</si>
  <si>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</si>
  <si>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</si>
  <si>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</si>
  <si>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</si>
  <si>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</si>
  <si>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</si>
  <si>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</si>
  <si>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</si>
  <si>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</si>
  <si>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</si>
  <si>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</si>
  <si>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</si>
  <si>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</si>
  <si>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</si>
  <si>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</si>
  <si>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</si>
  <si>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</si>
  <si>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</si>
  <si>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</si>
  <si>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</si>
  <si>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</si>
  <si>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</si>
  <si>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</si>
  <si>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</si>
  <si>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</si>
  <si>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</si>
  <si>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</si>
  <si>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</si>
  <si>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</si>
  <si>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</si>
  <si>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</si>
  <si>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</si>
  <si>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</si>
  <si>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</si>
  <si>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</si>
  <si>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</si>
  <si>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</si>
  <si>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</si>
  <si>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</si>
  <si>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</si>
  <si>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</si>
  <si>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</si>
  <si>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</si>
  <si>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</si>
  <si>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</si>
  <si>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</si>
  <si>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</si>
  <si>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</si>
  <si>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</si>
  <si>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</si>
  <si>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</si>
  <si>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</si>
  <si>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</si>
  <si>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</si>
  <si>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</si>
  <si>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</si>
  <si>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</si>
  <si>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</si>
  <si>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</si>
  <si>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</si>
  <si>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</si>
  <si>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</si>
  <si>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</si>
  <si>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</si>
  <si>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</si>
  <si>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</si>
  <si>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</si>
  <si>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</si>
  <si>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</si>
  <si>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</si>
  <si>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</si>
  <si>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</si>
  <si>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</si>
  <si>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</si>
  <si>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</si>
  <si>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</si>
  <si>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</si>
  <si>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</si>
  <si>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</si>
  <si>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</si>
  <si>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</si>
  <si>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</si>
  <si>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</si>
  <si>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</si>
  <si>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</si>
  <si>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</si>
  <si>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</si>
  <si>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</si>
  <si>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</si>
  <si>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</si>
  <si>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</si>
  <si>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</si>
  <si>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</si>
  <si>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</si>
  <si>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</si>
  <si>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</si>
  <si>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</si>
  <si>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</si>
  <si>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</si>
  <si>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</si>
  <si>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</si>
  <si>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</si>
  <si>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</si>
  <si>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</si>
  <si>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</si>
  <si>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</si>
  <si>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</si>
  <si>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</si>
  <si>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</si>
  <si>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</si>
  <si>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</si>
  <si>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</si>
  <si>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</si>
  <si>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</si>
  <si>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</si>
  <si>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</si>
  <si>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</si>
  <si>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</si>
  <si>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</si>
  <si>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</si>
  <si>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</si>
  <si>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</si>
  <si>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</si>
  <si>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</si>
  <si>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</si>
  <si>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</si>
  <si>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</si>
  <si>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</si>
  <si>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</si>
  <si>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</si>
  <si>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</si>
  <si>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</si>
  <si>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</si>
  <si>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</si>
  <si>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</si>
  <si>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</si>
  <si>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</si>
  <si>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</si>
  <si>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</si>
  <si>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</si>
  <si>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</si>
  <si>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</si>
  <si>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</si>
  <si>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</si>
  <si>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</si>
  <si>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</si>
  <si>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</si>
  <si>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</si>
  <si>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</si>
  <si>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</si>
  <si>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</si>
  <si>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</si>
  <si>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</si>
  <si>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</si>
  <si>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</si>
  <si>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</si>
  <si>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</si>
  <si>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</si>
  <si>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</si>
  <si>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</si>
  <si>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</si>
  <si>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</si>
  <si>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</si>
  <si>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</si>
  <si>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</si>
  <si>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</si>
  <si>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</si>
  <si>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</si>
  <si>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</si>
  <si>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</si>
  <si>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</si>
  <si>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</si>
  <si>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</si>
  <si>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</si>
  <si>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</si>
  <si>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</si>
  <si>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</si>
  <si>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</si>
  <si>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</si>
  <si>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</si>
  <si>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</si>
  <si>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</si>
  <si>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</si>
  <si>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</si>
  <si>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</si>
  <si>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</si>
  <si>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</si>
  <si>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</si>
  <si>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</si>
  <si>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</si>
  <si>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</si>
  <si>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</si>
  <si>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</si>
  <si>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</si>
  <si>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</si>
  <si>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</si>
  <si>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</si>
  <si>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</si>
  <si>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</si>
  <si>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</si>
  <si>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</si>
  <si>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</si>
  <si>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</si>
  <si>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</si>
  <si>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</si>
  <si>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</si>
  <si>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</si>
  <si>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</si>
  <si>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</si>
  <si>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</si>
  <si>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</si>
  <si>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</si>
  <si>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</si>
  <si>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</si>
  <si>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</si>
  <si>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</si>
  <si>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</si>
  <si>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</si>
  <si>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</si>
  <si>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</si>
  <si>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</si>
  <si>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</si>
  <si>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</si>
  <si>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</si>
  <si>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</si>
  <si>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</si>
  <si>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</si>
  <si>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</si>
  <si>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</si>
  <si>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</si>
  <si>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</si>
  <si>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</si>
  <si>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</si>
  <si>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</si>
  <si>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</si>
  <si>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</si>
  <si>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</si>
  <si>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</si>
  <si>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</si>
  <si>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</si>
  <si>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</si>
  <si>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</si>
  <si>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</si>
  <si>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</si>
  <si>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</si>
  <si>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</si>
  <si>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</si>
  <si>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</si>
  <si>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</si>
  <si>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</si>
  <si>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</si>
  <si>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</si>
  <si>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</si>
  <si>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</si>
  <si>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</si>
  <si>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</si>
  <si>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</si>
  <si>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</si>
  <si>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</si>
  <si>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</si>
  <si>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</si>
  <si>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</si>
  <si>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</si>
  <si>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</si>
  <si>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</si>
  <si>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</si>
  <si>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</si>
  <si>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</si>
  <si>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</si>
  <si>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</si>
  <si>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</si>
  <si>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</si>
  <si>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</si>
  <si>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</si>
  <si>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</si>
  <si>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</si>
  <si>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</si>
  <si>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</si>
  <si>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</si>
  <si>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</si>
  <si>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</si>
  <si>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</si>
  <si>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</si>
  <si>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</si>
  <si>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</si>
  <si>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</si>
  <si>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</si>
  <si>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</si>
  <si>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</si>
  <si>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</si>
  <si>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</si>
  <si>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</si>
  <si>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</si>
  <si>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</si>
  <si>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</si>
  <si>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</si>
  <si>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</si>
  <si>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</si>
  <si>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</si>
  <si>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</si>
  <si>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</si>
  <si>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</si>
  <si>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</si>
  <si>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</si>
  <si>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</si>
  <si>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</si>
  <si>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</si>
  <si>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</si>
  <si>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</si>
  <si>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</si>
  <si>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</si>
  <si>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</si>
  <si>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</si>
  <si>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</si>
  <si>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</si>
  <si>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</si>
  <si>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</si>
  <si>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</si>
  <si>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</si>
  <si>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</si>
  <si>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</si>
  <si>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</si>
  <si>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</si>
  <si>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</si>
  <si>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</si>
  <si>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</si>
  <si>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</si>
  <si>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</si>
  <si>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</si>
  <si>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</si>
  <si>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</si>
  <si>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</si>
  <si>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</si>
  <si>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</si>
  <si>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</si>
  <si>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</si>
  <si>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</si>
  <si>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</si>
  <si>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</si>
  <si>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</si>
  <si>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</si>
  <si>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</si>
  <si>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</si>
  <si>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</si>
  <si>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</si>
  <si>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</si>
  <si>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</si>
  <si>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</si>
  <si>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</si>
  <si>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</si>
  <si>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</si>
  <si>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</si>
  <si>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</si>
  <si>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</si>
  <si>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</si>
  <si>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</si>
  <si>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</si>
  <si>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</si>
  <si>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</si>
  <si>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</si>
  <si>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</si>
  <si>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</si>
  <si>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</si>
  <si>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</si>
  <si>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</si>
  <si>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</si>
  <si>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</si>
  <si>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</si>
  <si>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</si>
  <si>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</si>
  <si>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</si>
  <si>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</si>
  <si>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</si>
  <si>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</si>
  <si>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</si>
  <si>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</si>
  <si>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</si>
  <si>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</si>
  <si>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</si>
  <si>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</si>
  <si>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</si>
  <si>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</si>
  <si>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</si>
  <si>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</si>
  <si>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</si>
  <si>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</si>
  <si>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</si>
  <si>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</si>
  <si>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</si>
  <si>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</si>
  <si>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</si>
  <si>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</si>
  <si>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</si>
  <si>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</si>
  <si>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</si>
  <si>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</si>
  <si>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</si>
  <si>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</si>
  <si>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</si>
  <si>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</si>
  <si>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</si>
  <si>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</si>
  <si>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</si>
  <si>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</si>
  <si>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</si>
  <si>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</si>
  <si>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</si>
  <si>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</si>
  <si>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</si>
  <si>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</si>
  <si>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</si>
  <si>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</si>
  <si>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</si>
  <si>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</si>
  <si>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</si>
  <si>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</si>
  <si>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</si>
  <si>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</si>
  <si>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</si>
  <si>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</si>
  <si>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</si>
  <si>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</si>
  <si>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</si>
  <si>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</si>
  <si>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</si>
  <si>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</si>
  <si>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</si>
  <si>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</si>
  <si>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</si>
  <si>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</si>
  <si>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</si>
  <si>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</si>
  <si>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</si>
  <si>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</si>
  <si>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</si>
  <si>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</si>
  <si>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</si>
  <si>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</si>
  <si>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</si>
  <si>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</si>
  <si>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</si>
  <si>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</si>
  <si>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</si>
  <si>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</si>
  <si>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</si>
  <si>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</si>
  <si>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</si>
  <si>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</si>
  <si>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</si>
  <si>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</si>
  <si>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</si>
  <si>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</si>
  <si>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</si>
  <si>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</si>
  <si>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</si>
  <si>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</si>
  <si>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</si>
  <si>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</si>
  <si>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</si>
  <si>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</si>
  <si>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</si>
  <si>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</si>
  <si>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</si>
  <si>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</si>
  <si>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</si>
  <si>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</si>
  <si>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</si>
  <si>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</si>
  <si>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</si>
  <si>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</si>
  <si>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</si>
  <si>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</si>
  <si>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</si>
  <si>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</si>
  <si>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</si>
  <si>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</si>
  <si>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</si>
  <si>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</si>
  <si>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</si>
  <si>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</si>
  <si>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</si>
  <si>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</si>
  <si>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</si>
  <si>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</si>
  <si>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</si>
  <si>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</si>
  <si>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</si>
  <si>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</si>
  <si>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</si>
  <si>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</si>
  <si>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</si>
  <si>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</si>
  <si>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</si>
  <si>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</si>
  <si>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</si>
  <si>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</si>
  <si>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</si>
  <si>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</si>
  <si>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</si>
  <si>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</si>
  <si>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</si>
  <si>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</si>
  <si>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</si>
  <si>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</si>
  <si>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</si>
  <si>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</si>
  <si>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</si>
  <si>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</si>
  <si>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</si>
  <si>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</si>
  <si>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</si>
  <si>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</si>
  <si>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</si>
  <si>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</si>
  <si>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</si>
  <si>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</si>
  <si>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</si>
  <si>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</si>
  <si>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</si>
  <si>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</si>
  <si>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</si>
  <si>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</si>
  <si>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</si>
  <si>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</si>
  <si>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</si>
  <si>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</si>
  <si>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</si>
  <si>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</si>
  <si>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</si>
  <si>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</si>
  <si>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</si>
  <si>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</si>
  <si>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</si>
  <si>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</si>
  <si>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</si>
  <si>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</si>
  <si>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</si>
  <si>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</si>
  <si>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</si>
  <si>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</si>
  <si>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</si>
  <si>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</si>
  <si>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</si>
  <si>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</si>
  <si>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</si>
  <si>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</si>
  <si>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</si>
  <si>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</si>
  <si>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</si>
  <si>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</si>
  <si>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</si>
  <si>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</si>
  <si>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</si>
  <si>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</si>
  <si>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</si>
  <si>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</si>
  <si>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</si>
  <si>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</si>
  <si>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</si>
  <si>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31003</t>
  </si>
  <si>
    <t>BEERNEM</t>
  </si>
  <si>
    <t>Fluvius</t>
  </si>
  <si>
    <t>referentietaak LNE (2017); Jaarverslag De Lijn</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</si>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</sst>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145540.26627047805</c:v>
                </c:pt>
                <c:pt idx="1">
                  <c:v>68376.793955788569</c:v>
                </c:pt>
                <c:pt idx="2">
                  <c:v>1113.2360000000001</c:v>
                </c:pt>
                <c:pt idx="3">
                  <c:v>39120.551650765359</c:v>
                </c:pt>
                <c:pt idx="4">
                  <c:v>47635.030106983293</c:v>
                </c:pt>
                <c:pt idx="5">
                  <c:v>270877.57639200334</c:v>
                </c:pt>
                <c:pt idx="6">
                  <c:v>1039.9267627051145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145540.26627047805</c:v>
                </c:pt>
                <c:pt idx="1">
                  <c:v>68376.793955788569</c:v>
                </c:pt>
                <c:pt idx="2">
                  <c:v>1113.2360000000001</c:v>
                </c:pt>
                <c:pt idx="3">
                  <c:v>39120.551650765359</c:v>
                </c:pt>
                <c:pt idx="4">
                  <c:v>47635.030106983293</c:v>
                </c:pt>
                <c:pt idx="5">
                  <c:v>270877.57639200334</c:v>
                </c:pt>
                <c:pt idx="6">
                  <c:v>1039.9267627051145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23496.568534276623</c:v>
                </c:pt>
                <c:pt idx="2">
                  <c:v>12567.951323125943</c:v>
                </c:pt>
                <c:pt idx="3">
                  <c:v>183.89187215812944</c:v>
                </c:pt>
                <c:pt idx="4">
                  <c:v>5788.1883176572892</c:v>
                </c:pt>
                <c:pt idx="5">
                  <c:v>9184.9729462793548</c:v>
                </c:pt>
                <c:pt idx="6">
                  <c:v>67891.599287521793</c:v>
                </c:pt>
                <c:pt idx="7">
                  <c:v>262.73914908350503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23496.568534276623</c:v>
                </c:pt>
                <c:pt idx="2">
                  <c:v>12567.951323125943</c:v>
                </c:pt>
                <c:pt idx="3">
                  <c:v>183.89187215812944</c:v>
                </c:pt>
                <c:pt idx="4">
                  <c:v>5788.1883176572892</c:v>
                </c:pt>
                <c:pt idx="5">
                  <c:v>9184.9729462793548</c:v>
                </c:pt>
                <c:pt idx="6">
                  <c:v>67891.599287521793</c:v>
                </c:pt>
                <c:pt idx="7">
                  <c:v>262.73914908350503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31003</v>
      </c>
      <c r="B6" s="390"/>
      <c r="C6" s="391"/>
    </row>
    <row r="7" spans="1:7" s="388" customFormat="1" ht="15.75" customHeight="1">
      <c r="A7" s="392" t="str">
        <f>txtMunicipality</f>
        <v>BEERNEM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19165.770997265256</v>
      </c>
      <c r="D10" s="979">
        <f ca="1">tertiair!C16</f>
        <v>0</v>
      </c>
      <c r="E10" s="979">
        <f ca="1">tertiair!D16</f>
        <v>42605.038668615016</v>
      </c>
      <c r="F10" s="979">
        <f>tertiair!E16</f>
        <v>260.68792609958979</v>
      </c>
      <c r="G10" s="979">
        <f ca="1">tertiair!F16</f>
        <v>3447.4967242543062</v>
      </c>
      <c r="H10" s="979">
        <f>tertiair!G16</f>
        <v>0</v>
      </c>
      <c r="I10" s="979">
        <f>tertiair!H16</f>
        <v>0</v>
      </c>
      <c r="J10" s="979">
        <f>tertiair!I16</f>
        <v>0</v>
      </c>
      <c r="K10" s="979">
        <f>tertiair!J16</f>
        <v>0.10047740596992021</v>
      </c>
      <c r="L10" s="979">
        <f>tertiair!K16</f>
        <v>0</v>
      </c>
      <c r="M10" s="979">
        <f ca="1">tertiair!L16</f>
        <v>0</v>
      </c>
      <c r="N10" s="979">
        <f>tertiair!M16</f>
        <v>0</v>
      </c>
      <c r="O10" s="979">
        <f ca="1">tertiair!N16</f>
        <v>3961.8584954817766</v>
      </c>
      <c r="P10" s="979">
        <f>tertiair!O16</f>
        <v>10.943333333333335</v>
      </c>
      <c r="Q10" s="980">
        <f>tertiair!P16</f>
        <v>38.133333333333333</v>
      </c>
      <c r="R10" s="674">
        <f ca="1">SUM(C10:Q10)</f>
        <v>69490.029955788574</v>
      </c>
      <c r="S10" s="67"/>
    </row>
    <row r="11" spans="1:19" s="447" customFormat="1">
      <c r="A11" s="783" t="s">
        <v>224</v>
      </c>
      <c r="B11" s="788"/>
      <c r="C11" s="979">
        <f>huishoudens!B8</f>
        <v>29111.383330671888</v>
      </c>
      <c r="D11" s="979">
        <f>huishoudens!C8</f>
        <v>0</v>
      </c>
      <c r="E11" s="979">
        <f>huishoudens!D8</f>
        <v>48654.252711610046</v>
      </c>
      <c r="F11" s="979">
        <f>huishoudens!E8</f>
        <v>23780.427124286864</v>
      </c>
      <c r="G11" s="979">
        <f>huishoudens!F8</f>
        <v>11351.757060885335</v>
      </c>
      <c r="H11" s="979">
        <f>huishoudens!G8</f>
        <v>0</v>
      </c>
      <c r="I11" s="979">
        <f>huishoudens!H8</f>
        <v>0</v>
      </c>
      <c r="J11" s="979">
        <f>huishoudens!I8</f>
        <v>0</v>
      </c>
      <c r="K11" s="979">
        <f>huishoudens!J8</f>
        <v>1216.1516091584119</v>
      </c>
      <c r="L11" s="979">
        <f>huishoudens!K8</f>
        <v>0</v>
      </c>
      <c r="M11" s="979">
        <f>huishoudens!L8</f>
        <v>0</v>
      </c>
      <c r="N11" s="979">
        <f>huishoudens!M8</f>
        <v>0</v>
      </c>
      <c r="O11" s="979">
        <f>huishoudens!N8</f>
        <v>29512.581100532199</v>
      </c>
      <c r="P11" s="979">
        <f>huishoudens!O8</f>
        <v>540.91333333333341</v>
      </c>
      <c r="Q11" s="980">
        <f>huishoudens!P8</f>
        <v>1372.8</v>
      </c>
      <c r="R11" s="674">
        <f>SUM(C11:Q11)</f>
        <v>145540.26627047805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17738.270712530939</v>
      </c>
      <c r="D13" s="979">
        <f>industrie!C18</f>
        <v>0</v>
      </c>
      <c r="E13" s="979">
        <f>industrie!D18</f>
        <v>20486.297351421403</v>
      </c>
      <c r="F13" s="979">
        <f>industrie!E18</f>
        <v>2010.0951033712054</v>
      </c>
      <c r="G13" s="979">
        <f>industrie!F18</f>
        <v>6196.5929842963687</v>
      </c>
      <c r="H13" s="979">
        <f>industrie!G18</f>
        <v>0</v>
      </c>
      <c r="I13" s="979">
        <f>industrie!H18</f>
        <v>0</v>
      </c>
      <c r="J13" s="979">
        <f>industrie!I18</f>
        <v>0</v>
      </c>
      <c r="K13" s="979">
        <f>industrie!J18</f>
        <v>16.47207166022288</v>
      </c>
      <c r="L13" s="979">
        <f>industrie!K18</f>
        <v>0</v>
      </c>
      <c r="M13" s="979">
        <f>industrie!L18</f>
        <v>0</v>
      </c>
      <c r="N13" s="979">
        <f>industrie!M18</f>
        <v>0</v>
      </c>
      <c r="O13" s="979">
        <f>industrie!N18</f>
        <v>1187.3018837031584</v>
      </c>
      <c r="P13" s="979">
        <f>industrie!O18</f>
        <v>0</v>
      </c>
      <c r="Q13" s="980">
        <f>industrie!P18</f>
        <v>0</v>
      </c>
      <c r="R13" s="674">
        <f>SUM(C13:Q13)</f>
        <v>47635.030106983293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66015.425040468079</v>
      </c>
      <c r="D16" s="706">
        <f t="shared" ref="D16:R16" ca="1" si="0">SUM(D9:D15)</f>
        <v>0</v>
      </c>
      <c r="E16" s="706">
        <f t="shared" ca="1" si="0"/>
        <v>111745.58873164648</v>
      </c>
      <c r="F16" s="706">
        <f t="shared" si="0"/>
        <v>26051.210153757656</v>
      </c>
      <c r="G16" s="706">
        <f t="shared" ca="1" si="0"/>
        <v>20995.846769436008</v>
      </c>
      <c r="H16" s="706">
        <f t="shared" si="0"/>
        <v>0</v>
      </c>
      <c r="I16" s="706">
        <f t="shared" si="0"/>
        <v>0</v>
      </c>
      <c r="J16" s="706">
        <f t="shared" si="0"/>
        <v>0</v>
      </c>
      <c r="K16" s="706">
        <f t="shared" si="0"/>
        <v>1232.7241582246047</v>
      </c>
      <c r="L16" s="706">
        <f t="shared" si="0"/>
        <v>0</v>
      </c>
      <c r="M16" s="706">
        <f t="shared" ca="1" si="0"/>
        <v>0</v>
      </c>
      <c r="N16" s="706">
        <f t="shared" si="0"/>
        <v>0</v>
      </c>
      <c r="O16" s="706">
        <f t="shared" ca="1" si="0"/>
        <v>34661.74147971713</v>
      </c>
      <c r="P16" s="706">
        <f t="shared" si="0"/>
        <v>551.8566666666668</v>
      </c>
      <c r="Q16" s="706">
        <f t="shared" si="0"/>
        <v>1410.9333333333334</v>
      </c>
      <c r="R16" s="706">
        <f t="shared" ca="1" si="0"/>
        <v>262665.32633324992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984.04175686705992</v>
      </c>
      <c r="I19" s="979">
        <f>transport!H54</f>
        <v>0</v>
      </c>
      <c r="J19" s="979">
        <f>transport!I54</f>
        <v>0</v>
      </c>
      <c r="K19" s="979">
        <f>transport!J54</f>
        <v>0</v>
      </c>
      <c r="L19" s="979">
        <f>transport!K54</f>
        <v>0</v>
      </c>
      <c r="M19" s="979">
        <f>transport!L54</f>
        <v>0</v>
      </c>
      <c r="N19" s="979">
        <f>transport!M54</f>
        <v>55.885005838054511</v>
      </c>
      <c r="O19" s="979">
        <f>transport!N54</f>
        <v>0</v>
      </c>
      <c r="P19" s="979">
        <f>transport!O54</f>
        <v>0</v>
      </c>
      <c r="Q19" s="980">
        <f>transport!P54</f>
        <v>0</v>
      </c>
      <c r="R19" s="674">
        <f>SUM(C19:Q19)</f>
        <v>1039.9267627051145</v>
      </c>
      <c r="S19" s="67"/>
    </row>
    <row r="20" spans="1:19" s="447" customFormat="1">
      <c r="A20" s="783" t="s">
        <v>306</v>
      </c>
      <c r="B20" s="788"/>
      <c r="C20" s="979">
        <f>transport!B14</f>
        <v>83.30710066717603</v>
      </c>
      <c r="D20" s="979">
        <f>transport!C14</f>
        <v>0</v>
      </c>
      <c r="E20" s="979">
        <f>transport!D14</f>
        <v>221.13333505411211</v>
      </c>
      <c r="F20" s="979">
        <f>transport!E14</f>
        <v>434.55226107573253</v>
      </c>
      <c r="G20" s="979">
        <f>transport!F14</f>
        <v>0</v>
      </c>
      <c r="H20" s="979">
        <f>transport!G14</f>
        <v>217822.06383573543</v>
      </c>
      <c r="I20" s="979">
        <f>transport!H14</f>
        <v>38457.970741284837</v>
      </c>
      <c r="J20" s="979">
        <f>transport!I14</f>
        <v>0</v>
      </c>
      <c r="K20" s="979">
        <f>transport!J14</f>
        <v>0</v>
      </c>
      <c r="L20" s="979">
        <f>transport!K14</f>
        <v>0</v>
      </c>
      <c r="M20" s="979">
        <f>transport!L14</f>
        <v>0</v>
      </c>
      <c r="N20" s="979">
        <f>transport!M14</f>
        <v>13858.549118186036</v>
      </c>
      <c r="O20" s="979">
        <f>transport!N14</f>
        <v>0</v>
      </c>
      <c r="P20" s="979">
        <f>transport!O14</f>
        <v>0</v>
      </c>
      <c r="Q20" s="980">
        <f>transport!P14</f>
        <v>0</v>
      </c>
      <c r="R20" s="674">
        <f>SUM(C20:Q20)</f>
        <v>270877.57639200334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83.30710066717603</v>
      </c>
      <c r="D22" s="786">
        <f t="shared" ref="D22:R22" si="1">SUM(D18:D21)</f>
        <v>0</v>
      </c>
      <c r="E22" s="786">
        <f t="shared" si="1"/>
        <v>221.13333505411211</v>
      </c>
      <c r="F22" s="786">
        <f t="shared" si="1"/>
        <v>434.55226107573253</v>
      </c>
      <c r="G22" s="786">
        <f t="shared" si="1"/>
        <v>0</v>
      </c>
      <c r="H22" s="786">
        <f t="shared" si="1"/>
        <v>218806.10559260249</v>
      </c>
      <c r="I22" s="786">
        <f t="shared" si="1"/>
        <v>38457.970741284837</v>
      </c>
      <c r="J22" s="786">
        <f t="shared" si="1"/>
        <v>0</v>
      </c>
      <c r="K22" s="786">
        <f t="shared" si="1"/>
        <v>0</v>
      </c>
      <c r="L22" s="786">
        <f t="shared" si="1"/>
        <v>0</v>
      </c>
      <c r="M22" s="786">
        <f t="shared" si="1"/>
        <v>0</v>
      </c>
      <c r="N22" s="786">
        <f t="shared" si="1"/>
        <v>13914.43412402409</v>
      </c>
      <c r="O22" s="786">
        <f t="shared" si="1"/>
        <v>0</v>
      </c>
      <c r="P22" s="786">
        <f t="shared" si="1"/>
        <v>0</v>
      </c>
      <c r="Q22" s="786">
        <f t="shared" si="1"/>
        <v>0</v>
      </c>
      <c r="R22" s="786">
        <f t="shared" si="1"/>
        <v>271917.50315470842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4297.5456574948612</v>
      </c>
      <c r="D24" s="979">
        <f>+landbouw!C8</f>
        <v>15928.071428571429</v>
      </c>
      <c r="E24" s="979">
        <f>+landbouw!D8</f>
        <v>242.65151473891333</v>
      </c>
      <c r="F24" s="979">
        <f>+landbouw!E8</f>
        <v>126.3179930932599</v>
      </c>
      <c r="G24" s="979">
        <f>+landbouw!F8</f>
        <v>17903.342981945327</v>
      </c>
      <c r="H24" s="979">
        <f>+landbouw!G8</f>
        <v>0</v>
      </c>
      <c r="I24" s="979">
        <f>+landbouw!H8</f>
        <v>0</v>
      </c>
      <c r="J24" s="979">
        <f>+landbouw!I8</f>
        <v>0</v>
      </c>
      <c r="K24" s="979">
        <f>+landbouw!J8</f>
        <v>622.6220749215679</v>
      </c>
      <c r="L24" s="979">
        <f>+landbouw!K8</f>
        <v>0</v>
      </c>
      <c r="M24" s="979">
        <f>+landbouw!L8</f>
        <v>0</v>
      </c>
      <c r="N24" s="979">
        <f>+landbouw!M8</f>
        <v>0</v>
      </c>
      <c r="O24" s="979">
        <f>+landbouw!N8</f>
        <v>0</v>
      </c>
      <c r="P24" s="979">
        <f>+landbouw!O8</f>
        <v>0</v>
      </c>
      <c r="Q24" s="980">
        <f>+landbouw!P8</f>
        <v>0</v>
      </c>
      <c r="R24" s="674">
        <f>SUM(C24:Q24)</f>
        <v>39120.551650765359</v>
      </c>
      <c r="S24" s="67"/>
    </row>
    <row r="25" spans="1:19" s="447" customFormat="1" ht="15" thickBot="1">
      <c r="A25" s="805" t="s">
        <v>823</v>
      </c>
      <c r="B25" s="982"/>
      <c r="C25" s="983">
        <f>IF(Onbekend_ele_kWh="---",0,Onbekend_ele_kWh)/1000+IF(REST_rest_ele_kWh="---",0,REST_rest_ele_kWh)/1000</f>
        <v>1095.3545618165301</v>
      </c>
      <c r="D25" s="983"/>
      <c r="E25" s="983">
        <f>IF(onbekend_gas_kWh="---",0,onbekend_gas_kWh)/1000+IF(REST_rest_gas_kWh="---",0,REST_rest_gas_kWh)/1000</f>
        <v>2044.22163188284</v>
      </c>
      <c r="F25" s="983"/>
      <c r="G25" s="983"/>
      <c r="H25" s="983"/>
      <c r="I25" s="983"/>
      <c r="J25" s="983"/>
      <c r="K25" s="983"/>
      <c r="L25" s="983"/>
      <c r="M25" s="983"/>
      <c r="N25" s="983"/>
      <c r="O25" s="983"/>
      <c r="P25" s="983"/>
      <c r="Q25" s="984"/>
      <c r="R25" s="674">
        <f>SUM(C25:Q25)</f>
        <v>3139.5761936993704</v>
      </c>
      <c r="S25" s="67"/>
    </row>
    <row r="26" spans="1:19" s="447" customFormat="1" ht="15.75" thickBot="1">
      <c r="A26" s="679" t="s">
        <v>824</v>
      </c>
      <c r="B26" s="791"/>
      <c r="C26" s="786">
        <f>SUM(C24:C25)</f>
        <v>5392.9002193113911</v>
      </c>
      <c r="D26" s="786">
        <f t="shared" ref="D26:R26" si="2">SUM(D24:D25)</f>
        <v>15928.071428571429</v>
      </c>
      <c r="E26" s="786">
        <f t="shared" si="2"/>
        <v>2286.8731466217532</v>
      </c>
      <c r="F26" s="786">
        <f t="shared" si="2"/>
        <v>126.3179930932599</v>
      </c>
      <c r="G26" s="786">
        <f t="shared" si="2"/>
        <v>17903.342981945327</v>
      </c>
      <c r="H26" s="786">
        <f t="shared" si="2"/>
        <v>0</v>
      </c>
      <c r="I26" s="786">
        <f t="shared" si="2"/>
        <v>0</v>
      </c>
      <c r="J26" s="786">
        <f t="shared" si="2"/>
        <v>0</v>
      </c>
      <c r="K26" s="786">
        <f t="shared" si="2"/>
        <v>622.6220749215679</v>
      </c>
      <c r="L26" s="786">
        <f t="shared" si="2"/>
        <v>0</v>
      </c>
      <c r="M26" s="786">
        <f t="shared" si="2"/>
        <v>0</v>
      </c>
      <c r="N26" s="786">
        <f t="shared" si="2"/>
        <v>0</v>
      </c>
      <c r="O26" s="786">
        <f t="shared" si="2"/>
        <v>0</v>
      </c>
      <c r="P26" s="786">
        <f t="shared" si="2"/>
        <v>0</v>
      </c>
      <c r="Q26" s="786">
        <f t="shared" si="2"/>
        <v>0</v>
      </c>
      <c r="R26" s="786">
        <f t="shared" si="2"/>
        <v>42260.127844464732</v>
      </c>
      <c r="S26" s="67"/>
    </row>
    <row r="27" spans="1:19" s="447" customFormat="1" ht="17.25" thickTop="1" thickBot="1">
      <c r="A27" s="680" t="s">
        <v>115</v>
      </c>
      <c r="B27" s="779"/>
      <c r="C27" s="681">
        <f ca="1">C22+C16+C26</f>
        <v>71491.632360446645</v>
      </c>
      <c r="D27" s="681">
        <f t="shared" ref="D27:R27" ca="1" si="3">D22+D16+D26</f>
        <v>15928.071428571429</v>
      </c>
      <c r="E27" s="681">
        <f t="shared" ca="1" si="3"/>
        <v>114253.59521332235</v>
      </c>
      <c r="F27" s="681">
        <f t="shared" si="3"/>
        <v>26612.080407926649</v>
      </c>
      <c r="G27" s="681">
        <f t="shared" ca="1" si="3"/>
        <v>38899.189751381331</v>
      </c>
      <c r="H27" s="681">
        <f t="shared" si="3"/>
        <v>218806.10559260249</v>
      </c>
      <c r="I27" s="681">
        <f t="shared" si="3"/>
        <v>38457.970741284837</v>
      </c>
      <c r="J27" s="681">
        <f t="shared" si="3"/>
        <v>0</v>
      </c>
      <c r="K27" s="681">
        <f t="shared" si="3"/>
        <v>1855.3462331461726</v>
      </c>
      <c r="L27" s="681">
        <f t="shared" si="3"/>
        <v>0</v>
      </c>
      <c r="M27" s="681">
        <f t="shared" ca="1" si="3"/>
        <v>0</v>
      </c>
      <c r="N27" s="681">
        <f t="shared" si="3"/>
        <v>13914.43412402409</v>
      </c>
      <c r="O27" s="681">
        <f t="shared" ca="1" si="3"/>
        <v>34661.74147971713</v>
      </c>
      <c r="P27" s="681">
        <f t="shared" si="3"/>
        <v>551.8566666666668</v>
      </c>
      <c r="Q27" s="681">
        <f t="shared" si="3"/>
        <v>1410.9333333333334</v>
      </c>
      <c r="R27" s="681">
        <f t="shared" ca="1" si="3"/>
        <v>576842.95733242307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3165.9320306216177</v>
      </c>
      <c r="D40" s="979">
        <f ca="1">tertiair!C20</f>
        <v>0</v>
      </c>
      <c r="E40" s="979">
        <f ca="1">tertiair!D20</f>
        <v>8606.2178110602345</v>
      </c>
      <c r="F40" s="979">
        <f>tertiair!E20</f>
        <v>59.176159224606884</v>
      </c>
      <c r="G40" s="979">
        <f ca="1">tertiair!F20</f>
        <v>920.48162537589985</v>
      </c>
      <c r="H40" s="979">
        <f>tertiair!G20</f>
        <v>0</v>
      </c>
      <c r="I40" s="979">
        <f>tertiair!H20</f>
        <v>0</v>
      </c>
      <c r="J40" s="979">
        <f>tertiair!I20</f>
        <v>0</v>
      </c>
      <c r="K40" s="979">
        <f>tertiair!J20</f>
        <v>3.5569001713351749E-2</v>
      </c>
      <c r="L40" s="979">
        <f>tertiair!K20</f>
        <v>0</v>
      </c>
      <c r="M40" s="979">
        <f ca="1">tertiair!L20</f>
        <v>0</v>
      </c>
      <c r="N40" s="979">
        <f>tertiair!M20</f>
        <v>0</v>
      </c>
      <c r="O40" s="979">
        <f ca="1">tertiair!N20</f>
        <v>0</v>
      </c>
      <c r="P40" s="979">
        <f>tertiair!O20</f>
        <v>0</v>
      </c>
      <c r="Q40" s="748">
        <f>tertiair!P20</f>
        <v>0</v>
      </c>
      <c r="R40" s="824">
        <f t="shared" ca="1" si="4"/>
        <v>12751.843195284073</v>
      </c>
    </row>
    <row r="41" spans="1:18">
      <c r="A41" s="796" t="s">
        <v>224</v>
      </c>
      <c r="B41" s="803"/>
      <c r="C41" s="979">
        <f ca="1">huishoudens!B12</f>
        <v>4808.8157244198128</v>
      </c>
      <c r="D41" s="979">
        <f ca="1">huishoudens!C12</f>
        <v>0</v>
      </c>
      <c r="E41" s="979">
        <f>huishoudens!D12</f>
        <v>9828.1590477452301</v>
      </c>
      <c r="F41" s="979">
        <f>huishoudens!E12</f>
        <v>5398.1569572131184</v>
      </c>
      <c r="G41" s="979">
        <f>huishoudens!F12</f>
        <v>3030.9191352563844</v>
      </c>
      <c r="H41" s="979">
        <f>huishoudens!G12</f>
        <v>0</v>
      </c>
      <c r="I41" s="979">
        <f>huishoudens!H12</f>
        <v>0</v>
      </c>
      <c r="J41" s="979">
        <f>huishoudens!I12</f>
        <v>0</v>
      </c>
      <c r="K41" s="979">
        <f>huishoudens!J12</f>
        <v>430.51766964207781</v>
      </c>
      <c r="L41" s="979">
        <f>huishoudens!K12</f>
        <v>0</v>
      </c>
      <c r="M41" s="979">
        <f>huishoudens!L12</f>
        <v>0</v>
      </c>
      <c r="N41" s="979">
        <f>huishoudens!M12</f>
        <v>0</v>
      </c>
      <c r="O41" s="979">
        <f>huishoudens!N12</f>
        <v>0</v>
      </c>
      <c r="P41" s="979">
        <f>huishoudens!O12</f>
        <v>0</v>
      </c>
      <c r="Q41" s="748">
        <f>huishoudens!P12</f>
        <v>0</v>
      </c>
      <c r="R41" s="824">
        <f t="shared" ca="1" si="4"/>
        <v>23496.568534276623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2930.127852652116</v>
      </c>
      <c r="D43" s="979">
        <f ca="1">industrie!C22</f>
        <v>0</v>
      </c>
      <c r="E43" s="979">
        <f>industrie!D22</f>
        <v>4138.2320649871235</v>
      </c>
      <c r="F43" s="979">
        <f>industrie!E22</f>
        <v>456.29158846526366</v>
      </c>
      <c r="G43" s="979">
        <f>industrie!F22</f>
        <v>1654.4903268071305</v>
      </c>
      <c r="H43" s="979">
        <f>industrie!G22</f>
        <v>0</v>
      </c>
      <c r="I43" s="979">
        <f>industrie!H22</f>
        <v>0</v>
      </c>
      <c r="J43" s="979">
        <f>industrie!I22</f>
        <v>0</v>
      </c>
      <c r="K43" s="979">
        <f>industrie!J22</f>
        <v>5.8311133677188991</v>
      </c>
      <c r="L43" s="979">
        <f>industrie!K22</f>
        <v>0</v>
      </c>
      <c r="M43" s="979">
        <f>industrie!L22</f>
        <v>0</v>
      </c>
      <c r="N43" s="979">
        <f>industrie!M22</f>
        <v>0</v>
      </c>
      <c r="O43" s="979">
        <f>industrie!N22</f>
        <v>0</v>
      </c>
      <c r="P43" s="979">
        <f>industrie!O22</f>
        <v>0</v>
      </c>
      <c r="Q43" s="748">
        <f>industrie!P22</f>
        <v>0</v>
      </c>
      <c r="R43" s="823">
        <f t="shared" ca="1" si="4"/>
        <v>9184.9729462793548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10904.875607693546</v>
      </c>
      <c r="D46" s="706">
        <f t="shared" ref="D46:Q46" ca="1" si="5">SUM(D39:D45)</f>
        <v>0</v>
      </c>
      <c r="E46" s="706">
        <f t="shared" ca="1" si="5"/>
        <v>22572.608923792592</v>
      </c>
      <c r="F46" s="706">
        <f t="shared" si="5"/>
        <v>5913.6247049029889</v>
      </c>
      <c r="G46" s="706">
        <f t="shared" ca="1" si="5"/>
        <v>5605.8910874394151</v>
      </c>
      <c r="H46" s="706">
        <f t="shared" si="5"/>
        <v>0</v>
      </c>
      <c r="I46" s="706">
        <f t="shared" si="5"/>
        <v>0</v>
      </c>
      <c r="J46" s="706">
        <f t="shared" si="5"/>
        <v>0</v>
      </c>
      <c r="K46" s="706">
        <f t="shared" si="5"/>
        <v>436.38435201151003</v>
      </c>
      <c r="L46" s="706">
        <f t="shared" si="5"/>
        <v>0</v>
      </c>
      <c r="M46" s="706">
        <f t="shared" ca="1" si="5"/>
        <v>0</v>
      </c>
      <c r="N46" s="706">
        <f t="shared" si="5"/>
        <v>0</v>
      </c>
      <c r="O46" s="706">
        <f t="shared" ca="1" si="5"/>
        <v>0</v>
      </c>
      <c r="P46" s="706">
        <f t="shared" si="5"/>
        <v>0</v>
      </c>
      <c r="Q46" s="706">
        <f t="shared" si="5"/>
        <v>0</v>
      </c>
      <c r="R46" s="706">
        <f ca="1">SUM(R39:R45)</f>
        <v>45433.384675840054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262.73914908350503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262.73914908350503</v>
      </c>
    </row>
    <row r="50" spans="1:18">
      <c r="A50" s="799" t="s">
        <v>306</v>
      </c>
      <c r="B50" s="809"/>
      <c r="C50" s="677">
        <f ca="1">transport!B18</f>
        <v>13.761231855377256</v>
      </c>
      <c r="D50" s="677">
        <f>transport!C18</f>
        <v>0</v>
      </c>
      <c r="E50" s="677">
        <f>transport!D18</f>
        <v>44.66893368093065</v>
      </c>
      <c r="F50" s="677">
        <f>transport!E18</f>
        <v>98.643363264191294</v>
      </c>
      <c r="G50" s="677">
        <f>transport!F18</f>
        <v>0</v>
      </c>
      <c r="H50" s="677">
        <f>transport!G18</f>
        <v>58158.491044141367</v>
      </c>
      <c r="I50" s="677">
        <f>transport!H18</f>
        <v>9576.0347145799242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67891.599287521793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13.761231855377256</v>
      </c>
      <c r="D52" s="706">
        <f t="shared" ref="D52:Q52" ca="1" si="6">SUM(D48:D51)</f>
        <v>0</v>
      </c>
      <c r="E52" s="706">
        <f t="shared" si="6"/>
        <v>44.66893368093065</v>
      </c>
      <c r="F52" s="706">
        <f t="shared" si="6"/>
        <v>98.643363264191294</v>
      </c>
      <c r="G52" s="706">
        <f t="shared" si="6"/>
        <v>0</v>
      </c>
      <c r="H52" s="706">
        <f t="shared" si="6"/>
        <v>58421.230193224874</v>
      </c>
      <c r="I52" s="706">
        <f t="shared" si="6"/>
        <v>9576.0347145799242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68154.338436605292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709.89773654622138</v>
      </c>
      <c r="D54" s="677">
        <f ca="1">+landbouw!C12</f>
        <v>0</v>
      </c>
      <c r="E54" s="677">
        <f>+landbouw!D12</f>
        <v>49.015605977260499</v>
      </c>
      <c r="F54" s="677">
        <f>+landbouw!E12</f>
        <v>28.674184432169998</v>
      </c>
      <c r="G54" s="677">
        <f>+landbouw!F12</f>
        <v>4780.1925761794027</v>
      </c>
      <c r="H54" s="677">
        <f>+landbouw!G12</f>
        <v>0</v>
      </c>
      <c r="I54" s="677">
        <f>+landbouw!H12</f>
        <v>0</v>
      </c>
      <c r="J54" s="677">
        <f>+landbouw!I12</f>
        <v>0</v>
      </c>
      <c r="K54" s="677">
        <f>+landbouw!J12</f>
        <v>220.40821452223503</v>
      </c>
      <c r="L54" s="677">
        <f>+landbouw!K12</f>
        <v>0</v>
      </c>
      <c r="M54" s="677">
        <f>+landbouw!L12</f>
        <v>0</v>
      </c>
      <c r="N54" s="677">
        <f>+landbouw!M12</f>
        <v>0</v>
      </c>
      <c r="O54" s="677">
        <f>+landbouw!N12</f>
        <v>0</v>
      </c>
      <c r="P54" s="677">
        <f>+landbouw!O12</f>
        <v>0</v>
      </c>
      <c r="Q54" s="678">
        <f>+landbouw!P12</f>
        <v>0</v>
      </c>
      <c r="R54" s="705">
        <f ca="1">SUM(C54:Q54)</f>
        <v>5788.1883176572892</v>
      </c>
    </row>
    <row r="55" spans="1:18" ht="15" thickBot="1">
      <c r="A55" s="799" t="s">
        <v>823</v>
      </c>
      <c r="B55" s="809"/>
      <c r="C55" s="677">
        <f ca="1">C25*'EF ele_warmte'!B12</f>
        <v>180.93809493170292</v>
      </c>
      <c r="D55" s="677"/>
      <c r="E55" s="677">
        <f>E25*EF_CO2_aardgas</f>
        <v>412.93276964033373</v>
      </c>
      <c r="F55" s="677"/>
      <c r="G55" s="677"/>
      <c r="H55" s="677"/>
      <c r="I55" s="677"/>
      <c r="J55" s="677"/>
      <c r="K55" s="677"/>
      <c r="L55" s="677"/>
      <c r="M55" s="677"/>
      <c r="N55" s="677"/>
      <c r="O55" s="677"/>
      <c r="P55" s="677"/>
      <c r="Q55" s="678"/>
      <c r="R55" s="705">
        <f ca="1">SUM(C55:Q55)</f>
        <v>593.87086457203668</v>
      </c>
    </row>
    <row r="56" spans="1:18" ht="15.75" thickBot="1">
      <c r="A56" s="797" t="s">
        <v>824</v>
      </c>
      <c r="B56" s="810"/>
      <c r="C56" s="706">
        <f ca="1">SUM(C54:C55)</f>
        <v>890.83583147792433</v>
      </c>
      <c r="D56" s="706">
        <f t="shared" ref="D56:Q56" ca="1" si="7">SUM(D54:D55)</f>
        <v>0</v>
      </c>
      <c r="E56" s="706">
        <f t="shared" si="7"/>
        <v>461.94837561759425</v>
      </c>
      <c r="F56" s="706">
        <f t="shared" si="7"/>
        <v>28.674184432169998</v>
      </c>
      <c r="G56" s="706">
        <f t="shared" si="7"/>
        <v>4780.1925761794027</v>
      </c>
      <c r="H56" s="706">
        <f t="shared" si="7"/>
        <v>0</v>
      </c>
      <c r="I56" s="706">
        <f t="shared" si="7"/>
        <v>0</v>
      </c>
      <c r="J56" s="706">
        <f t="shared" si="7"/>
        <v>0</v>
      </c>
      <c r="K56" s="706">
        <f t="shared" si="7"/>
        <v>220.40821452223503</v>
      </c>
      <c r="L56" s="706">
        <f t="shared" si="7"/>
        <v>0</v>
      </c>
      <c r="M56" s="706">
        <f t="shared" si="7"/>
        <v>0</v>
      </c>
      <c r="N56" s="706">
        <f t="shared" si="7"/>
        <v>0</v>
      </c>
      <c r="O56" s="706">
        <f t="shared" si="7"/>
        <v>0</v>
      </c>
      <c r="P56" s="706">
        <f t="shared" si="7"/>
        <v>0</v>
      </c>
      <c r="Q56" s="707">
        <f t="shared" si="7"/>
        <v>0</v>
      </c>
      <c r="R56" s="708">
        <f ca="1">SUM(R54:R55)</f>
        <v>6382.0591822293263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11809.472671026848</v>
      </c>
      <c r="D61" s="714">
        <f t="shared" ref="D61:Q61" ca="1" si="8">D46+D52+D56</f>
        <v>0</v>
      </c>
      <c r="E61" s="714">
        <f t="shared" ca="1" si="8"/>
        <v>23079.226233091118</v>
      </c>
      <c r="F61" s="714">
        <f t="shared" si="8"/>
        <v>6040.9422525993496</v>
      </c>
      <c r="G61" s="714">
        <f t="shared" ca="1" si="8"/>
        <v>10386.083663618818</v>
      </c>
      <c r="H61" s="714">
        <f t="shared" si="8"/>
        <v>58421.230193224874</v>
      </c>
      <c r="I61" s="714">
        <f t="shared" si="8"/>
        <v>9576.0347145799242</v>
      </c>
      <c r="J61" s="714">
        <f t="shared" si="8"/>
        <v>0</v>
      </c>
      <c r="K61" s="714">
        <f t="shared" si="8"/>
        <v>656.792566533745</v>
      </c>
      <c r="L61" s="714">
        <f t="shared" si="8"/>
        <v>0</v>
      </c>
      <c r="M61" s="714">
        <f t="shared" ca="1" si="8"/>
        <v>0</v>
      </c>
      <c r="N61" s="714">
        <f t="shared" si="8"/>
        <v>0</v>
      </c>
      <c r="O61" s="714">
        <f t="shared" ca="1" si="8"/>
        <v>0</v>
      </c>
      <c r="P61" s="714">
        <f t="shared" si="8"/>
        <v>0</v>
      </c>
      <c r="Q61" s="714">
        <f t="shared" si="8"/>
        <v>0</v>
      </c>
      <c r="R61" s="714">
        <f ca="1">R46+R52+R56</f>
        <v>119969.78229467467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0.16518678174091517</v>
      </c>
      <c r="D63" s="755">
        <f t="shared" ca="1" si="9"/>
        <v>0</v>
      </c>
      <c r="E63" s="990">
        <f t="shared" ca="1" si="9"/>
        <v>0.20200000000000004</v>
      </c>
      <c r="F63" s="755">
        <f t="shared" si="9"/>
        <v>0.22700000000000001</v>
      </c>
      <c r="G63" s="755">
        <f t="shared" ca="1" si="9"/>
        <v>0.26700000000000007</v>
      </c>
      <c r="H63" s="755">
        <f t="shared" si="9"/>
        <v>0.26700000000000007</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6905.4544372482414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11149.65</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13117.235294117647</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18055.104437248243</v>
      </c>
      <c r="C78" s="729">
        <f>SUM(C72:C77)</f>
        <v>0</v>
      </c>
      <c r="D78" s="730">
        <f t="shared" ref="D78:H78" si="10">SUM(D76:D77)</f>
        <v>0</v>
      </c>
      <c r="E78" s="730">
        <f t="shared" si="10"/>
        <v>0</v>
      </c>
      <c r="F78" s="730">
        <f t="shared" si="10"/>
        <v>0</v>
      </c>
      <c r="G78" s="730">
        <f t="shared" si="10"/>
        <v>0</v>
      </c>
      <c r="H78" s="730">
        <f t="shared" si="10"/>
        <v>0</v>
      </c>
      <c r="I78" s="730">
        <f>SUM(I76:I77)</f>
        <v>0</v>
      </c>
      <c r="J78" s="730">
        <f>SUM(J76:J77)</f>
        <v>13117.235294117647</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15928.071428571429</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18738.907563025212</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15928.071428571429</v>
      </c>
      <c r="C90" s="729">
        <f>SUM(C87:C89)</f>
        <v>0</v>
      </c>
      <c r="D90" s="729">
        <f t="shared" ref="D90:H90" si="12">SUM(D87:D89)</f>
        <v>0</v>
      </c>
      <c r="E90" s="729">
        <f t="shared" si="12"/>
        <v>0</v>
      </c>
      <c r="F90" s="729">
        <f t="shared" si="12"/>
        <v>0</v>
      </c>
      <c r="G90" s="729">
        <f t="shared" si="12"/>
        <v>0</v>
      </c>
      <c r="H90" s="729">
        <f t="shared" si="12"/>
        <v>0</v>
      </c>
      <c r="I90" s="729">
        <f>SUM(I87:I89)</f>
        <v>0</v>
      </c>
      <c r="J90" s="729">
        <f>SUM(J87:J89)</f>
        <v>18738.907563025212</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29111.383330671888</v>
      </c>
      <c r="C4" s="451">
        <f>huishoudens!C8</f>
        <v>0</v>
      </c>
      <c r="D4" s="451">
        <f>huishoudens!D8</f>
        <v>48654.252711610046</v>
      </c>
      <c r="E4" s="451">
        <f>huishoudens!E8</f>
        <v>23780.427124286864</v>
      </c>
      <c r="F4" s="451">
        <f>huishoudens!F8</f>
        <v>11351.757060885335</v>
      </c>
      <c r="G4" s="451">
        <f>huishoudens!G8</f>
        <v>0</v>
      </c>
      <c r="H4" s="451">
        <f>huishoudens!H8</f>
        <v>0</v>
      </c>
      <c r="I4" s="451">
        <f>huishoudens!I8</f>
        <v>0</v>
      </c>
      <c r="J4" s="451">
        <f>huishoudens!J8</f>
        <v>1216.1516091584119</v>
      </c>
      <c r="K4" s="451">
        <f>huishoudens!K8</f>
        <v>0</v>
      </c>
      <c r="L4" s="451">
        <f>huishoudens!L8</f>
        <v>0</v>
      </c>
      <c r="M4" s="451">
        <f>huishoudens!M8</f>
        <v>0</v>
      </c>
      <c r="N4" s="451">
        <f>huishoudens!N8</f>
        <v>29512.581100532199</v>
      </c>
      <c r="O4" s="451">
        <f>huishoudens!O8</f>
        <v>540.91333333333341</v>
      </c>
      <c r="P4" s="452">
        <f>huishoudens!P8</f>
        <v>1372.8</v>
      </c>
      <c r="Q4" s="453">
        <f>SUM(B4:P4)</f>
        <v>145540.26627047805</v>
      </c>
    </row>
    <row r="5" spans="1:17">
      <c r="A5" s="450" t="s">
        <v>155</v>
      </c>
      <c r="B5" s="451">
        <f ca="1">tertiair!B16</f>
        <v>18052.534997265255</v>
      </c>
      <c r="C5" s="451">
        <f ca="1">tertiair!C16</f>
        <v>0</v>
      </c>
      <c r="D5" s="451">
        <f ca="1">tertiair!D16</f>
        <v>42605.038668615016</v>
      </c>
      <c r="E5" s="451">
        <f>tertiair!E16</f>
        <v>260.68792609958979</v>
      </c>
      <c r="F5" s="451">
        <f ca="1">tertiair!F16</f>
        <v>3447.4967242543062</v>
      </c>
      <c r="G5" s="451">
        <f>tertiair!G16</f>
        <v>0</v>
      </c>
      <c r="H5" s="451">
        <f>tertiair!H16</f>
        <v>0</v>
      </c>
      <c r="I5" s="451">
        <f>tertiair!I16</f>
        <v>0</v>
      </c>
      <c r="J5" s="451">
        <f>tertiair!J16</f>
        <v>0.10047740596992021</v>
      </c>
      <c r="K5" s="451">
        <f>tertiair!K16</f>
        <v>0</v>
      </c>
      <c r="L5" s="451">
        <f ca="1">tertiair!L16</f>
        <v>0</v>
      </c>
      <c r="M5" s="451">
        <f>tertiair!M16</f>
        <v>0</v>
      </c>
      <c r="N5" s="451">
        <f ca="1">tertiair!N16</f>
        <v>3961.8584954817766</v>
      </c>
      <c r="O5" s="451">
        <f>tertiair!O16</f>
        <v>10.943333333333335</v>
      </c>
      <c r="P5" s="452">
        <f>tertiair!P16</f>
        <v>38.133333333333333</v>
      </c>
      <c r="Q5" s="450">
        <f t="shared" ref="Q5:Q14" ca="1" si="0">SUM(B5:P5)</f>
        <v>68376.793955788569</v>
      </c>
    </row>
    <row r="6" spans="1:17">
      <c r="A6" s="450" t="s">
        <v>193</v>
      </c>
      <c r="B6" s="451">
        <f>'openbare verlichting'!B8</f>
        <v>1113.2360000000001</v>
      </c>
      <c r="C6" s="451"/>
      <c r="D6" s="451"/>
      <c r="E6" s="451"/>
      <c r="F6" s="451"/>
      <c r="G6" s="451"/>
      <c r="H6" s="451"/>
      <c r="I6" s="451"/>
      <c r="J6" s="451"/>
      <c r="K6" s="451"/>
      <c r="L6" s="451"/>
      <c r="M6" s="451"/>
      <c r="N6" s="451"/>
      <c r="O6" s="451"/>
      <c r="P6" s="452"/>
      <c r="Q6" s="450">
        <f t="shared" si="0"/>
        <v>1113.2360000000001</v>
      </c>
    </row>
    <row r="7" spans="1:17">
      <c r="A7" s="450" t="s">
        <v>111</v>
      </c>
      <c r="B7" s="451">
        <f>landbouw!B8</f>
        <v>4297.5456574948612</v>
      </c>
      <c r="C7" s="451">
        <f>landbouw!C8</f>
        <v>15928.071428571429</v>
      </c>
      <c r="D7" s="451">
        <f>landbouw!D8</f>
        <v>242.65151473891333</v>
      </c>
      <c r="E7" s="451">
        <f>landbouw!E8</f>
        <v>126.3179930932599</v>
      </c>
      <c r="F7" s="451">
        <f>landbouw!F8</f>
        <v>17903.342981945327</v>
      </c>
      <c r="G7" s="451">
        <f>landbouw!G8</f>
        <v>0</v>
      </c>
      <c r="H7" s="451">
        <f>landbouw!H8</f>
        <v>0</v>
      </c>
      <c r="I7" s="451">
        <f>landbouw!I8</f>
        <v>0</v>
      </c>
      <c r="J7" s="451">
        <f>landbouw!J8</f>
        <v>622.6220749215679</v>
      </c>
      <c r="K7" s="451">
        <f>landbouw!K8</f>
        <v>0</v>
      </c>
      <c r="L7" s="451">
        <f>landbouw!L8</f>
        <v>0</v>
      </c>
      <c r="M7" s="451">
        <f>landbouw!M8</f>
        <v>0</v>
      </c>
      <c r="N7" s="451">
        <f>landbouw!N8</f>
        <v>0</v>
      </c>
      <c r="O7" s="451">
        <f>landbouw!O8</f>
        <v>0</v>
      </c>
      <c r="P7" s="452">
        <f>landbouw!P8</f>
        <v>0</v>
      </c>
      <c r="Q7" s="450">
        <f t="shared" si="0"/>
        <v>39120.551650765359</v>
      </c>
    </row>
    <row r="8" spans="1:17">
      <c r="A8" s="450" t="s">
        <v>634</v>
      </c>
      <c r="B8" s="451">
        <f>industrie!B18</f>
        <v>17738.270712530939</v>
      </c>
      <c r="C8" s="451">
        <f>industrie!C18</f>
        <v>0</v>
      </c>
      <c r="D8" s="451">
        <f>industrie!D18</f>
        <v>20486.297351421403</v>
      </c>
      <c r="E8" s="451">
        <f>industrie!E18</f>
        <v>2010.0951033712054</v>
      </c>
      <c r="F8" s="451">
        <f>industrie!F18</f>
        <v>6196.5929842963687</v>
      </c>
      <c r="G8" s="451">
        <f>industrie!G18</f>
        <v>0</v>
      </c>
      <c r="H8" s="451">
        <f>industrie!H18</f>
        <v>0</v>
      </c>
      <c r="I8" s="451">
        <f>industrie!I18</f>
        <v>0</v>
      </c>
      <c r="J8" s="451">
        <f>industrie!J18</f>
        <v>16.47207166022288</v>
      </c>
      <c r="K8" s="451">
        <f>industrie!K18</f>
        <v>0</v>
      </c>
      <c r="L8" s="451">
        <f>industrie!L18</f>
        <v>0</v>
      </c>
      <c r="M8" s="451">
        <f>industrie!M18</f>
        <v>0</v>
      </c>
      <c r="N8" s="451">
        <f>industrie!N18</f>
        <v>1187.3018837031584</v>
      </c>
      <c r="O8" s="451">
        <f>industrie!O18</f>
        <v>0</v>
      </c>
      <c r="P8" s="452">
        <f>industrie!P18</f>
        <v>0</v>
      </c>
      <c r="Q8" s="450">
        <f t="shared" si="0"/>
        <v>47635.030106983293</v>
      </c>
    </row>
    <row r="9" spans="1:17" s="456" customFormat="1">
      <c r="A9" s="454" t="s">
        <v>560</v>
      </c>
      <c r="B9" s="455">
        <f>transport!B14</f>
        <v>83.30710066717603</v>
      </c>
      <c r="C9" s="455">
        <f>transport!C14</f>
        <v>0</v>
      </c>
      <c r="D9" s="455">
        <f>transport!D14</f>
        <v>221.13333505411211</v>
      </c>
      <c r="E9" s="455">
        <f>transport!E14</f>
        <v>434.55226107573253</v>
      </c>
      <c r="F9" s="455">
        <f>transport!F14</f>
        <v>0</v>
      </c>
      <c r="G9" s="455">
        <f>transport!G14</f>
        <v>217822.06383573543</v>
      </c>
      <c r="H9" s="455">
        <f>transport!H14</f>
        <v>38457.970741284837</v>
      </c>
      <c r="I9" s="455">
        <f>transport!I14</f>
        <v>0</v>
      </c>
      <c r="J9" s="455">
        <f>transport!J14</f>
        <v>0</v>
      </c>
      <c r="K9" s="455">
        <f>transport!K14</f>
        <v>0</v>
      </c>
      <c r="L9" s="455">
        <f>transport!L14</f>
        <v>0</v>
      </c>
      <c r="M9" s="455">
        <f>transport!M14</f>
        <v>13858.549118186036</v>
      </c>
      <c r="N9" s="455">
        <f>transport!N14</f>
        <v>0</v>
      </c>
      <c r="O9" s="455">
        <f>transport!O14</f>
        <v>0</v>
      </c>
      <c r="P9" s="455">
        <f>transport!P14</f>
        <v>0</v>
      </c>
      <c r="Q9" s="454">
        <f>SUM(B9:P9)</f>
        <v>270877.57639200334</v>
      </c>
    </row>
    <row r="10" spans="1:17">
      <c r="A10" s="450" t="s">
        <v>550</v>
      </c>
      <c r="B10" s="451">
        <f>transport!B54</f>
        <v>0</v>
      </c>
      <c r="C10" s="451">
        <f>transport!C54</f>
        <v>0</v>
      </c>
      <c r="D10" s="451">
        <f>transport!D54</f>
        <v>0</v>
      </c>
      <c r="E10" s="451">
        <f>transport!E54</f>
        <v>0</v>
      </c>
      <c r="F10" s="451">
        <f>transport!F54</f>
        <v>0</v>
      </c>
      <c r="G10" s="451">
        <f>transport!G54</f>
        <v>984.04175686705992</v>
      </c>
      <c r="H10" s="451">
        <f>transport!H54</f>
        <v>0</v>
      </c>
      <c r="I10" s="451">
        <f>transport!I54</f>
        <v>0</v>
      </c>
      <c r="J10" s="451">
        <f>transport!J54</f>
        <v>0</v>
      </c>
      <c r="K10" s="451">
        <f>transport!K54</f>
        <v>0</v>
      </c>
      <c r="L10" s="451">
        <f>transport!L54</f>
        <v>0</v>
      </c>
      <c r="M10" s="451">
        <f>transport!M54</f>
        <v>55.885005838054511</v>
      </c>
      <c r="N10" s="451">
        <f>transport!N54</f>
        <v>0</v>
      </c>
      <c r="O10" s="451">
        <f>transport!O54</f>
        <v>0</v>
      </c>
      <c r="P10" s="452">
        <f>transport!P54</f>
        <v>0</v>
      </c>
      <c r="Q10" s="450">
        <f t="shared" si="0"/>
        <v>1039.9267627051145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1095.3545618165301</v>
      </c>
      <c r="C14" s="458"/>
      <c r="D14" s="458">
        <f>'SEAP template'!E25</f>
        <v>2044.22163188284</v>
      </c>
      <c r="E14" s="458"/>
      <c r="F14" s="458"/>
      <c r="G14" s="458"/>
      <c r="H14" s="458"/>
      <c r="I14" s="458"/>
      <c r="J14" s="458"/>
      <c r="K14" s="458"/>
      <c r="L14" s="458"/>
      <c r="M14" s="458"/>
      <c r="N14" s="458"/>
      <c r="O14" s="458"/>
      <c r="P14" s="459"/>
      <c r="Q14" s="450">
        <f t="shared" si="0"/>
        <v>3139.5761936993704</v>
      </c>
    </row>
    <row r="15" spans="1:17" s="460" customFormat="1">
      <c r="A15" s="1005" t="s">
        <v>554</v>
      </c>
      <c r="B15" s="953">
        <f ca="1">SUM(B4:B14)</f>
        <v>71491.63236044666</v>
      </c>
      <c r="C15" s="953">
        <f t="shared" ref="C15:Q15" ca="1" si="1">SUM(C4:C14)</f>
        <v>15928.071428571429</v>
      </c>
      <c r="D15" s="953">
        <f t="shared" ca="1" si="1"/>
        <v>114253.59521332235</v>
      </c>
      <c r="E15" s="953">
        <f t="shared" si="1"/>
        <v>26612.080407926649</v>
      </c>
      <c r="F15" s="953">
        <f t="shared" ca="1" si="1"/>
        <v>38899.189751381338</v>
      </c>
      <c r="G15" s="953">
        <f t="shared" si="1"/>
        <v>218806.10559260249</v>
      </c>
      <c r="H15" s="953">
        <f t="shared" si="1"/>
        <v>38457.970741284837</v>
      </c>
      <c r="I15" s="953">
        <f t="shared" si="1"/>
        <v>0</v>
      </c>
      <c r="J15" s="953">
        <f t="shared" si="1"/>
        <v>1855.3462331461726</v>
      </c>
      <c r="K15" s="953">
        <f t="shared" si="1"/>
        <v>0</v>
      </c>
      <c r="L15" s="953">
        <f t="shared" ca="1" si="1"/>
        <v>0</v>
      </c>
      <c r="M15" s="953">
        <f t="shared" si="1"/>
        <v>13914.43412402409</v>
      </c>
      <c r="N15" s="953">
        <f t="shared" ca="1" si="1"/>
        <v>34661.74147971713</v>
      </c>
      <c r="O15" s="953">
        <f t="shared" si="1"/>
        <v>551.8566666666668</v>
      </c>
      <c r="P15" s="953">
        <f t="shared" si="1"/>
        <v>1410.9333333333334</v>
      </c>
      <c r="Q15" s="953">
        <f t="shared" ca="1" si="1"/>
        <v>576842.95733242307</v>
      </c>
    </row>
    <row r="17" spans="1:17">
      <c r="A17" s="461" t="s">
        <v>555</v>
      </c>
      <c r="B17" s="760">
        <f ca="1">huishoudens!B10</f>
        <v>0.16518678174091517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4808.8157244198128</v>
      </c>
      <c r="C22" s="451">
        <f t="shared" ref="C22:C32" ca="1" si="3">C4*$C$17</f>
        <v>0</v>
      </c>
      <c r="D22" s="451">
        <f t="shared" ref="D22:D32" si="4">D4*$D$17</f>
        <v>9828.1590477452301</v>
      </c>
      <c r="E22" s="451">
        <f t="shared" ref="E22:E32" si="5">E4*$E$17</f>
        <v>5398.1569572131184</v>
      </c>
      <c r="F22" s="451">
        <f t="shared" ref="F22:F32" si="6">F4*$F$17</f>
        <v>3030.9191352563844</v>
      </c>
      <c r="G22" s="451">
        <f t="shared" ref="G22:G32" si="7">G4*$G$17</f>
        <v>0</v>
      </c>
      <c r="H22" s="451">
        <f t="shared" ref="H22:H32" si="8">H4*$H$17</f>
        <v>0</v>
      </c>
      <c r="I22" s="451">
        <f t="shared" ref="I22:I32" si="9">I4*$I$17</f>
        <v>0</v>
      </c>
      <c r="J22" s="451">
        <f t="shared" ref="J22:J32" si="10">J4*$J$17</f>
        <v>430.51766964207781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23496.568534276623</v>
      </c>
    </row>
    <row r="23" spans="1:17">
      <c r="A23" s="450" t="s">
        <v>155</v>
      </c>
      <c r="B23" s="451">
        <f t="shared" ca="1" si="2"/>
        <v>2982.0401584634883</v>
      </c>
      <c r="C23" s="451">
        <f t="shared" ca="1" si="3"/>
        <v>0</v>
      </c>
      <c r="D23" s="451">
        <f t="shared" ca="1" si="4"/>
        <v>8606.2178110602345</v>
      </c>
      <c r="E23" s="451">
        <f t="shared" si="5"/>
        <v>59.176159224606884</v>
      </c>
      <c r="F23" s="451">
        <f t="shared" ca="1" si="6"/>
        <v>920.48162537589985</v>
      </c>
      <c r="G23" s="451">
        <f t="shared" si="7"/>
        <v>0</v>
      </c>
      <c r="H23" s="451">
        <f t="shared" si="8"/>
        <v>0</v>
      </c>
      <c r="I23" s="451">
        <f t="shared" si="9"/>
        <v>0</v>
      </c>
      <c r="J23" s="451">
        <f t="shared" si="10"/>
        <v>3.5569001713351749E-2</v>
      </c>
      <c r="K23" s="451">
        <f t="shared" si="11"/>
        <v>0</v>
      </c>
      <c r="L23" s="451">
        <f t="shared" ca="1" si="12"/>
        <v>0</v>
      </c>
      <c r="M23" s="451">
        <f t="shared" si="13"/>
        <v>0</v>
      </c>
      <c r="N23" s="451">
        <f t="shared" ca="1" si="14"/>
        <v>0</v>
      </c>
      <c r="O23" s="451">
        <f t="shared" si="15"/>
        <v>0</v>
      </c>
      <c r="P23" s="452">
        <f t="shared" si="16"/>
        <v>0</v>
      </c>
      <c r="Q23" s="450">
        <f t="shared" ref="Q23:Q32" ca="1" si="17">SUM(B23:P23)</f>
        <v>12567.951323125943</v>
      </c>
    </row>
    <row r="24" spans="1:17">
      <c r="A24" s="450" t="s">
        <v>193</v>
      </c>
      <c r="B24" s="451">
        <f t="shared" ca="1" si="2"/>
        <v>183.89187215812944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183.89187215812944</v>
      </c>
    </row>
    <row r="25" spans="1:17">
      <c r="A25" s="450" t="s">
        <v>111</v>
      </c>
      <c r="B25" s="451">
        <f t="shared" ca="1" si="2"/>
        <v>709.89773654622138</v>
      </c>
      <c r="C25" s="451">
        <f t="shared" ca="1" si="3"/>
        <v>0</v>
      </c>
      <c r="D25" s="451">
        <f t="shared" si="4"/>
        <v>49.015605977260499</v>
      </c>
      <c r="E25" s="451">
        <f t="shared" si="5"/>
        <v>28.674184432169998</v>
      </c>
      <c r="F25" s="451">
        <f t="shared" si="6"/>
        <v>4780.1925761794027</v>
      </c>
      <c r="G25" s="451">
        <f t="shared" si="7"/>
        <v>0</v>
      </c>
      <c r="H25" s="451">
        <f t="shared" si="8"/>
        <v>0</v>
      </c>
      <c r="I25" s="451">
        <f t="shared" si="9"/>
        <v>0</v>
      </c>
      <c r="J25" s="451">
        <f t="shared" si="10"/>
        <v>220.40821452223503</v>
      </c>
      <c r="K25" s="451">
        <f t="shared" si="11"/>
        <v>0</v>
      </c>
      <c r="L25" s="451">
        <f t="shared" si="12"/>
        <v>0</v>
      </c>
      <c r="M25" s="451">
        <f t="shared" si="13"/>
        <v>0</v>
      </c>
      <c r="N25" s="451">
        <f t="shared" si="14"/>
        <v>0</v>
      </c>
      <c r="O25" s="451">
        <f t="shared" si="15"/>
        <v>0</v>
      </c>
      <c r="P25" s="452">
        <f t="shared" si="16"/>
        <v>0</v>
      </c>
      <c r="Q25" s="450">
        <f t="shared" ca="1" si="17"/>
        <v>5788.1883176572892</v>
      </c>
    </row>
    <row r="26" spans="1:17">
      <c r="A26" s="450" t="s">
        <v>634</v>
      </c>
      <c r="B26" s="451">
        <f t="shared" ca="1" si="2"/>
        <v>2930.127852652116</v>
      </c>
      <c r="C26" s="451">
        <f t="shared" ca="1" si="3"/>
        <v>0</v>
      </c>
      <c r="D26" s="451">
        <f t="shared" si="4"/>
        <v>4138.2320649871235</v>
      </c>
      <c r="E26" s="451">
        <f t="shared" si="5"/>
        <v>456.29158846526366</v>
      </c>
      <c r="F26" s="451">
        <f t="shared" si="6"/>
        <v>1654.4903268071305</v>
      </c>
      <c r="G26" s="451">
        <f t="shared" si="7"/>
        <v>0</v>
      </c>
      <c r="H26" s="451">
        <f t="shared" si="8"/>
        <v>0</v>
      </c>
      <c r="I26" s="451">
        <f t="shared" si="9"/>
        <v>0</v>
      </c>
      <c r="J26" s="451">
        <f t="shared" si="10"/>
        <v>5.8311133677188991</v>
      </c>
      <c r="K26" s="451">
        <f t="shared" si="11"/>
        <v>0</v>
      </c>
      <c r="L26" s="451">
        <f t="shared" si="12"/>
        <v>0</v>
      </c>
      <c r="M26" s="451">
        <f t="shared" si="13"/>
        <v>0</v>
      </c>
      <c r="N26" s="451">
        <f t="shared" si="14"/>
        <v>0</v>
      </c>
      <c r="O26" s="451">
        <f t="shared" si="15"/>
        <v>0</v>
      </c>
      <c r="P26" s="452">
        <f t="shared" si="16"/>
        <v>0</v>
      </c>
      <c r="Q26" s="450">
        <f t="shared" ca="1" si="17"/>
        <v>9184.9729462793548</v>
      </c>
    </row>
    <row r="27" spans="1:17" s="456" customFormat="1">
      <c r="A27" s="454" t="s">
        <v>560</v>
      </c>
      <c r="B27" s="754">
        <f t="shared" ca="1" si="2"/>
        <v>13.761231855377256</v>
      </c>
      <c r="C27" s="455">
        <f t="shared" ca="1" si="3"/>
        <v>0</v>
      </c>
      <c r="D27" s="455">
        <f t="shared" si="4"/>
        <v>44.66893368093065</v>
      </c>
      <c r="E27" s="455">
        <f t="shared" si="5"/>
        <v>98.643363264191294</v>
      </c>
      <c r="F27" s="455">
        <f t="shared" si="6"/>
        <v>0</v>
      </c>
      <c r="G27" s="455">
        <f t="shared" si="7"/>
        <v>58158.491044141367</v>
      </c>
      <c r="H27" s="455">
        <f t="shared" si="8"/>
        <v>9576.0347145799242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67891.599287521793</v>
      </c>
    </row>
    <row r="28" spans="1:17">
      <c r="A28" s="450" t="s">
        <v>550</v>
      </c>
      <c r="B28" s="451">
        <f t="shared" ca="1" si="2"/>
        <v>0</v>
      </c>
      <c r="C28" s="451">
        <f t="shared" ca="1" si="3"/>
        <v>0</v>
      </c>
      <c r="D28" s="451">
        <f t="shared" si="4"/>
        <v>0</v>
      </c>
      <c r="E28" s="451">
        <f t="shared" si="5"/>
        <v>0</v>
      </c>
      <c r="F28" s="451">
        <f t="shared" si="6"/>
        <v>0</v>
      </c>
      <c r="G28" s="451">
        <f t="shared" si="7"/>
        <v>262.73914908350503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262.73914908350503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180.93809493170292</v>
      </c>
      <c r="C32" s="451">
        <f t="shared" ca="1" si="3"/>
        <v>0</v>
      </c>
      <c r="D32" s="451">
        <f t="shared" si="4"/>
        <v>412.93276964033373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593.87086457203668</v>
      </c>
    </row>
    <row r="33" spans="1:17" s="460" customFormat="1">
      <c r="A33" s="1005" t="s">
        <v>554</v>
      </c>
      <c r="B33" s="953">
        <f ca="1">SUM(B22:B32)</f>
        <v>11809.472671026848</v>
      </c>
      <c r="C33" s="953">
        <f t="shared" ref="C33:Q33" ca="1" si="18">SUM(C22:C32)</f>
        <v>0</v>
      </c>
      <c r="D33" s="953">
        <f t="shared" ca="1" si="18"/>
        <v>23079.226233091114</v>
      </c>
      <c r="E33" s="953">
        <f t="shared" si="18"/>
        <v>6040.9422525993496</v>
      </c>
      <c r="F33" s="953">
        <f t="shared" ca="1" si="18"/>
        <v>10386.083663618818</v>
      </c>
      <c r="G33" s="953">
        <f t="shared" si="18"/>
        <v>58421.230193224874</v>
      </c>
      <c r="H33" s="953">
        <f t="shared" si="18"/>
        <v>9576.0347145799242</v>
      </c>
      <c r="I33" s="953">
        <f t="shared" si="18"/>
        <v>0</v>
      </c>
      <c r="J33" s="953">
        <f t="shared" si="18"/>
        <v>656.792566533745</v>
      </c>
      <c r="K33" s="953">
        <f t="shared" si="18"/>
        <v>0</v>
      </c>
      <c r="L33" s="953">
        <f t="shared" ca="1" si="18"/>
        <v>0</v>
      </c>
      <c r="M33" s="953">
        <f t="shared" si="18"/>
        <v>0</v>
      </c>
      <c r="N33" s="953">
        <f t="shared" ca="1" si="18"/>
        <v>0</v>
      </c>
      <c r="O33" s="953">
        <f t="shared" si="18"/>
        <v>0</v>
      </c>
      <c r="P33" s="953">
        <f t="shared" si="18"/>
        <v>0</v>
      </c>
      <c r="Q33" s="953">
        <f t="shared" ca="1" si="18"/>
        <v>119969.78229467466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6905.4544372482414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11149.65</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13117.235294117647</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18055.104437248243</v>
      </c>
      <c r="C10" s="1026">
        <f>SUM(C4:C9)</f>
        <v>0</v>
      </c>
      <c r="D10" s="1026">
        <f t="shared" ref="D10:H10" si="0">SUM(D8:D9)</f>
        <v>0</v>
      </c>
      <c r="E10" s="1026">
        <f t="shared" si="0"/>
        <v>0</v>
      </c>
      <c r="F10" s="1026">
        <f t="shared" si="0"/>
        <v>0</v>
      </c>
      <c r="G10" s="1026">
        <f t="shared" si="0"/>
        <v>0</v>
      </c>
      <c r="H10" s="1026">
        <f t="shared" si="0"/>
        <v>0</v>
      </c>
      <c r="I10" s="1026">
        <f>SUM(I8:I9)</f>
        <v>0</v>
      </c>
      <c r="J10" s="1026">
        <f>SUM(J8:J9)</f>
        <v>13117.235294117647</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0.16518678174091517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15928.071428571429</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18738.907563025212</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15928.071428571429</v>
      </c>
      <c r="C20" s="1026">
        <f>SUM(C17:C19)</f>
        <v>0</v>
      </c>
      <c r="D20" s="1026">
        <f t="shared" ref="D20:H20" si="2">SUM(D17:D19)</f>
        <v>0</v>
      </c>
      <c r="E20" s="1026">
        <f t="shared" si="2"/>
        <v>0</v>
      </c>
      <c r="F20" s="1026">
        <f t="shared" si="2"/>
        <v>0</v>
      </c>
      <c r="G20" s="1026">
        <f t="shared" si="2"/>
        <v>0</v>
      </c>
      <c r="H20" s="1026">
        <f t="shared" si="2"/>
        <v>0</v>
      </c>
      <c r="I20" s="1026">
        <f>SUM(I17:I19)</f>
        <v>0</v>
      </c>
      <c r="J20" s="1026">
        <f>SUM(J17:J19)</f>
        <v>18738.907563025212</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0.16518678174091517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2</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38.133333333333333</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0.16518678174091517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0.16518678174091517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6230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4671.5899999999901</v>
      </c>
      <c r="C14" s="330"/>
      <c r="D14" s="330"/>
      <c r="E14" s="330"/>
      <c r="F14" s="330"/>
    </row>
    <row r="15" spans="1:6">
      <c r="A15" s="1293" t="s">
        <v>183</v>
      </c>
      <c r="B15" s="1294">
        <v>102</v>
      </c>
      <c r="C15" s="330"/>
      <c r="D15" s="330"/>
      <c r="E15" s="330"/>
      <c r="F15" s="330"/>
    </row>
    <row r="16" spans="1:6">
      <c r="A16" s="1293" t="s">
        <v>6</v>
      </c>
      <c r="B16" s="1294">
        <v>4267</v>
      </c>
      <c r="C16" s="330"/>
      <c r="D16" s="330"/>
      <c r="E16" s="330"/>
      <c r="F16" s="330"/>
    </row>
    <row r="17" spans="1:6">
      <c r="A17" s="1293" t="s">
        <v>7</v>
      </c>
      <c r="B17" s="1294">
        <v>1314</v>
      </c>
      <c r="C17" s="330"/>
      <c r="D17" s="330"/>
      <c r="E17" s="330"/>
      <c r="F17" s="330"/>
    </row>
    <row r="18" spans="1:6">
      <c r="A18" s="1293" t="s">
        <v>8</v>
      </c>
      <c r="B18" s="1294">
        <v>3161</v>
      </c>
      <c r="C18" s="330"/>
      <c r="D18" s="330"/>
      <c r="E18" s="330"/>
      <c r="F18" s="330"/>
    </row>
    <row r="19" spans="1:6">
      <c r="A19" s="1293" t="s">
        <v>9</v>
      </c>
      <c r="B19" s="1294">
        <v>3147</v>
      </c>
      <c r="C19" s="330"/>
      <c r="D19" s="330"/>
      <c r="E19" s="330"/>
      <c r="F19" s="330"/>
    </row>
    <row r="20" spans="1:6">
      <c r="A20" s="1293" t="s">
        <v>10</v>
      </c>
      <c r="B20" s="1294">
        <v>1656</v>
      </c>
      <c r="C20" s="330"/>
      <c r="D20" s="330"/>
      <c r="E20" s="330"/>
      <c r="F20" s="330"/>
    </row>
    <row r="21" spans="1:6">
      <c r="A21" s="1293" t="s">
        <v>11</v>
      </c>
      <c r="B21" s="1294">
        <v>15169</v>
      </c>
      <c r="C21" s="330"/>
      <c r="D21" s="330"/>
      <c r="E21" s="330"/>
      <c r="F21" s="330"/>
    </row>
    <row r="22" spans="1:6">
      <c r="A22" s="1293" t="s">
        <v>12</v>
      </c>
      <c r="B22" s="1294">
        <v>40015</v>
      </c>
      <c r="C22" s="330"/>
      <c r="D22" s="330"/>
      <c r="E22" s="330"/>
      <c r="F22" s="330"/>
    </row>
    <row r="23" spans="1:6">
      <c r="A23" s="1293" t="s">
        <v>13</v>
      </c>
      <c r="B23" s="1294">
        <v>626</v>
      </c>
      <c r="C23" s="330"/>
      <c r="D23" s="330"/>
      <c r="E23" s="330"/>
      <c r="F23" s="330"/>
    </row>
    <row r="24" spans="1:6">
      <c r="A24" s="1293" t="s">
        <v>14</v>
      </c>
      <c r="B24" s="1294">
        <v>20</v>
      </c>
      <c r="C24" s="330"/>
      <c r="D24" s="330"/>
      <c r="E24" s="330"/>
      <c r="F24" s="330"/>
    </row>
    <row r="25" spans="1:6">
      <c r="A25" s="1293" t="s">
        <v>15</v>
      </c>
      <c r="B25" s="1294">
        <v>3543</v>
      </c>
      <c r="C25" s="330"/>
      <c r="D25" s="330"/>
      <c r="E25" s="330"/>
      <c r="F25" s="330"/>
    </row>
    <row r="26" spans="1:6">
      <c r="A26" s="1293" t="s">
        <v>16</v>
      </c>
      <c r="B26" s="1294">
        <v>691</v>
      </c>
      <c r="C26" s="330"/>
      <c r="D26" s="330"/>
      <c r="E26" s="330"/>
      <c r="F26" s="330"/>
    </row>
    <row r="27" spans="1:6">
      <c r="A27" s="1293" t="s">
        <v>17</v>
      </c>
      <c r="B27" s="1294">
        <v>5</v>
      </c>
      <c r="C27" s="330"/>
      <c r="D27" s="330"/>
      <c r="E27" s="330"/>
      <c r="F27" s="330"/>
    </row>
    <row r="28" spans="1:6" s="43" customFormat="1">
      <c r="A28" s="1295" t="s">
        <v>18</v>
      </c>
      <c r="B28" s="1296">
        <v>133526</v>
      </c>
      <c r="C28" s="336"/>
      <c r="D28" s="336"/>
      <c r="E28" s="336"/>
      <c r="F28" s="336"/>
    </row>
    <row r="29" spans="1:6">
      <c r="A29" s="1295" t="s">
        <v>734</v>
      </c>
      <c r="B29" s="1296">
        <v>275</v>
      </c>
      <c r="C29" s="336"/>
      <c r="D29" s="336"/>
      <c r="E29" s="336"/>
      <c r="F29" s="336"/>
    </row>
    <row r="30" spans="1:6">
      <c r="A30" s="1288" t="s">
        <v>735</v>
      </c>
      <c r="B30" s="1297">
        <v>58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6335</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9255</v>
      </c>
    </row>
    <row r="39" spans="1:6">
      <c r="A39" s="1293" t="s">
        <v>29</v>
      </c>
      <c r="B39" s="1293" t="s">
        <v>30</v>
      </c>
      <c r="C39" s="1294">
        <v>3544</v>
      </c>
      <c r="D39" s="1294">
        <v>53940413.205776103</v>
      </c>
      <c r="E39" s="1294">
        <v>5813</v>
      </c>
      <c r="F39" s="1294">
        <v>24799342.271016002</v>
      </c>
    </row>
    <row r="40" spans="1:6">
      <c r="A40" s="1293" t="s">
        <v>29</v>
      </c>
      <c r="B40" s="1293" t="s">
        <v>28</v>
      </c>
      <c r="C40" s="1294">
        <v>0</v>
      </c>
      <c r="D40" s="1294">
        <v>0</v>
      </c>
      <c r="E40" s="1294">
        <v>0</v>
      </c>
      <c r="F40" s="1294">
        <v>0</v>
      </c>
    </row>
    <row r="41" spans="1:6">
      <c r="A41" s="1293" t="s">
        <v>31</v>
      </c>
      <c r="B41" s="1293" t="s">
        <v>32</v>
      </c>
      <c r="C41" s="1294">
        <v>99</v>
      </c>
      <c r="D41" s="1294">
        <v>1493048.02066463</v>
      </c>
      <c r="E41" s="1294">
        <v>212</v>
      </c>
      <c r="F41" s="1294">
        <v>5886840.6310660299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211573.91361929901</v>
      </c>
      <c r="E44" s="1294">
        <v>20</v>
      </c>
      <c r="F44" s="1294">
        <v>2842053.3103152802</v>
      </c>
    </row>
    <row r="45" spans="1:6">
      <c r="A45" s="1293" t="s">
        <v>31</v>
      </c>
      <c r="B45" s="1293" t="s">
        <v>36</v>
      </c>
      <c r="C45" s="1294">
        <v>0</v>
      </c>
      <c r="D45" s="1294">
        <v>0</v>
      </c>
      <c r="E45" s="1294">
        <v>3</v>
      </c>
      <c r="F45" s="1294">
        <v>62288.709104811001</v>
      </c>
    </row>
    <row r="46" spans="1:6">
      <c r="A46" s="1293" t="s">
        <v>31</v>
      </c>
      <c r="B46" s="1293" t="s">
        <v>37</v>
      </c>
      <c r="C46" s="1294">
        <v>0</v>
      </c>
      <c r="D46" s="1294">
        <v>0</v>
      </c>
      <c r="E46" s="1294">
        <v>0</v>
      </c>
      <c r="F46" s="1294">
        <v>0</v>
      </c>
    </row>
    <row r="47" spans="1:6">
      <c r="A47" s="1293" t="s">
        <v>31</v>
      </c>
      <c r="B47" s="1293" t="s">
        <v>38</v>
      </c>
      <c r="C47" s="1294">
        <v>0</v>
      </c>
      <c r="D47" s="1294">
        <v>0</v>
      </c>
      <c r="E47" s="1294">
        <v>5</v>
      </c>
      <c r="F47" s="1294">
        <v>143750.78413946001</v>
      </c>
    </row>
    <row r="48" spans="1:6">
      <c r="A48" s="1293" t="s">
        <v>31</v>
      </c>
      <c r="B48" s="1293" t="s">
        <v>28</v>
      </c>
      <c r="C48" s="1294">
        <v>43</v>
      </c>
      <c r="D48" s="1294">
        <v>19578660.366785701</v>
      </c>
      <c r="E48" s="1294">
        <v>44</v>
      </c>
      <c r="F48" s="1294">
        <v>4566359.4873049296</v>
      </c>
    </row>
    <row r="49" spans="1:6">
      <c r="A49" s="1293" t="s">
        <v>31</v>
      </c>
      <c r="B49" s="1293" t="s">
        <v>39</v>
      </c>
      <c r="C49" s="1294">
        <v>0</v>
      </c>
      <c r="D49" s="1294">
        <v>0</v>
      </c>
      <c r="E49" s="1294">
        <v>3</v>
      </c>
      <c r="F49" s="1294">
        <v>21507.770702831898</v>
      </c>
    </row>
    <row r="50" spans="1:6">
      <c r="A50" s="1293" t="s">
        <v>31</v>
      </c>
      <c r="B50" s="1293" t="s">
        <v>40</v>
      </c>
      <c r="C50" s="1294">
        <v>8</v>
      </c>
      <c r="D50" s="1294">
        <v>1428799.0197966699</v>
      </c>
      <c r="E50" s="1294">
        <v>16</v>
      </c>
      <c r="F50" s="1294">
        <v>4215470.0198975997</v>
      </c>
    </row>
    <row r="51" spans="1:6">
      <c r="A51" s="1293" t="s">
        <v>41</v>
      </c>
      <c r="B51" s="1293" t="s">
        <v>42</v>
      </c>
      <c r="C51" s="1294">
        <v>8</v>
      </c>
      <c r="D51" s="1294">
        <v>190153.40787200999</v>
      </c>
      <c r="E51" s="1294">
        <v>199</v>
      </c>
      <c r="F51" s="1294">
        <v>4259993.2544358401</v>
      </c>
    </row>
    <row r="52" spans="1:6">
      <c r="A52" s="1293" t="s">
        <v>41</v>
      </c>
      <c r="B52" s="1293" t="s">
        <v>28</v>
      </c>
      <c r="C52" s="1294">
        <v>4</v>
      </c>
      <c r="D52" s="1294">
        <v>78861.575208825205</v>
      </c>
      <c r="E52" s="1294">
        <v>5</v>
      </c>
      <c r="F52" s="1294">
        <v>37552.403059021497</v>
      </c>
    </row>
    <row r="53" spans="1:6">
      <c r="A53" s="1293" t="s">
        <v>43</v>
      </c>
      <c r="B53" s="1293" t="s">
        <v>44</v>
      </c>
      <c r="C53" s="1294">
        <v>95</v>
      </c>
      <c r="D53" s="1294">
        <v>2044221.6318828401</v>
      </c>
      <c r="E53" s="1294">
        <v>203</v>
      </c>
      <c r="F53" s="1294">
        <v>1095354.5618165301</v>
      </c>
    </row>
    <row r="54" spans="1:6">
      <c r="A54" s="1293" t="s">
        <v>45</v>
      </c>
      <c r="B54" s="1293" t="s">
        <v>46</v>
      </c>
      <c r="C54" s="1294">
        <v>0</v>
      </c>
      <c r="D54" s="1294">
        <v>0</v>
      </c>
      <c r="E54" s="1294">
        <v>1</v>
      </c>
      <c r="F54" s="1294">
        <v>1113236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48</v>
      </c>
      <c r="D57" s="1294">
        <v>19811933.969351899</v>
      </c>
      <c r="E57" s="1294">
        <v>117</v>
      </c>
      <c r="F57" s="1294">
        <v>4166010.3524086</v>
      </c>
    </row>
    <row r="58" spans="1:6">
      <c r="A58" s="1293" t="s">
        <v>48</v>
      </c>
      <c r="B58" s="1293" t="s">
        <v>50</v>
      </c>
      <c r="C58" s="1294">
        <v>36</v>
      </c>
      <c r="D58" s="1294">
        <v>2576827.4801814598</v>
      </c>
      <c r="E58" s="1294">
        <v>56</v>
      </c>
      <c r="F58" s="1294">
        <v>797424.90170934005</v>
      </c>
    </row>
    <row r="59" spans="1:6">
      <c r="A59" s="1293" t="s">
        <v>48</v>
      </c>
      <c r="B59" s="1293" t="s">
        <v>51</v>
      </c>
      <c r="C59" s="1294">
        <v>63</v>
      </c>
      <c r="D59" s="1294">
        <v>2408197.3609176599</v>
      </c>
      <c r="E59" s="1294">
        <v>138</v>
      </c>
      <c r="F59" s="1294">
        <v>4950421.9975655302</v>
      </c>
    </row>
    <row r="60" spans="1:6">
      <c r="A60" s="1293" t="s">
        <v>48</v>
      </c>
      <c r="B60" s="1293" t="s">
        <v>52</v>
      </c>
      <c r="C60" s="1294">
        <v>29</v>
      </c>
      <c r="D60" s="1294">
        <v>1163390.3061668801</v>
      </c>
      <c r="E60" s="1294">
        <v>59</v>
      </c>
      <c r="F60" s="1294">
        <v>1524440.78421701</v>
      </c>
    </row>
    <row r="61" spans="1:6">
      <c r="A61" s="1293" t="s">
        <v>48</v>
      </c>
      <c r="B61" s="1293" t="s">
        <v>53</v>
      </c>
      <c r="C61" s="1294">
        <v>82</v>
      </c>
      <c r="D61" s="1294">
        <v>3670153.7184343399</v>
      </c>
      <c r="E61" s="1294">
        <v>196</v>
      </c>
      <c r="F61" s="1294">
        <v>2282457.92785468</v>
      </c>
    </row>
    <row r="62" spans="1:6">
      <c r="A62" s="1293" t="s">
        <v>48</v>
      </c>
      <c r="B62" s="1293" t="s">
        <v>54</v>
      </c>
      <c r="C62" s="1294">
        <v>7</v>
      </c>
      <c r="D62" s="1294">
        <v>549054.92322219198</v>
      </c>
      <c r="E62" s="1294">
        <v>11</v>
      </c>
      <c r="F62" s="1294">
        <v>181646.14319617199</v>
      </c>
    </row>
    <row r="63" spans="1:6">
      <c r="A63" s="1293" t="s">
        <v>48</v>
      </c>
      <c r="B63" s="1293" t="s">
        <v>28</v>
      </c>
      <c r="C63" s="1294">
        <v>96</v>
      </c>
      <c r="D63" s="1294">
        <v>17054409.7235604</v>
      </c>
      <c r="E63" s="1294">
        <v>122</v>
      </c>
      <c r="F63" s="1294">
        <v>4150132.8903139201</v>
      </c>
    </row>
    <row r="64" spans="1:6">
      <c r="A64" s="1293" t="s">
        <v>55</v>
      </c>
      <c r="B64" s="1293" t="s">
        <v>56</v>
      </c>
      <c r="C64" s="1294">
        <v>0</v>
      </c>
      <c r="D64" s="1294">
        <v>0</v>
      </c>
      <c r="E64" s="1294">
        <v>0</v>
      </c>
      <c r="F64" s="1294">
        <v>0</v>
      </c>
    </row>
    <row r="65" spans="1:6">
      <c r="A65" s="1293" t="s">
        <v>55</v>
      </c>
      <c r="B65" s="1293" t="s">
        <v>28</v>
      </c>
      <c r="C65" s="1294">
        <v>1</v>
      </c>
      <c r="D65" s="1294">
        <v>10677.442106746499</v>
      </c>
      <c r="E65" s="1294">
        <v>1</v>
      </c>
      <c r="F65" s="1294">
        <v>6578.0885301843</v>
      </c>
    </row>
    <row r="66" spans="1:6">
      <c r="A66" s="1293" t="s">
        <v>55</v>
      </c>
      <c r="B66" s="1293" t="s">
        <v>57</v>
      </c>
      <c r="C66" s="1294">
        <v>0</v>
      </c>
      <c r="D66" s="1294">
        <v>0</v>
      </c>
      <c r="E66" s="1294">
        <v>17</v>
      </c>
      <c r="F66" s="1294">
        <v>320899.88620630797</v>
      </c>
    </row>
    <row r="67" spans="1:6">
      <c r="A67" s="1295" t="s">
        <v>55</v>
      </c>
      <c r="B67" s="1295" t="s">
        <v>58</v>
      </c>
      <c r="C67" s="1294">
        <v>0</v>
      </c>
      <c r="D67" s="1294">
        <v>0</v>
      </c>
      <c r="E67" s="1294">
        <v>0</v>
      </c>
      <c r="F67" s="1294">
        <v>0</v>
      </c>
    </row>
    <row r="68" spans="1:6">
      <c r="A68" s="1288" t="s">
        <v>55</v>
      </c>
      <c r="B68" s="1288" t="s">
        <v>59</v>
      </c>
      <c r="C68" s="1297">
        <v>7</v>
      </c>
      <c r="D68" s="1297">
        <v>205585.39470510001</v>
      </c>
      <c r="E68" s="1297">
        <v>18</v>
      </c>
      <c r="F68" s="1297">
        <v>180351.38144074299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57951100</v>
      </c>
      <c r="E73" s="449"/>
      <c r="F73" s="330"/>
    </row>
    <row r="74" spans="1:6">
      <c r="A74" s="1293" t="s">
        <v>63</v>
      </c>
      <c r="B74" s="1293" t="s">
        <v>656</v>
      </c>
      <c r="C74" s="1307" t="s">
        <v>658</v>
      </c>
      <c r="D74" s="1308">
        <v>5246423.5</v>
      </c>
      <c r="E74" s="449"/>
      <c r="F74" s="330"/>
    </row>
    <row r="75" spans="1:6">
      <c r="A75" s="1293" t="s">
        <v>64</v>
      </c>
      <c r="B75" s="1293" t="s">
        <v>655</v>
      </c>
      <c r="C75" s="1307" t="s">
        <v>659</v>
      </c>
      <c r="D75" s="1308">
        <v>25782934</v>
      </c>
      <c r="E75" s="449"/>
      <c r="F75" s="330"/>
    </row>
    <row r="76" spans="1:6">
      <c r="A76" s="1293" t="s">
        <v>64</v>
      </c>
      <c r="B76" s="1293" t="s">
        <v>656</v>
      </c>
      <c r="C76" s="1307" t="s">
        <v>660</v>
      </c>
      <c r="D76" s="1308">
        <v>2550882.5</v>
      </c>
      <c r="E76" s="449"/>
      <c r="F76" s="330"/>
    </row>
    <row r="77" spans="1:6">
      <c r="A77" s="1293" t="s">
        <v>65</v>
      </c>
      <c r="B77" s="1293" t="s">
        <v>655</v>
      </c>
      <c r="C77" s="1307" t="s">
        <v>661</v>
      </c>
      <c r="D77" s="1308">
        <v>165363399</v>
      </c>
      <c r="E77" s="449"/>
      <c r="F77" s="330"/>
    </row>
    <row r="78" spans="1:6">
      <c r="A78" s="1288" t="s">
        <v>65</v>
      </c>
      <c r="B78" s="1288" t="s">
        <v>656</v>
      </c>
      <c r="C78" s="1288" t="s">
        <v>662</v>
      </c>
      <c r="D78" s="1309">
        <v>29332210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283621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4312.0410596558886</v>
      </c>
      <c r="C91" s="330"/>
      <c r="D91" s="330"/>
      <c r="E91" s="330"/>
      <c r="F91" s="330"/>
    </row>
    <row r="92" spans="1:6">
      <c r="A92" s="1288" t="s">
        <v>68</v>
      </c>
      <c r="B92" s="1289">
        <v>2593.4133775923533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1822</v>
      </c>
      <c r="C97" s="330"/>
      <c r="D97" s="330"/>
      <c r="E97" s="330"/>
      <c r="F97" s="330"/>
    </row>
    <row r="98" spans="1:6">
      <c r="A98" s="1293" t="s">
        <v>71</v>
      </c>
      <c r="B98" s="1294">
        <v>0</v>
      </c>
      <c r="C98" s="330"/>
      <c r="D98" s="330"/>
      <c r="E98" s="330"/>
      <c r="F98" s="330"/>
    </row>
    <row r="99" spans="1:6">
      <c r="A99" s="1293" t="s">
        <v>72</v>
      </c>
      <c r="B99" s="1294">
        <v>231</v>
      </c>
      <c r="C99" s="330"/>
      <c r="D99" s="330"/>
      <c r="E99" s="330"/>
      <c r="F99" s="330"/>
    </row>
    <row r="100" spans="1:6">
      <c r="A100" s="1293" t="s">
        <v>73</v>
      </c>
      <c r="B100" s="1294">
        <v>578</v>
      </c>
      <c r="C100" s="330"/>
      <c r="D100" s="330"/>
      <c r="E100" s="330"/>
      <c r="F100" s="330"/>
    </row>
    <row r="101" spans="1:6">
      <c r="A101" s="1293" t="s">
        <v>74</v>
      </c>
      <c r="B101" s="1294">
        <v>208</v>
      </c>
      <c r="C101" s="330"/>
      <c r="D101" s="330"/>
      <c r="E101" s="330"/>
      <c r="F101" s="330"/>
    </row>
    <row r="102" spans="1:6">
      <c r="A102" s="1293" t="s">
        <v>75</v>
      </c>
      <c r="B102" s="1294">
        <v>118</v>
      </c>
      <c r="C102" s="330"/>
      <c r="D102" s="330"/>
      <c r="E102" s="330"/>
      <c r="F102" s="330"/>
    </row>
    <row r="103" spans="1:6">
      <c r="A103" s="1293" t="s">
        <v>76</v>
      </c>
      <c r="B103" s="1294">
        <v>262</v>
      </c>
      <c r="C103" s="330"/>
      <c r="D103" s="330"/>
      <c r="E103" s="330"/>
      <c r="F103" s="330"/>
    </row>
    <row r="104" spans="1:6">
      <c r="A104" s="1293" t="s">
        <v>77</v>
      </c>
      <c r="B104" s="1294">
        <v>2094</v>
      </c>
      <c r="C104" s="330"/>
      <c r="D104" s="330"/>
      <c r="E104" s="330"/>
      <c r="F104" s="330"/>
    </row>
    <row r="105" spans="1:6">
      <c r="A105" s="1288" t="s">
        <v>78</v>
      </c>
      <c r="B105" s="1297">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2</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33</v>
      </c>
      <c r="C123" s="1294">
        <v>30</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315</v>
      </c>
      <c r="C129" s="330"/>
      <c r="D129" s="330"/>
      <c r="E129" s="330"/>
      <c r="F129" s="330"/>
    </row>
    <row r="130" spans="1:6">
      <c r="A130" s="1293" t="s">
        <v>294</v>
      </c>
      <c r="B130" s="1294">
        <v>7</v>
      </c>
      <c r="C130" s="330"/>
      <c r="D130" s="330"/>
      <c r="E130" s="330"/>
      <c r="F130" s="330"/>
    </row>
    <row r="131" spans="1:6">
      <c r="A131" s="1293" t="s">
        <v>295</v>
      </c>
      <c r="B131" s="1294">
        <v>2</v>
      </c>
      <c r="C131" s="330"/>
      <c r="D131" s="330"/>
      <c r="E131" s="330"/>
      <c r="F131" s="330"/>
    </row>
    <row r="132" spans="1:6">
      <c r="A132" s="1288" t="s">
        <v>296</v>
      </c>
      <c r="B132" s="1289">
        <v>38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71491.632360446645</v>
      </c>
      <c r="C3" s="43" t="s">
        <v>169</v>
      </c>
      <c r="D3" s="43"/>
      <c r="E3" s="154"/>
      <c r="F3" s="43"/>
      <c r="G3" s="43"/>
      <c r="H3" s="43"/>
      <c r="I3" s="43"/>
      <c r="J3" s="43"/>
      <c r="K3" s="96"/>
    </row>
    <row r="4" spans="1:11">
      <c r="A4" s="358" t="s">
        <v>170</v>
      </c>
      <c r="B4" s="49">
        <f>IF(ISERROR('SEAP template'!B78+'SEAP template'!C78),0,'SEAP template'!B78+'SEAP template'!C78)</f>
        <v>18055.104437248243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0.16518678174091517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15928.071428571429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1113.2360000000001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1113.2360000000001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0.16518678174091517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183.89187215812944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24799.342271016001</v>
      </c>
      <c r="C5" s="17">
        <f>IF(ISERROR('Eigen informatie GS &amp; warmtenet'!B57),0,'Eigen informatie GS &amp; warmtenet'!B57)</f>
        <v>0</v>
      </c>
      <c r="D5" s="30">
        <f>(SUM(HH_hh_gas_kWh,HH_rest_gas_kWh)/1000)*0.902</f>
        <v>48654.252711610046</v>
      </c>
      <c r="E5" s="17">
        <f>B46*B57</f>
        <v>23780.427124286864</v>
      </c>
      <c r="F5" s="17">
        <f>B51*B62</f>
        <v>11351.757060885335</v>
      </c>
      <c r="G5" s="18"/>
      <c r="H5" s="17"/>
      <c r="I5" s="17"/>
      <c r="J5" s="17">
        <f>B50*B61+C50*C61</f>
        <v>1216.1516091584119</v>
      </c>
      <c r="K5" s="17"/>
      <c r="L5" s="17"/>
      <c r="M5" s="17"/>
      <c r="N5" s="17">
        <f>B48*B59+C48*C59</f>
        <v>29512.581100532199</v>
      </c>
      <c r="O5" s="17">
        <f>B69*B70*B71</f>
        <v>540.91333333333341</v>
      </c>
      <c r="P5" s="17">
        <f>B77*B78*B79/1000-B77*B78*B79/1000/B80</f>
        <v>1372.8</v>
      </c>
    </row>
    <row r="6" spans="1:16">
      <c r="A6" s="16" t="s">
        <v>620</v>
      </c>
      <c r="B6" s="762">
        <f>kWh_PV_kleiner_dan_10kW</f>
        <v>4312.0410596558886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29111.383330671888</v>
      </c>
      <c r="C8" s="21">
        <f>C5</f>
        <v>0</v>
      </c>
      <c r="D8" s="21">
        <f>D5</f>
        <v>48654.252711610046</v>
      </c>
      <c r="E8" s="21">
        <f>E5</f>
        <v>23780.427124286864</v>
      </c>
      <c r="F8" s="21">
        <f>F5</f>
        <v>11351.757060885335</v>
      </c>
      <c r="G8" s="21"/>
      <c r="H8" s="21"/>
      <c r="I8" s="21"/>
      <c r="J8" s="21">
        <f>J5</f>
        <v>1216.1516091584119</v>
      </c>
      <c r="K8" s="21"/>
      <c r="L8" s="21">
        <f>L5</f>
        <v>0</v>
      </c>
      <c r="M8" s="21">
        <f>M5</f>
        <v>0</v>
      </c>
      <c r="N8" s="21">
        <f>N5</f>
        <v>29512.581100532199</v>
      </c>
      <c r="O8" s="21">
        <f>O5</f>
        <v>540.91333333333341</v>
      </c>
      <c r="P8" s="21">
        <f>P5</f>
        <v>1372.8</v>
      </c>
    </row>
    <row r="9" spans="1:16">
      <c r="B9" s="19"/>
      <c r="C9" s="19"/>
      <c r="D9" s="258"/>
      <c r="E9" s="19"/>
      <c r="F9" s="19"/>
      <c r="G9" s="19"/>
      <c r="H9" s="19"/>
      <c r="I9" s="19"/>
      <c r="J9" s="19"/>
      <c r="K9" s="19"/>
      <c r="L9" s="19"/>
      <c r="M9" s="19"/>
      <c r="N9" s="19"/>
      <c r="O9" s="19"/>
      <c r="P9" s="19"/>
    </row>
    <row r="10" spans="1:16">
      <c r="A10" s="24" t="s">
        <v>213</v>
      </c>
      <c r="B10" s="25">
        <f ca="1">'EF ele_warmte'!B12</f>
        <v>0.16518678174091517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4808.8157244198128</v>
      </c>
      <c r="C12" s="23">
        <f ca="1">C10*C8</f>
        <v>0</v>
      </c>
      <c r="D12" s="23">
        <f>D8*D10</f>
        <v>9828.1590477452301</v>
      </c>
      <c r="E12" s="23">
        <f>E10*E8</f>
        <v>5398.1569572131184</v>
      </c>
      <c r="F12" s="23">
        <f>F10*F8</f>
        <v>3030.9191352563844</v>
      </c>
      <c r="G12" s="23"/>
      <c r="H12" s="23"/>
      <c r="I12" s="23"/>
      <c r="J12" s="23">
        <f>J10*J8</f>
        <v>430.51766964207781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1822</v>
      </c>
      <c r="C18" s="166" t="s">
        <v>110</v>
      </c>
      <c r="D18" s="228"/>
      <c r="E18" s="15"/>
    </row>
    <row r="19" spans="1:7">
      <c r="A19" s="171" t="s">
        <v>71</v>
      </c>
      <c r="B19" s="37">
        <f>aantalw2001_ander</f>
        <v>0</v>
      </c>
      <c r="C19" s="166" t="s">
        <v>110</v>
      </c>
      <c r="D19" s="229"/>
      <c r="E19" s="15"/>
    </row>
    <row r="20" spans="1:7">
      <c r="A20" s="171" t="s">
        <v>72</v>
      </c>
      <c r="B20" s="37">
        <f>aantalw2001_propaan</f>
        <v>231</v>
      </c>
      <c r="C20" s="167">
        <f>IF(ISERROR(B20/SUM($B$20,$B$21,$B$22)*100),0,B20/SUM($B$20,$B$21,$B$22)*100)</f>
        <v>22.713864306784661</v>
      </c>
      <c r="D20" s="229"/>
      <c r="E20" s="15"/>
    </row>
    <row r="21" spans="1:7">
      <c r="A21" s="171" t="s">
        <v>73</v>
      </c>
      <c r="B21" s="37">
        <f>aantalw2001_elektriciteit</f>
        <v>578</v>
      </c>
      <c r="C21" s="167">
        <f>IF(ISERROR(B21/SUM($B$20,$B$21,$B$22)*100),0,B21/SUM($B$20,$B$21,$B$22)*100)</f>
        <v>56.83382497541789</v>
      </c>
      <c r="D21" s="229"/>
      <c r="E21" s="15"/>
    </row>
    <row r="22" spans="1:7">
      <c r="A22" s="171" t="s">
        <v>74</v>
      </c>
      <c r="B22" s="37">
        <f>aantalw2001_hout</f>
        <v>208</v>
      </c>
      <c r="C22" s="167">
        <f>IF(ISERROR(B22/SUM($B$20,$B$21,$B$22)*100),0,B22/SUM($B$20,$B$21,$B$22)*100)</f>
        <v>20.452310717797442</v>
      </c>
      <c r="D22" s="229"/>
      <c r="E22" s="15"/>
    </row>
    <row r="23" spans="1:7">
      <c r="A23" s="171" t="s">
        <v>75</v>
      </c>
      <c r="B23" s="37">
        <f>aantalw2001_niet_gespec</f>
        <v>118</v>
      </c>
      <c r="C23" s="166" t="s">
        <v>110</v>
      </c>
      <c r="D23" s="228"/>
      <c r="E23" s="15"/>
    </row>
    <row r="24" spans="1:7">
      <c r="A24" s="171" t="s">
        <v>76</v>
      </c>
      <c r="B24" s="37">
        <f>aantalw2001_steenkool</f>
        <v>262</v>
      </c>
      <c r="C24" s="166" t="s">
        <v>110</v>
      </c>
      <c r="D24" s="229"/>
      <c r="E24" s="15"/>
    </row>
    <row r="25" spans="1:7">
      <c r="A25" s="171" t="s">
        <v>77</v>
      </c>
      <c r="B25" s="37">
        <f>aantalw2001_stookolie</f>
        <v>2094</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780</v>
      </c>
      <c r="B28" s="37">
        <f>aantalHuishoudens</f>
        <v>6230</v>
      </c>
      <c r="C28" s="36"/>
      <c r="D28" s="228"/>
    </row>
    <row r="29" spans="1:7" s="15" customFormat="1">
      <c r="A29" s="230" t="s">
        <v>781</v>
      </c>
      <c r="B29" s="37">
        <f>SUM(HH_hh_gas_aantal,HH_rest_gas_aantal)</f>
        <v>3544</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3544</v>
      </c>
      <c r="C32" s="167">
        <f>IF(ISERROR(B32/SUM($B$32,$B$34,$B$35,$B$36,$B$38,$B$39)*100),0,B32/SUM($B$32,$B$34,$B$35,$B$36,$B$38,$B$39)*100)</f>
        <v>57.551152971744067</v>
      </c>
      <c r="D32" s="233"/>
      <c r="G32" s="15"/>
    </row>
    <row r="33" spans="1:7">
      <c r="A33" s="171" t="s">
        <v>71</v>
      </c>
      <c r="B33" s="34" t="s">
        <v>110</v>
      </c>
      <c r="C33" s="167"/>
      <c r="D33" s="233"/>
      <c r="G33" s="15"/>
    </row>
    <row r="34" spans="1:7">
      <c r="A34" s="171" t="s">
        <v>72</v>
      </c>
      <c r="B34" s="33">
        <f>IF((($B$28-$B$32-$B$39-$B$77-$B$38)*C20/100)&lt;0,0,($B$28-$B$32-$B$39-$B$77-$B$38)*C20/100)</f>
        <v>449.73451327433634</v>
      </c>
      <c r="C34" s="167">
        <f>IF(ISERROR(B34/SUM($B$32,$B$34,$B$35,$B$36,$B$38,$B$39)*100),0,B34/SUM($B$32,$B$34,$B$35,$B$36,$B$38,$B$39)*100)</f>
        <v>7.3032561428115681</v>
      </c>
      <c r="D34" s="233"/>
      <c r="G34" s="15"/>
    </row>
    <row r="35" spans="1:7">
      <c r="A35" s="171" t="s">
        <v>73</v>
      </c>
      <c r="B35" s="33">
        <f>IF((($B$28-$B$32-$B$39-$B$77-$B$38)*C21/100)&lt;0,0,($B$28-$B$32-$B$39-$B$77-$B$38)*C21/100)</f>
        <v>1125.3097345132744</v>
      </c>
      <c r="C35" s="167">
        <f>IF(ISERROR(B35/SUM($B$32,$B$34,$B$35,$B$36,$B$38,$B$39)*100),0,B35/SUM($B$32,$B$34,$B$35,$B$36,$B$38,$B$39)*100)</f>
        <v>18.273948270757948</v>
      </c>
      <c r="D35" s="233"/>
      <c r="G35" s="15"/>
    </row>
    <row r="36" spans="1:7">
      <c r="A36" s="171" t="s">
        <v>74</v>
      </c>
      <c r="B36" s="33">
        <f>IF((($B$28-$B$32-$B$39-$B$77-$B$38)*C22/100)&lt;0,0,($B$28-$B$32-$B$39-$B$77-$B$38)*C22/100)</f>
        <v>404.95575221238943</v>
      </c>
      <c r="C36" s="167">
        <f>IF(ISERROR(B36/SUM($B$32,$B$34,$B$35,$B$36,$B$38,$B$39)*100),0,B36/SUM($B$32,$B$34,$B$35,$B$36,$B$38,$B$39)*100)</f>
        <v>6.5760921112762158</v>
      </c>
      <c r="D36" s="233"/>
      <c r="G36" s="15"/>
    </row>
    <row r="37" spans="1:7">
      <c r="A37" s="171" t="s">
        <v>75</v>
      </c>
      <c r="B37" s="34" t="s">
        <v>110</v>
      </c>
      <c r="C37" s="167"/>
      <c r="D37" s="173"/>
      <c r="G37" s="15"/>
    </row>
    <row r="38" spans="1:7">
      <c r="A38" s="171" t="s">
        <v>76</v>
      </c>
      <c r="B38" s="33">
        <f>IF((B24-(B29-B18)*0.1)&lt;0,0,B24-(B29-B18)*0.1)</f>
        <v>89.799999999999983</v>
      </c>
      <c r="C38" s="167">
        <f>IF(ISERROR(B38/SUM($B$32,$B$34,$B$35,$B$36,$B$38,$B$39)*100),0,B38/SUM($B$32,$B$34,$B$35,$B$36,$B$38,$B$39)*100)</f>
        <v>1.4582656706722958</v>
      </c>
      <c r="D38" s="234"/>
      <c r="G38" s="15"/>
    </row>
    <row r="39" spans="1:7">
      <c r="A39" s="171" t="s">
        <v>77</v>
      </c>
      <c r="B39" s="33">
        <f>IF((B25-(B29-B18))&lt;0,0,B25-(B29-B18)*0.9)</f>
        <v>544.20000000000005</v>
      </c>
      <c r="C39" s="167">
        <f>IF(ISERROR(B39/SUM($B$32,$B$34,$B$35,$B$36,$B$38,$B$39)*100),0,B39/SUM($B$32,$B$34,$B$35,$B$36,$B$38,$B$39)*100)</f>
        <v>8.8372848327379039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3544</v>
      </c>
      <c r="C44" s="34" t="s">
        <v>110</v>
      </c>
      <c r="D44" s="174"/>
    </row>
    <row r="45" spans="1:7">
      <c r="A45" s="171" t="s">
        <v>71</v>
      </c>
      <c r="B45" s="33" t="str">
        <f t="shared" si="0"/>
        <v>-</v>
      </c>
      <c r="C45" s="34" t="s">
        <v>110</v>
      </c>
      <c r="D45" s="174"/>
    </row>
    <row r="46" spans="1:7">
      <c r="A46" s="171" t="s">
        <v>72</v>
      </c>
      <c r="B46" s="33">
        <f t="shared" si="0"/>
        <v>449.73451327433634</v>
      </c>
      <c r="C46" s="34" t="s">
        <v>110</v>
      </c>
      <c r="D46" s="174"/>
    </row>
    <row r="47" spans="1:7">
      <c r="A47" s="171" t="s">
        <v>73</v>
      </c>
      <c r="B47" s="33">
        <f t="shared" si="0"/>
        <v>1125.3097345132744</v>
      </c>
      <c r="C47" s="34" t="s">
        <v>110</v>
      </c>
      <c r="D47" s="174"/>
    </row>
    <row r="48" spans="1:7">
      <c r="A48" s="171" t="s">
        <v>74</v>
      </c>
      <c r="B48" s="33">
        <f t="shared" si="0"/>
        <v>404.95575221238943</v>
      </c>
      <c r="C48" s="33">
        <f>B48*10</f>
        <v>4049.5575221238942</v>
      </c>
      <c r="D48" s="234"/>
    </row>
    <row r="49" spans="1:6">
      <c r="A49" s="171" t="s">
        <v>75</v>
      </c>
      <c r="B49" s="33" t="str">
        <f t="shared" si="0"/>
        <v>-</v>
      </c>
      <c r="C49" s="34" t="s">
        <v>110</v>
      </c>
      <c r="D49" s="234"/>
    </row>
    <row r="50" spans="1:6">
      <c r="A50" s="171" t="s">
        <v>76</v>
      </c>
      <c r="B50" s="33">
        <f t="shared" si="0"/>
        <v>89.799999999999983</v>
      </c>
      <c r="C50" s="33">
        <f>B50*2</f>
        <v>179.59999999999997</v>
      </c>
      <c r="D50" s="234"/>
    </row>
    <row r="51" spans="1:6">
      <c r="A51" s="171" t="s">
        <v>77</v>
      </c>
      <c r="B51" s="33">
        <f t="shared" si="0"/>
        <v>544.20000000000005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346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18052.534997265255</v>
      </c>
      <c r="C5" s="17">
        <f>IF(ISERROR('Eigen informatie GS &amp; warmtenet'!B58),0,'Eigen informatie GS &amp; warmtenet'!B58)</f>
        <v>0</v>
      </c>
      <c r="D5" s="30">
        <f>SUM(D6:D12)</f>
        <v>42605.038668615016</v>
      </c>
      <c r="E5" s="17">
        <f>SUM(E6:E12)</f>
        <v>260.68792609958979</v>
      </c>
      <c r="F5" s="17">
        <f>SUM(F6:F12)</f>
        <v>3447.4967242543062</v>
      </c>
      <c r="G5" s="18"/>
      <c r="H5" s="17"/>
      <c r="I5" s="17"/>
      <c r="J5" s="17">
        <f>SUM(J6:J12)</f>
        <v>0.10047740596992021</v>
      </c>
      <c r="K5" s="17"/>
      <c r="L5" s="17"/>
      <c r="M5" s="17"/>
      <c r="N5" s="17">
        <f>SUM(N6:N12)</f>
        <v>3961.8584954817766</v>
      </c>
      <c r="O5" s="17">
        <f>B38*B39*B40</f>
        <v>10.943333333333335</v>
      </c>
      <c r="P5" s="17">
        <f>B46*B47*B48/1000-B46*B47*B48/1000/B49</f>
        <v>38.133333333333333</v>
      </c>
      <c r="R5" s="32"/>
    </row>
    <row r="6" spans="1:18">
      <c r="A6" s="32" t="s">
        <v>53</v>
      </c>
      <c r="B6" s="37">
        <f>B26</f>
        <v>2282.4579278546798</v>
      </c>
      <c r="C6" s="33"/>
      <c r="D6" s="37">
        <f>IF(ISERROR(TER_kantoor_gas_kWh/1000),0,TER_kantoor_gas_kWh/1000)*0.902</f>
        <v>3310.4786540277746</v>
      </c>
      <c r="E6" s="33">
        <f>$C$26*'E Balans VL '!I12/100/3.6*1000000</f>
        <v>1.4305687158179228E-2</v>
      </c>
      <c r="F6" s="33">
        <f>$C$26*('E Balans VL '!L12+'E Balans VL '!N12)/100/3.6*1000000</f>
        <v>342.98964859931039</v>
      </c>
      <c r="G6" s="34"/>
      <c r="H6" s="33"/>
      <c r="I6" s="33"/>
      <c r="J6" s="33">
        <f>$C$26*('E Balans VL '!D12+'E Balans VL '!E12)/100/3.6*1000000</f>
        <v>0</v>
      </c>
      <c r="K6" s="33"/>
      <c r="L6" s="33"/>
      <c r="M6" s="33"/>
      <c r="N6" s="33">
        <f>$C$26*'E Balans VL '!Y12/100/3.6*1000000</f>
        <v>2.1828325964665063</v>
      </c>
      <c r="O6" s="33"/>
      <c r="P6" s="33"/>
      <c r="R6" s="32"/>
    </row>
    <row r="7" spans="1:18">
      <c r="A7" s="32" t="s">
        <v>52</v>
      </c>
      <c r="B7" s="37">
        <f t="shared" ref="B7:B12" si="0">B27</f>
        <v>1524.4407842170101</v>
      </c>
      <c r="C7" s="33"/>
      <c r="D7" s="37">
        <f>IF(ISERROR(TER_horeca_gas_kWh/1000),0,TER_horeca_gas_kWh/1000)*0.902</f>
        <v>1049.3780561625258</v>
      </c>
      <c r="E7" s="33">
        <f>$C$27*'E Balans VL '!I9/100/3.6*1000000</f>
        <v>21.829738106626422</v>
      </c>
      <c r="F7" s="33">
        <f>$C$27*('E Balans VL '!L9+'E Balans VL '!N9)/100/3.6*1000000</f>
        <v>193.04448127594006</v>
      </c>
      <c r="G7" s="34"/>
      <c r="H7" s="33"/>
      <c r="I7" s="33"/>
      <c r="J7" s="33">
        <f>$C$27*('E Balans VL '!D9+'E Balans VL '!E9)/100/3.6*1000000</f>
        <v>0</v>
      </c>
      <c r="K7" s="33"/>
      <c r="L7" s="33"/>
      <c r="M7" s="33"/>
      <c r="N7" s="33">
        <f>$C$27*'E Balans VL '!Y9/100/3.6*1000000</f>
        <v>0.43824311442825831</v>
      </c>
      <c r="O7" s="33"/>
      <c r="P7" s="33"/>
      <c r="R7" s="32"/>
    </row>
    <row r="8" spans="1:18">
      <c r="A8" s="6" t="s">
        <v>51</v>
      </c>
      <c r="B8" s="37">
        <f t="shared" si="0"/>
        <v>4950.4219975655305</v>
      </c>
      <c r="C8" s="33"/>
      <c r="D8" s="37">
        <f>IF(ISERROR(TER_handel_gas_kWh/1000),0,TER_handel_gas_kWh/1000)*0.902</f>
        <v>2172.1940195477291</v>
      </c>
      <c r="E8" s="33">
        <f>$C$28*'E Balans VL '!I13/100/3.6*1000000</f>
        <v>179.55119539301052</v>
      </c>
      <c r="F8" s="33">
        <f>$C$28*('E Balans VL '!L13+'E Balans VL '!N13)/100/3.6*1000000</f>
        <v>953.50140294077153</v>
      </c>
      <c r="G8" s="34"/>
      <c r="H8" s="33"/>
      <c r="I8" s="33"/>
      <c r="J8" s="33">
        <f>$C$28*('E Balans VL '!D13+'E Balans VL '!E13)/100/3.6*1000000</f>
        <v>0</v>
      </c>
      <c r="K8" s="33"/>
      <c r="L8" s="33"/>
      <c r="M8" s="33"/>
      <c r="N8" s="33">
        <f>$C$28*'E Balans VL '!Y13/100/3.6*1000000</f>
        <v>6.8574735079301794</v>
      </c>
      <c r="O8" s="33"/>
      <c r="P8" s="33"/>
      <c r="R8" s="32"/>
    </row>
    <row r="9" spans="1:18">
      <c r="A9" s="32" t="s">
        <v>50</v>
      </c>
      <c r="B9" s="37">
        <f t="shared" si="0"/>
        <v>797.42490170934002</v>
      </c>
      <c r="C9" s="33"/>
      <c r="D9" s="37">
        <f>IF(ISERROR(TER_gezond_gas_kWh/1000),0,TER_gezond_gas_kWh/1000)*0.902</f>
        <v>2324.2983871236765</v>
      </c>
      <c r="E9" s="33">
        <f>$C$29*'E Balans VL '!I10/100/3.6*1000000</f>
        <v>4.9926671995542536E-2</v>
      </c>
      <c r="F9" s="33">
        <f>$C$29*('E Balans VL '!L10+'E Balans VL '!N10)/100/3.6*1000000</f>
        <v>118.45989707652457</v>
      </c>
      <c r="G9" s="34"/>
      <c r="H9" s="33"/>
      <c r="I9" s="33"/>
      <c r="J9" s="33">
        <f>$C$29*('E Balans VL '!D10+'E Balans VL '!E10)/100/3.6*1000000</f>
        <v>0</v>
      </c>
      <c r="K9" s="33"/>
      <c r="L9" s="33"/>
      <c r="M9" s="33"/>
      <c r="N9" s="33">
        <f>$C$29*'E Balans VL '!Y10/100/3.6*1000000</f>
        <v>12.334645324565821</v>
      </c>
      <c r="O9" s="33"/>
      <c r="P9" s="33"/>
      <c r="R9" s="32"/>
    </row>
    <row r="10" spans="1:18">
      <c r="A10" s="32" t="s">
        <v>49</v>
      </c>
      <c r="B10" s="37">
        <f t="shared" si="0"/>
        <v>4166.0103524085998</v>
      </c>
      <c r="C10" s="33"/>
      <c r="D10" s="37">
        <f>IF(ISERROR(TER_ander_gas_kWh/1000),0,TER_ander_gas_kWh/1000)*0.902</f>
        <v>17870.364440355414</v>
      </c>
      <c r="E10" s="33">
        <f>$C$30*'E Balans VL '!I14/100/3.6*1000000</f>
        <v>4.9657354720153384</v>
      </c>
      <c r="F10" s="33">
        <f>$C$30*('E Balans VL '!L14+'E Balans VL '!N14)/100/3.6*1000000</f>
        <v>1090.0135144636752</v>
      </c>
      <c r="G10" s="34"/>
      <c r="H10" s="33"/>
      <c r="I10" s="33"/>
      <c r="J10" s="33">
        <f>$C$30*('E Balans VL '!D14+'E Balans VL '!E14)/100/3.6*1000000</f>
        <v>9.0427754441121111E-2</v>
      </c>
      <c r="K10" s="33"/>
      <c r="L10" s="33"/>
      <c r="M10" s="33"/>
      <c r="N10" s="33">
        <f>$C$30*'E Balans VL '!Y14/100/3.6*1000000</f>
        <v>3537.6740504269796</v>
      </c>
      <c r="O10" s="33"/>
      <c r="P10" s="33"/>
      <c r="R10" s="32"/>
    </row>
    <row r="11" spans="1:18">
      <c r="A11" s="32" t="s">
        <v>54</v>
      </c>
      <c r="B11" s="37">
        <f t="shared" si="0"/>
        <v>181.64614319617201</v>
      </c>
      <c r="C11" s="33"/>
      <c r="D11" s="37">
        <f>IF(ISERROR(TER_onderwijs_gas_kWh/1000),0,TER_onderwijs_gas_kWh/1000)*0.902</f>
        <v>495.2475407464172</v>
      </c>
      <c r="E11" s="33">
        <f>$C$31*'E Balans VL '!I11/100/3.6*1000000</f>
        <v>2.7407477318963278</v>
      </c>
      <c r="F11" s="33">
        <f>$C$31*('E Balans VL '!L11+'E Balans VL '!N11)/100/3.6*1000000</f>
        <v>31.827306171436963</v>
      </c>
      <c r="G11" s="34"/>
      <c r="H11" s="33"/>
      <c r="I11" s="33"/>
      <c r="J11" s="33">
        <f>$C$31*('E Balans VL '!D11+'E Balans VL '!E11)/100/3.6*1000000</f>
        <v>0</v>
      </c>
      <c r="K11" s="33"/>
      <c r="L11" s="33"/>
      <c r="M11" s="33"/>
      <c r="N11" s="33">
        <f>$C$31*'E Balans VL '!Y11/100/3.6*1000000</f>
        <v>0.51116605621971656</v>
      </c>
      <c r="O11" s="33"/>
      <c r="P11" s="33"/>
      <c r="R11" s="32"/>
    </row>
    <row r="12" spans="1:18">
      <c r="A12" s="32" t="s">
        <v>259</v>
      </c>
      <c r="B12" s="37">
        <f t="shared" si="0"/>
        <v>4150.1328903139201</v>
      </c>
      <c r="C12" s="33"/>
      <c r="D12" s="37">
        <f>IF(ISERROR(TER_rest_gas_kWh/1000),0,TER_rest_gas_kWh/1000)*0.902</f>
        <v>15383.07757065148</v>
      </c>
      <c r="E12" s="33">
        <f>$C$32*'E Balans VL '!I8/100/3.6*1000000</f>
        <v>51.536277036887455</v>
      </c>
      <c r="F12" s="33">
        <f>$C$32*('E Balans VL '!L8+'E Balans VL '!N8)/100/3.6*1000000</f>
        <v>717.66047372664696</v>
      </c>
      <c r="G12" s="34"/>
      <c r="H12" s="33"/>
      <c r="I12" s="33"/>
      <c r="J12" s="33">
        <f>$C$32*('E Balans VL '!D8+'E Balans VL '!E8)/100/3.6*1000000</f>
        <v>1.00496515287991E-2</v>
      </c>
      <c r="K12" s="33"/>
      <c r="L12" s="33"/>
      <c r="M12" s="33"/>
      <c r="N12" s="33">
        <f>$C$32*'E Balans VL '!Y8/100/3.6*1000000</f>
        <v>401.86008445518672</v>
      </c>
      <c r="O12" s="33"/>
      <c r="P12" s="33"/>
      <c r="R12" s="32"/>
    </row>
    <row r="13" spans="1:18">
      <c r="A13" s="16" t="s">
        <v>487</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18052.534997265255</v>
      </c>
      <c r="C16" s="21">
        <f t="shared" ca="1" si="1"/>
        <v>0</v>
      </c>
      <c r="D16" s="21">
        <f t="shared" ca="1" si="1"/>
        <v>42605.038668615016</v>
      </c>
      <c r="E16" s="21">
        <f t="shared" si="1"/>
        <v>260.68792609958979</v>
      </c>
      <c r="F16" s="21">
        <f t="shared" ca="1" si="1"/>
        <v>3447.4967242543062</v>
      </c>
      <c r="G16" s="21">
        <f t="shared" si="1"/>
        <v>0</v>
      </c>
      <c r="H16" s="21">
        <f t="shared" si="1"/>
        <v>0</v>
      </c>
      <c r="I16" s="21">
        <f t="shared" si="1"/>
        <v>0</v>
      </c>
      <c r="J16" s="21">
        <f t="shared" si="1"/>
        <v>0.10047740596992021</v>
      </c>
      <c r="K16" s="21">
        <f t="shared" si="1"/>
        <v>0</v>
      </c>
      <c r="L16" s="21">
        <f t="shared" ca="1" si="1"/>
        <v>0</v>
      </c>
      <c r="M16" s="21">
        <f t="shared" si="1"/>
        <v>0</v>
      </c>
      <c r="N16" s="21">
        <f t="shared" ca="1" si="1"/>
        <v>3961.8584954817766</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0.16518678174091517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2982.0401584634883</v>
      </c>
      <c r="C20" s="23">
        <f t="shared" ref="C20:P20" ca="1" si="2">C16*C18</f>
        <v>0</v>
      </c>
      <c r="D20" s="23">
        <f t="shared" ca="1" si="2"/>
        <v>8606.2178110602345</v>
      </c>
      <c r="E20" s="23">
        <f t="shared" si="2"/>
        <v>59.176159224606884</v>
      </c>
      <c r="F20" s="23">
        <f t="shared" ca="1" si="2"/>
        <v>920.48162537589985</v>
      </c>
      <c r="G20" s="23">
        <f t="shared" si="2"/>
        <v>0</v>
      </c>
      <c r="H20" s="23">
        <f t="shared" si="2"/>
        <v>0</v>
      </c>
      <c r="I20" s="23">
        <f t="shared" si="2"/>
        <v>0</v>
      </c>
      <c r="J20" s="23">
        <f t="shared" si="2"/>
        <v>3.5569001713351749E-2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2282.4579278546798</v>
      </c>
      <c r="C26" s="39">
        <f>IF(ISERROR(B26*3.6/1000000/'E Balans VL '!Z12*100),0,B26*3.6/1000000/'E Balans VL '!Z12*100)</f>
        <v>4.8247544889431351E-2</v>
      </c>
      <c r="D26" s="237" t="s">
        <v>744</v>
      </c>
      <c r="F26" s="6"/>
    </row>
    <row r="27" spans="1:18">
      <c r="A27" s="231" t="s">
        <v>52</v>
      </c>
      <c r="B27" s="33">
        <f>IF(ISERROR(TER_horeca_ele_kWh/1000),0,TER_horeca_ele_kWh/1000)</f>
        <v>1524.4407842170101</v>
      </c>
      <c r="C27" s="39">
        <f>IF(ISERROR(B27*3.6/1000000/'E Balans VL '!Z9*100),0,B27*3.6/1000000/'E Balans VL '!Z9*100)</f>
        <v>0.12017109883173957</v>
      </c>
      <c r="D27" s="237" t="s">
        <v>744</v>
      </c>
      <c r="F27" s="6"/>
    </row>
    <row r="28" spans="1:18">
      <c r="A28" s="171" t="s">
        <v>51</v>
      </c>
      <c r="B28" s="33">
        <f>IF(ISERROR(TER_handel_ele_kWh/1000),0,TER_handel_ele_kWh/1000)</f>
        <v>4950.4219975655305</v>
      </c>
      <c r="C28" s="39">
        <f>IF(ISERROR(B28*3.6/1000000/'E Balans VL '!Z13*100),0,B28*3.6/1000000/'E Balans VL '!Z13*100)</f>
        <v>0.14368124831556203</v>
      </c>
      <c r="D28" s="237" t="s">
        <v>744</v>
      </c>
      <c r="F28" s="6"/>
    </row>
    <row r="29" spans="1:18">
      <c r="A29" s="231" t="s">
        <v>50</v>
      </c>
      <c r="B29" s="33">
        <f>IF(ISERROR(TER_gezond_ele_kWh/1000),0,TER_gezond_ele_kWh/1000)</f>
        <v>797.42490170934002</v>
      </c>
      <c r="C29" s="39">
        <f>IF(ISERROR(B29*3.6/1000000/'E Balans VL '!Z10*100),0,B29*3.6/1000000/'E Balans VL '!Z10*100)</f>
        <v>8.3981936212512209E-2</v>
      </c>
      <c r="D29" s="237" t="s">
        <v>744</v>
      </c>
      <c r="F29" s="6"/>
    </row>
    <row r="30" spans="1:18">
      <c r="A30" s="231" t="s">
        <v>49</v>
      </c>
      <c r="B30" s="33">
        <f>IF(ISERROR(TER_ander_ele_kWh/1000),0,TER_ander_ele_kWh/1000)</f>
        <v>4166.0103524085998</v>
      </c>
      <c r="C30" s="39">
        <f>IF(ISERROR(B30*3.6/1000000/'E Balans VL '!Z14*100),0,B30*3.6/1000000/'E Balans VL '!Z14*100)</f>
        <v>0.30728582844660585</v>
      </c>
      <c r="D30" s="237" t="s">
        <v>744</v>
      </c>
      <c r="F30" s="6"/>
    </row>
    <row r="31" spans="1:18">
      <c r="A31" s="231" t="s">
        <v>54</v>
      </c>
      <c r="B31" s="33">
        <f>IF(ISERROR(TER_onderwijs_ele_kWh/1000),0,TER_onderwijs_ele_kWh/1000)</f>
        <v>181.64614319617201</v>
      </c>
      <c r="C31" s="39">
        <f>IF(ISERROR(B31*3.6/1000000/'E Balans VL '!Z11*100),0,B31*3.6/1000000/'E Balans VL '!Z11*100)</f>
        <v>4.5111246162057958E-2</v>
      </c>
      <c r="D31" s="237" t="s">
        <v>744</v>
      </c>
    </row>
    <row r="32" spans="1:18">
      <c r="A32" s="231" t="s">
        <v>259</v>
      </c>
      <c r="B32" s="33">
        <f>IF(ISERROR(TER_rest_ele_kWh/1000),0,TER_rest_ele_kWh/1000)</f>
        <v>4150.1328903139201</v>
      </c>
      <c r="C32" s="39">
        <f>IF(ISERROR(B32*3.6/1000000/'E Balans VL '!Z8*100),0,B32*3.6/1000000/'E Balans VL '!Z8*100)</f>
        <v>3.4150084945849771E-2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17738.270712530939</v>
      </c>
      <c r="C5" s="17">
        <f>IF(ISERROR('Eigen informatie GS &amp; warmtenet'!B59),0,'Eigen informatie GS &amp; warmtenet'!B59)</f>
        <v>0</v>
      </c>
      <c r="D5" s="30">
        <f>SUM(D6:D15)</f>
        <v>20486.297351421403</v>
      </c>
      <c r="E5" s="17">
        <f>SUM(E6:E15)</f>
        <v>2010.0951033712054</v>
      </c>
      <c r="F5" s="17">
        <f>SUM(F6:F15)</f>
        <v>6196.5929842963687</v>
      </c>
      <c r="G5" s="18"/>
      <c r="H5" s="17"/>
      <c r="I5" s="17"/>
      <c r="J5" s="17">
        <f>SUM(J6:J15)</f>
        <v>16.47207166022288</v>
      </c>
      <c r="K5" s="17"/>
      <c r="L5" s="17"/>
      <c r="M5" s="17"/>
      <c r="N5" s="17">
        <f>SUM(N6:N15)</f>
        <v>1187.3018837031584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2842.0533103152802</v>
      </c>
      <c r="C8" s="33"/>
      <c r="D8" s="37">
        <f>IF( ISERROR(IND_metaal_Gas_kWH/1000),0,IND_metaal_Gas_kWH/1000)*0.902</f>
        <v>190.83967008460772</v>
      </c>
      <c r="E8" s="33">
        <f>C30*'E Balans VL '!I18/100/3.6*1000000</f>
        <v>26.129935307158</v>
      </c>
      <c r="F8" s="33">
        <f>C30*'E Balans VL '!L18/100/3.6*1000000+C30*'E Balans VL '!N18/100/3.6*1000000</f>
        <v>266.48997897484753</v>
      </c>
      <c r="G8" s="34"/>
      <c r="H8" s="33"/>
      <c r="I8" s="33"/>
      <c r="J8" s="40">
        <f>C30*'E Balans VL '!D18/100/3.6*1000000+C30*'E Balans VL '!E18/100/3.6*1000000</f>
        <v>0</v>
      </c>
      <c r="K8" s="33"/>
      <c r="L8" s="33"/>
      <c r="M8" s="33"/>
      <c r="N8" s="33">
        <f>C30*'E Balans VL '!Y18/100/3.6*1000000</f>
        <v>40.546587162525348</v>
      </c>
      <c r="O8" s="33"/>
      <c r="P8" s="33"/>
      <c r="R8" s="32"/>
    </row>
    <row r="9" spans="1:18">
      <c r="A9" s="6" t="s">
        <v>32</v>
      </c>
      <c r="B9" s="37">
        <f t="shared" si="0"/>
        <v>5886.8406310660303</v>
      </c>
      <c r="C9" s="33"/>
      <c r="D9" s="37">
        <f>IF( ISERROR(IND_andere_gas_kWh/1000),0,IND_andere_gas_kWh/1000)*0.902</f>
        <v>1346.7293146394964</v>
      </c>
      <c r="E9" s="33">
        <f>C31*'E Balans VL '!I19/100/3.6*1000000</f>
        <v>1720.8381197303099</v>
      </c>
      <c r="F9" s="33">
        <f>C31*'E Balans VL '!L19/100/3.6*1000000+C31*'E Balans VL '!N19/100/3.6*1000000</f>
        <v>4730.5220399536147</v>
      </c>
      <c r="G9" s="34"/>
      <c r="H9" s="33"/>
      <c r="I9" s="33"/>
      <c r="J9" s="40">
        <f>C31*'E Balans VL '!D19/100/3.6*1000000+C31*'E Balans VL '!E19/100/3.6*1000000</f>
        <v>0</v>
      </c>
      <c r="K9" s="33"/>
      <c r="L9" s="33"/>
      <c r="M9" s="33"/>
      <c r="N9" s="33">
        <f>C31*'E Balans VL '!Y19/100/3.6*1000000</f>
        <v>461.75578377713077</v>
      </c>
      <c r="O9" s="33"/>
      <c r="P9" s="33"/>
      <c r="R9" s="32"/>
    </row>
    <row r="10" spans="1:18">
      <c r="A10" s="6" t="s">
        <v>40</v>
      </c>
      <c r="B10" s="37">
        <f t="shared" si="0"/>
        <v>4215.4700198975997</v>
      </c>
      <c r="C10" s="33"/>
      <c r="D10" s="37">
        <f>IF( ISERROR(IND_voed_gas_kWh/1000),0,IND_voed_gas_kWh/1000)*0.902</f>
        <v>1288.7767158565962</v>
      </c>
      <c r="E10" s="33">
        <f>C32*'E Balans VL '!I20/100/3.6*1000000</f>
        <v>8.9178921887301659</v>
      </c>
      <c r="F10" s="33">
        <f>C32*'E Balans VL '!L20/100/3.6*1000000+C32*'E Balans VL '!N20/100/3.6*1000000</f>
        <v>268.02388984144386</v>
      </c>
      <c r="G10" s="34"/>
      <c r="H10" s="33"/>
      <c r="I10" s="33"/>
      <c r="J10" s="40">
        <f>C32*'E Balans VL '!D20/100/3.6*1000000+C32*'E Balans VL '!E20/100/3.6*1000000</f>
        <v>0</v>
      </c>
      <c r="K10" s="33"/>
      <c r="L10" s="33"/>
      <c r="M10" s="33"/>
      <c r="N10" s="33">
        <f>C32*'E Balans VL '!Y20/100/3.6*1000000</f>
        <v>290.90903064755162</v>
      </c>
      <c r="O10" s="33"/>
      <c r="P10" s="33"/>
      <c r="R10" s="32"/>
    </row>
    <row r="11" spans="1:18">
      <c r="A11" s="6" t="s">
        <v>39</v>
      </c>
      <c r="B11" s="37">
        <f t="shared" si="0"/>
        <v>21.507770702831898</v>
      </c>
      <c r="C11" s="33"/>
      <c r="D11" s="37">
        <f>IF( ISERROR(IND_textiel_gas_kWh/1000),0,IND_textiel_gas_kWh/1000)*0.902</f>
        <v>0</v>
      </c>
      <c r="E11" s="33">
        <f>C33*'E Balans VL '!I21/100/3.6*1000000</f>
        <v>6.3876224661095674E-2</v>
      </c>
      <c r="F11" s="33">
        <f>C33*'E Balans VL '!L21/100/3.6*1000000+C33*'E Balans VL '!N21/100/3.6*1000000</f>
        <v>2.172875317830981</v>
      </c>
      <c r="G11" s="34"/>
      <c r="H11" s="33"/>
      <c r="I11" s="33"/>
      <c r="J11" s="40">
        <f>C33*'E Balans VL '!D21/100/3.6*1000000+C33*'E Balans VL '!E21/100/3.6*1000000</f>
        <v>0</v>
      </c>
      <c r="K11" s="33"/>
      <c r="L11" s="33"/>
      <c r="M11" s="33"/>
      <c r="N11" s="33">
        <f>C33*'E Balans VL '!Y21/100/3.6*1000000</f>
        <v>1.186222193176647</v>
      </c>
      <c r="O11" s="33"/>
      <c r="P11" s="33"/>
      <c r="R11" s="32"/>
    </row>
    <row r="12" spans="1:18">
      <c r="A12" s="6" t="s">
        <v>36</v>
      </c>
      <c r="B12" s="37">
        <f t="shared" si="0"/>
        <v>62.288709104810998</v>
      </c>
      <c r="C12" s="33"/>
      <c r="D12" s="37">
        <f>IF( ISERROR(IND_min_gas_kWh/1000),0,IND_min_gas_kWh/1000)*0.902</f>
        <v>0</v>
      </c>
      <c r="E12" s="33">
        <f>C34*'E Balans VL '!I22/100/3.6*1000000</f>
        <v>1.8054931929652218</v>
      </c>
      <c r="F12" s="33">
        <f>C34*'E Balans VL '!L22/100/3.6*1000000+C34*'E Balans VL '!N22/100/3.6*1000000</f>
        <v>21.415562068334303</v>
      </c>
      <c r="G12" s="34"/>
      <c r="H12" s="33"/>
      <c r="I12" s="33"/>
      <c r="J12" s="40">
        <f>C34*'E Balans VL '!D22/100/3.6*1000000+C34*'E Balans VL '!E22/100/3.6*1000000</f>
        <v>0.1023591194817077</v>
      </c>
      <c r="K12" s="33"/>
      <c r="L12" s="33"/>
      <c r="M12" s="33"/>
      <c r="N12" s="33">
        <f>C34*'E Balans VL '!Y22/100/3.6*1000000</f>
        <v>13.636022031543586</v>
      </c>
      <c r="O12" s="33"/>
      <c r="P12" s="33"/>
      <c r="R12" s="32"/>
    </row>
    <row r="13" spans="1:18">
      <c r="A13" s="6" t="s">
        <v>38</v>
      </c>
      <c r="B13" s="37">
        <f t="shared" si="0"/>
        <v>143.75078413946002</v>
      </c>
      <c r="C13" s="33"/>
      <c r="D13" s="37">
        <f>IF( ISERROR(IND_papier_gas_kWh/1000),0,IND_papier_gas_kWh/1000)*0.902</f>
        <v>0</v>
      </c>
      <c r="E13" s="33">
        <f>C35*'E Balans VL '!I23/100/3.6*1000000</f>
        <v>0.20394948714477329</v>
      </c>
      <c r="F13" s="33">
        <f>C35*'E Balans VL '!L23/100/3.6*1000000+C35*'E Balans VL '!N23/100/3.6*1000000</f>
        <v>3.5094971786434388</v>
      </c>
      <c r="G13" s="34"/>
      <c r="H13" s="33"/>
      <c r="I13" s="33"/>
      <c r="J13" s="40">
        <f>C35*'E Balans VL '!D23/100/3.6*1000000+C35*'E Balans VL '!E23/100/3.6*1000000</f>
        <v>2.2232408381771068E-2</v>
      </c>
      <c r="K13" s="33"/>
      <c r="L13" s="33"/>
      <c r="M13" s="33"/>
      <c r="N13" s="33">
        <f>C35*'E Balans VL '!Y23/100/3.6*1000000</f>
        <v>58.734486152795483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4566.3594873049296</v>
      </c>
      <c r="C15" s="33"/>
      <c r="D15" s="37">
        <f>IF( ISERROR(IND_rest_gas_kWh/1000),0,IND_rest_gas_kWh/1000)*0.902</f>
        <v>17659.951650840703</v>
      </c>
      <c r="E15" s="33">
        <f>C37*'E Balans VL '!I15/100/3.6*1000000</f>
        <v>252.13583724023613</v>
      </c>
      <c r="F15" s="33">
        <f>C37*'E Balans VL '!L15/100/3.6*1000000+C37*'E Balans VL '!N15/100/3.6*1000000</f>
        <v>904.4591409616537</v>
      </c>
      <c r="G15" s="34"/>
      <c r="H15" s="33"/>
      <c r="I15" s="33"/>
      <c r="J15" s="40">
        <f>C37*'E Balans VL '!D15/100/3.6*1000000+C37*'E Balans VL '!E15/100/3.6*1000000</f>
        <v>16.347480132359401</v>
      </c>
      <c r="K15" s="33"/>
      <c r="L15" s="33"/>
      <c r="M15" s="33"/>
      <c r="N15" s="33">
        <f>C37*'E Balans VL '!Y15/100/3.6*1000000</f>
        <v>320.53375173843494</v>
      </c>
      <c r="O15" s="33"/>
      <c r="P15" s="33"/>
      <c r="R15" s="32"/>
    </row>
    <row r="16" spans="1:18">
      <c r="A16" s="16" t="s">
        <v>487</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17738.270712530939</v>
      </c>
      <c r="C18" s="21">
        <f>C5+C16</f>
        <v>0</v>
      </c>
      <c r="D18" s="21">
        <f>MAX((D5+D16),0)</f>
        <v>20486.297351421403</v>
      </c>
      <c r="E18" s="21">
        <f>MAX((E5+E16),0)</f>
        <v>2010.0951033712054</v>
      </c>
      <c r="F18" s="21">
        <f>MAX((F5+F16),0)</f>
        <v>6196.5929842963687</v>
      </c>
      <c r="G18" s="21"/>
      <c r="H18" s="21"/>
      <c r="I18" s="21"/>
      <c r="J18" s="21">
        <f>MAX((J5+J16),0)</f>
        <v>16.47207166022288</v>
      </c>
      <c r="K18" s="21"/>
      <c r="L18" s="21">
        <f>MAX((L5+L16),0)</f>
        <v>0</v>
      </c>
      <c r="M18" s="21"/>
      <c r="N18" s="21">
        <f>MAX((N5+N16),0)</f>
        <v>1187.3018837031584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0.16518678174091517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2930.127852652116</v>
      </c>
      <c r="C22" s="23">
        <f ca="1">C18*C20</f>
        <v>0</v>
      </c>
      <c r="D22" s="23">
        <f>D18*D20</f>
        <v>4138.2320649871235</v>
      </c>
      <c r="E22" s="23">
        <f>E18*E20</f>
        <v>456.29158846526366</v>
      </c>
      <c r="F22" s="23">
        <f>F18*F20</f>
        <v>1654.4903268071305</v>
      </c>
      <c r="G22" s="23"/>
      <c r="H22" s="23"/>
      <c r="I22" s="23"/>
      <c r="J22" s="23">
        <f>J18*J20</f>
        <v>5.8311133677188991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2842.0533103152802</v>
      </c>
      <c r="C30" s="39">
        <f>IF(ISERROR(B30*3.6/1000000/'E Balans VL '!Z18*100),0,B30*3.6/1000000/'E Balans VL '!Z18*100)</f>
        <v>0.16106644859689245</v>
      </c>
      <c r="D30" s="237" t="s">
        <v>744</v>
      </c>
    </row>
    <row r="31" spans="1:18">
      <c r="A31" s="6" t="s">
        <v>32</v>
      </c>
      <c r="B31" s="37">
        <f>IF( ISERROR(IND_ander_ele_kWh/1000),0,IND_ander_ele_kWh/1000)</f>
        <v>5886.8406310660303</v>
      </c>
      <c r="C31" s="39">
        <f>IF(ISERROR(B31*3.6/1000000/'E Balans VL '!Z19*100),0,B31*3.6/1000000/'E Balans VL '!Z19*100)</f>
        <v>0.26700257864739785</v>
      </c>
      <c r="D31" s="237" t="s">
        <v>744</v>
      </c>
    </row>
    <row r="32" spans="1:18">
      <c r="A32" s="171" t="s">
        <v>40</v>
      </c>
      <c r="B32" s="37">
        <f>IF( ISERROR(IND_voed_ele_kWh/1000),0,IND_voed_ele_kWh/1000)</f>
        <v>4215.4700198975997</v>
      </c>
      <c r="C32" s="39">
        <f>IF(ISERROR(B32*3.6/1000000/'E Balans VL '!Z20*100),0,B32*3.6/1000000/'E Balans VL '!Z20*100)</f>
        <v>0.1304036243335133</v>
      </c>
      <c r="D32" s="237" t="s">
        <v>744</v>
      </c>
    </row>
    <row r="33" spans="1:5">
      <c r="A33" s="171" t="s">
        <v>39</v>
      </c>
      <c r="B33" s="37">
        <f>IF( ISERROR(IND_textiel_ele_kWh/1000),0,IND_textiel_ele_kWh/1000)</f>
        <v>21.507770702831898</v>
      </c>
      <c r="C33" s="39">
        <f>IF(ISERROR(B33*3.6/1000000/'E Balans VL '!Z21*100),0,B33*3.6/1000000/'E Balans VL '!Z21*100)</f>
        <v>2.8043742286043868E-3</v>
      </c>
      <c r="D33" s="237" t="s">
        <v>744</v>
      </c>
    </row>
    <row r="34" spans="1:5">
      <c r="A34" s="171" t="s">
        <v>36</v>
      </c>
      <c r="B34" s="37">
        <f>IF( ISERROR(IND_min_ele_kWh/1000),0,IND_min_ele_kWh/1000)</f>
        <v>62.288709104810998</v>
      </c>
      <c r="C34" s="39">
        <f>IF(ISERROR(B34*3.6/1000000/'E Balans VL '!Z22*100),0,B34*3.6/1000000/'E Balans VL '!Z22*100)</f>
        <v>1.1203795382613234E-2</v>
      </c>
      <c r="D34" s="237" t="s">
        <v>744</v>
      </c>
    </row>
    <row r="35" spans="1:5">
      <c r="A35" s="171" t="s">
        <v>38</v>
      </c>
      <c r="B35" s="37">
        <f>IF( ISERROR(IND_papier_ele_kWh/1000),0,IND_papier_ele_kWh/1000)</f>
        <v>143.75078413946002</v>
      </c>
      <c r="C35" s="39">
        <f>IF(ISERROR(B35*3.6/1000000/'E Balans VL '!Z22*100),0,B35*3.6/1000000/'E Balans VL '!Z22*100)</f>
        <v>2.5856281093876759E-2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4566.3594873049296</v>
      </c>
      <c r="C37" s="39">
        <f>IF(ISERROR(B37*3.6/1000000/'E Balans VL '!Z15*100),0,B37*3.6/1000000/'E Balans VL '!Z15*100)</f>
        <v>3.6194006959691945E-2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4297.5456574948612</v>
      </c>
      <c r="C5" s="17">
        <f>'Eigen informatie GS &amp; warmtenet'!B60</f>
        <v>0</v>
      </c>
      <c r="D5" s="30">
        <f>IF(ISERROR(SUM(LB_lb_gas_kWh,LB_rest_gas_kWh)/1000),0,SUM(LB_lb_gas_kWh,LB_rest_gas_kWh)/1000)*0.902</f>
        <v>242.65151473891333</v>
      </c>
      <c r="E5" s="17">
        <f>B17*'E Balans VL '!I25/3.6*1000000/100</f>
        <v>126.3179930932599</v>
      </c>
      <c r="F5" s="17">
        <f>B17*('E Balans VL '!L25/3.6*1000000+'E Balans VL '!N25/3.6*1000000)/100</f>
        <v>17903.342981945327</v>
      </c>
      <c r="G5" s="18"/>
      <c r="H5" s="17"/>
      <c r="I5" s="17"/>
      <c r="J5" s="17">
        <f>('E Balans VL '!D25+'E Balans VL '!E25)/3.6*1000000*landbouw!B17/100</f>
        <v>622.6220749215679</v>
      </c>
      <c r="K5" s="17"/>
      <c r="L5" s="17">
        <f>L6*(-1)</f>
        <v>0</v>
      </c>
      <c r="M5" s="17"/>
      <c r="N5" s="17">
        <f>N6*(-1)</f>
        <v>31856.142857142859</v>
      </c>
      <c r="O5" s="17"/>
      <c r="P5" s="17"/>
      <c r="R5" s="32"/>
    </row>
    <row r="6" spans="1:18">
      <c r="A6" s="16" t="s">
        <v>487</v>
      </c>
      <c r="B6" s="17" t="s">
        <v>210</v>
      </c>
      <c r="C6" s="17">
        <f>'lokale energieproductie'!O41+'lokale energieproductie'!O34</f>
        <v>15928.071428571429</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-31856.142857142859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4297.5456574948612</v>
      </c>
      <c r="C8" s="21">
        <f>C5+C6</f>
        <v>15928.071428571429</v>
      </c>
      <c r="D8" s="21">
        <f>MAX((D5+D6),0)</f>
        <v>242.65151473891333</v>
      </c>
      <c r="E8" s="21">
        <f>MAX((E5+E6),0)</f>
        <v>126.3179930932599</v>
      </c>
      <c r="F8" s="21">
        <f>MAX((F5+F6),0)</f>
        <v>17903.342981945327</v>
      </c>
      <c r="G8" s="21"/>
      <c r="H8" s="21"/>
      <c r="I8" s="21"/>
      <c r="J8" s="21">
        <f>MAX((J5+J6),0)</f>
        <v>622.6220749215679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0.16518678174091517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709.89773654622138</v>
      </c>
      <c r="C12" s="23">
        <f ca="1">C8*C10</f>
        <v>0</v>
      </c>
      <c r="D12" s="23">
        <f>D8*D10</f>
        <v>49.015605977260499</v>
      </c>
      <c r="E12" s="23">
        <f>E8*E10</f>
        <v>28.674184432169998</v>
      </c>
      <c r="F12" s="23">
        <f>F8*F10</f>
        <v>4780.1925761794027</v>
      </c>
      <c r="G12" s="23"/>
      <c r="H12" s="23"/>
      <c r="I12" s="23"/>
      <c r="J12" s="23">
        <f>J8*J10</f>
        <v>220.40821452223503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0.60983521193682755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1190.9722130802538</v>
      </c>
      <c r="C26" s="247">
        <f>B26*'GWP N2O_CH4'!B5</f>
        <v>25010.416474685331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456.8901649047267</v>
      </c>
      <c r="C27" s="247">
        <f>B27*'GWP N2O_CH4'!B5</f>
        <v>9594.6934629992611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14.26851647766409</v>
      </c>
      <c r="C28" s="247">
        <f>B28*'GWP N2O_CH4'!B4</f>
        <v>4423.2401080758682</v>
      </c>
      <c r="D28" s="50"/>
    </row>
    <row r="29" spans="1:4">
      <c r="A29" s="41" t="s">
        <v>276</v>
      </c>
      <c r="B29" s="247">
        <f>B34*'ha_N2O bodem landbouw'!B4</f>
        <v>30.394487520252017</v>
      </c>
      <c r="C29" s="247">
        <f>B29*'GWP N2O_CH4'!B4</f>
        <v>9422.2911312781252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6.9359173080577579E-3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2.999055624018337E-4</v>
      </c>
      <c r="C5" s="437" t="s">
        <v>210</v>
      </c>
      <c r="D5" s="422">
        <f>SUM(D6:D11)</f>
        <v>7.9608000619480358E-4</v>
      </c>
      <c r="E5" s="422">
        <f>SUM(E6:E11)</f>
        <v>1.564388139872637E-3</v>
      </c>
      <c r="F5" s="435" t="s">
        <v>210</v>
      </c>
      <c r="G5" s="422">
        <f>SUM(G6:G11)</f>
        <v>0.7841594298086475</v>
      </c>
      <c r="H5" s="422">
        <f>SUM(H6:H11)</f>
        <v>0.13844869466862542</v>
      </c>
      <c r="I5" s="437" t="s">
        <v>210</v>
      </c>
      <c r="J5" s="437" t="s">
        <v>210</v>
      </c>
      <c r="K5" s="437" t="s">
        <v>210</v>
      </c>
      <c r="L5" s="437" t="s">
        <v>210</v>
      </c>
      <c r="M5" s="422">
        <f>SUM(M6:M11)</f>
        <v>4.9890776825469732E-2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6.9771322120789996E-5</v>
      </c>
      <c r="C6" s="423"/>
      <c r="D6" s="865">
        <f>vkm_GW_PW*SUMIFS(TableVerdeelsleutelVkm[CNG],TableVerdeelsleutelVkm[Voertuigtype],"Lichte voertuigen")*SUMIFS(TableECFTransport[EnergieConsumptieFactor (PJ per km)],TableECFTransport[Index],CONCATENATE($A6,"_CNG_CNG"))</f>
        <v>1.7291037217254668E-4</v>
      </c>
      <c r="E6" s="865">
        <f>vkm_GW_PW*SUMIFS(TableVerdeelsleutelVkm[LPG],TableVerdeelsleutelVkm[Voertuigtype],"Lichte voertuigen")*SUMIFS(TableECFTransport[EnergieConsumptieFactor (PJ per km)],TableECFTransport[Index],CONCATENATE($A6,"_LPG_LPG"))</f>
        <v>2.9684393091141173E-4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9.0957291186388331E-2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2.9378194551402014E-2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6.1791395638534415E-3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4.9289508036416331E-2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8.2452381302251434E-7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2.8797669128477381E-3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3.1041850686752604E-5</v>
      </c>
      <c r="C8" s="423"/>
      <c r="D8" s="425">
        <f>vkm_NGW_PW*SUMIFS(TableVerdeelsleutelVkm[CNG],TableVerdeelsleutelVkm[Voertuigtype],"Lichte voertuigen")*SUMIFS(TableECFTransport[EnergieConsumptieFactor (PJ per km)],TableECFTransport[Index],CONCATENATE($A8,"_CNG_CNG"))</f>
        <v>1.3002718316865031E-4</v>
      </c>
      <c r="E8" s="425">
        <f>vkm_NGW_PW*SUMIFS(TableVerdeelsleutelVkm[LPG],TableVerdeelsleutelVkm[Voertuigtype],"Lichte voertuigen")*SUMIFS(TableECFTransport[EnergieConsumptieFactor (PJ per km)],TableECFTransport[Index],CONCATENATE($A8,"_LPG_LPG"))</f>
        <v>2.1198642619448064E-4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6.1099519311822607E-2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2.1606254363461821E-2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4.2058755533043645E-3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3.083316431414506E-2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6.3537722312242585E-7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1.8014482899327104E-3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1.990923895942911E-4</v>
      </c>
      <c r="C10" s="423"/>
      <c r="D10" s="425">
        <f>vkm_SW_PW*SUMIFS(TableVerdeelsleutelVkm[CNG],TableVerdeelsleutelVkm[Voertuigtype],"Lichte voertuigen")*SUMIFS(TableECFTransport[EnergieConsumptieFactor (PJ per km)],TableECFTransport[Index],CONCATENATE($A10,"_CNG_CNG"))</f>
        <v>4.9314245085360653E-4</v>
      </c>
      <c r="E10" s="425">
        <f>vkm_SW_PW*SUMIFS(TableVerdeelsleutelVkm[LPG],TableVerdeelsleutelVkm[Voertuigtype],"Lichte voertuigen")*SUMIFS(TableECFTransport[EnergieConsumptieFactor (PJ per km)],TableECFTransport[Index],CONCATENATE($A10,"_LPG_LPG"))</f>
        <v>1.0555577827667446E-3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0.28935861343404151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8.7458105988162296E-2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1.9480740631613591E-2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0.26262133352583361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4.6798645631481801E-6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1.5343805873917883E-2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83.30710066717603</v>
      </c>
      <c r="C14" s="21"/>
      <c r="D14" s="21">
        <f t="shared" ref="D14:M14" si="0">((D5)*10^9/3600)+D12</f>
        <v>221.13333505411211</v>
      </c>
      <c r="E14" s="21">
        <f t="shared" si="0"/>
        <v>434.55226107573253</v>
      </c>
      <c r="F14" s="21"/>
      <c r="G14" s="21">
        <f t="shared" si="0"/>
        <v>217822.06383573543</v>
      </c>
      <c r="H14" s="21">
        <f t="shared" si="0"/>
        <v>38457.970741284837</v>
      </c>
      <c r="I14" s="21"/>
      <c r="J14" s="21"/>
      <c r="K14" s="21"/>
      <c r="L14" s="21"/>
      <c r="M14" s="21">
        <f t="shared" si="0"/>
        <v>13858.549118186036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0.16518678174091517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13.761231855377256</v>
      </c>
      <c r="C18" s="23"/>
      <c r="D18" s="23">
        <f t="shared" ref="D18:M18" si="1">D14*D16</f>
        <v>44.66893368093065</v>
      </c>
      <c r="E18" s="23">
        <f t="shared" si="1"/>
        <v>98.643363264191294</v>
      </c>
      <c r="F18" s="23"/>
      <c r="G18" s="23">
        <f t="shared" si="1"/>
        <v>58158.491044141367</v>
      </c>
      <c r="H18" s="23">
        <f t="shared" si="1"/>
        <v>9576.0347145799242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3.5425503247214153E-3</v>
      </c>
      <c r="H50" s="319">
        <f t="shared" si="2"/>
        <v>0</v>
      </c>
      <c r="I50" s="319">
        <f t="shared" si="2"/>
        <v>0</v>
      </c>
      <c r="J50" s="319">
        <f t="shared" si="2"/>
        <v>0</v>
      </c>
      <c r="K50" s="319">
        <f t="shared" si="2"/>
        <v>0</v>
      </c>
      <c r="L50" s="319">
        <f t="shared" si="2"/>
        <v>0</v>
      </c>
      <c r="M50" s="319">
        <f t="shared" si="2"/>
        <v>2.0118602101699623E-4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3.5425503247214153E-3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2.0118602101699623E-4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984.04175686705992</v>
      </c>
      <c r="H54" s="21">
        <f t="shared" si="3"/>
        <v>0</v>
      </c>
      <c r="I54" s="21">
        <f t="shared" si="3"/>
        <v>0</v>
      </c>
      <c r="J54" s="21">
        <f t="shared" si="3"/>
        <v>0</v>
      </c>
      <c r="K54" s="21">
        <f t="shared" si="3"/>
        <v>0</v>
      </c>
      <c r="L54" s="21">
        <f t="shared" si="3"/>
        <v>0</v>
      </c>
      <c r="M54" s="21">
        <f t="shared" si="3"/>
        <v>55.885005838054511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0.16518678174091517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262.73914908350503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6905.4544372482414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11149.65</v>
      </c>
      <c r="C8" s="544">
        <f>B50</f>
        <v>0</v>
      </c>
      <c r="D8" s="1010"/>
      <c r="E8" s="1010">
        <f>E50</f>
        <v>0</v>
      </c>
      <c r="F8" s="1011"/>
      <c r="G8" s="545"/>
      <c r="H8" s="1010">
        <f>I50</f>
        <v>0</v>
      </c>
      <c r="I8" s="1010">
        <f>G50+F50</f>
        <v>0</v>
      </c>
      <c r="J8" s="1010">
        <f>H50+D50+C50</f>
        <v>13117.235294117647</v>
      </c>
      <c r="K8" s="1010"/>
      <c r="L8" s="1010"/>
      <c r="M8" s="1010"/>
      <c r="N8" s="546"/>
      <c r="O8" s="547">
        <f>C8*$C$12+D8*$D$12+E8*$E$12+F8*$F$12+G8*$G$12+H8*$H$12+I8*$I$12+J8*$J$12</f>
        <v>0</v>
      </c>
      <c r="P8" s="1250"/>
      <c r="Q8" s="1251"/>
      <c r="S8" s="973"/>
      <c r="T8" s="1225"/>
      <c r="U8" s="1225"/>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18055.104437248243</v>
      </c>
      <c r="C10" s="557">
        <f t="shared" ref="C10:L10" si="0">SUM(C8:C9)</f>
        <v>0</v>
      </c>
      <c r="D10" s="557">
        <f t="shared" si="0"/>
        <v>0</v>
      </c>
      <c r="E10" s="557">
        <f t="shared" si="0"/>
        <v>0</v>
      </c>
      <c r="F10" s="557">
        <f t="shared" si="0"/>
        <v>0</v>
      </c>
      <c r="G10" s="557">
        <f t="shared" si="0"/>
        <v>0</v>
      </c>
      <c r="H10" s="557">
        <f t="shared" si="0"/>
        <v>0</v>
      </c>
      <c r="I10" s="557">
        <f t="shared" si="0"/>
        <v>0</v>
      </c>
      <c r="J10" s="557">
        <f t="shared" si="0"/>
        <v>13117.235294117647</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15928.071428571429</v>
      </c>
      <c r="C17" s="569">
        <f>B51</f>
        <v>0</v>
      </c>
      <c r="D17" s="570"/>
      <c r="E17" s="570">
        <f>E51</f>
        <v>0</v>
      </c>
      <c r="F17" s="1016"/>
      <c r="G17" s="571"/>
      <c r="H17" s="569">
        <f>I51</f>
        <v>0</v>
      </c>
      <c r="I17" s="570">
        <f>G51+F51</f>
        <v>0</v>
      </c>
      <c r="J17" s="570">
        <f>H51+D51+C51</f>
        <v>18738.907563025212</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15928.071428571429</v>
      </c>
      <c r="C20" s="556">
        <f>SUM(C17:C19)</f>
        <v>0</v>
      </c>
      <c r="D20" s="556">
        <f t="shared" ref="D20:L20" si="1">SUM(D17:D19)</f>
        <v>0</v>
      </c>
      <c r="E20" s="556">
        <f t="shared" si="1"/>
        <v>0</v>
      </c>
      <c r="F20" s="556">
        <f t="shared" si="1"/>
        <v>0</v>
      </c>
      <c r="G20" s="556">
        <f t="shared" si="1"/>
        <v>0</v>
      </c>
      <c r="H20" s="556">
        <f t="shared" si="1"/>
        <v>0</v>
      </c>
      <c r="I20" s="556">
        <f t="shared" si="1"/>
        <v>0</v>
      </c>
      <c r="J20" s="556">
        <f t="shared" si="1"/>
        <v>18738.907563025212</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31003</v>
      </c>
      <c r="C28" s="770">
        <v>8730</v>
      </c>
      <c r="D28" s="627" t="s">
        <v>887</v>
      </c>
      <c r="E28" s="626" t="s">
        <v>888</v>
      </c>
      <c r="F28" s="626" t="s">
        <v>889</v>
      </c>
      <c r="G28" s="626" t="s">
        <v>890</v>
      </c>
      <c r="H28" s="626" t="s">
        <v>891</v>
      </c>
      <c r="I28" s="626" t="s">
        <v>888</v>
      </c>
      <c r="J28" s="769">
        <v>39280</v>
      </c>
      <c r="K28" s="769">
        <v>39280</v>
      </c>
      <c r="L28" s="626" t="s">
        <v>892</v>
      </c>
      <c r="M28" s="626">
        <v>2461</v>
      </c>
      <c r="N28" s="626">
        <v>11074.5</v>
      </c>
      <c r="O28" s="626">
        <v>15820.714285714286</v>
      </c>
      <c r="P28" s="626">
        <v>0</v>
      </c>
      <c r="Q28" s="626">
        <v>31641.428571428572</v>
      </c>
      <c r="R28" s="626">
        <v>0</v>
      </c>
      <c r="S28" s="626">
        <v>0</v>
      </c>
      <c r="T28" s="626">
        <v>0</v>
      </c>
      <c r="U28" s="626">
        <v>0</v>
      </c>
      <c r="V28" s="626">
        <v>0</v>
      </c>
      <c r="W28" s="626">
        <v>0</v>
      </c>
      <c r="X28" s="626">
        <v>10</v>
      </c>
      <c r="Y28" s="626" t="s">
        <v>111</v>
      </c>
      <c r="Z28" s="628" t="s">
        <v>111</v>
      </c>
    </row>
    <row r="29" spans="1:26" s="580" customFormat="1" ht="25.5">
      <c r="A29" s="579"/>
      <c r="B29" s="770">
        <v>31003</v>
      </c>
      <c r="C29" s="770">
        <v>8730</v>
      </c>
      <c r="D29" s="627" t="s">
        <v>893</v>
      </c>
      <c r="E29" s="626" t="s">
        <v>894</v>
      </c>
      <c r="F29" s="626" t="s">
        <v>895</v>
      </c>
      <c r="G29" s="626" t="s">
        <v>890</v>
      </c>
      <c r="H29" s="626" t="s">
        <v>891</v>
      </c>
      <c r="I29" s="626" t="s">
        <v>894</v>
      </c>
      <c r="J29" s="769">
        <v>41459</v>
      </c>
      <c r="K29" s="769">
        <v>41459</v>
      </c>
      <c r="L29" s="626" t="s">
        <v>892</v>
      </c>
      <c r="M29" s="626">
        <v>7</v>
      </c>
      <c r="N29" s="626">
        <v>31.5</v>
      </c>
      <c r="O29" s="626">
        <v>45</v>
      </c>
      <c r="P29" s="626">
        <v>0</v>
      </c>
      <c r="Q29" s="626">
        <v>90</v>
      </c>
      <c r="R29" s="626">
        <v>0</v>
      </c>
      <c r="S29" s="626">
        <v>0</v>
      </c>
      <c r="T29" s="626">
        <v>0</v>
      </c>
      <c r="U29" s="626">
        <v>0</v>
      </c>
      <c r="V29" s="626">
        <v>0</v>
      </c>
      <c r="W29" s="626">
        <v>0</v>
      </c>
      <c r="X29" s="626">
        <v>10</v>
      </c>
      <c r="Y29" s="626" t="s">
        <v>111</v>
      </c>
      <c r="Z29" s="628" t="s">
        <v>111</v>
      </c>
    </row>
    <row r="30" spans="1:26" s="580" customFormat="1" ht="25.5">
      <c r="A30" s="579"/>
      <c r="B30" s="770">
        <v>31003</v>
      </c>
      <c r="C30" s="770">
        <v>8730</v>
      </c>
      <c r="D30" s="627" t="s">
        <v>896</v>
      </c>
      <c r="E30" s="626" t="s">
        <v>897</v>
      </c>
      <c r="F30" s="626" t="s">
        <v>898</v>
      </c>
      <c r="G30" s="626" t="s">
        <v>890</v>
      </c>
      <c r="H30" s="626" t="s">
        <v>891</v>
      </c>
      <c r="I30" s="626" t="s">
        <v>897</v>
      </c>
      <c r="J30" s="769">
        <v>41810</v>
      </c>
      <c r="K30" s="769">
        <v>41810</v>
      </c>
      <c r="L30" s="626" t="s">
        <v>892</v>
      </c>
      <c r="M30" s="626">
        <v>9.6999999999999993</v>
      </c>
      <c r="N30" s="626">
        <v>43.649999999999991</v>
      </c>
      <c r="O30" s="626">
        <v>62.357142857142847</v>
      </c>
      <c r="P30" s="626">
        <v>0</v>
      </c>
      <c r="Q30" s="626">
        <v>124.71428571428569</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2477.6999999999998</v>
      </c>
      <c r="N31" s="584">
        <f>SUM(N28:N30)</f>
        <v>11149.65</v>
      </c>
      <c r="O31" s="584">
        <f>SUM(O28:O30)</f>
        <v>15928.071428571429</v>
      </c>
      <c r="P31" s="584">
        <f>SUM(P28:P30)</f>
        <v>0</v>
      </c>
      <c r="Q31" s="584">
        <f>SUM(Q28:Q30)</f>
        <v>31856.142857142859</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2477.6999999999998</v>
      </c>
      <c r="N34" s="589">
        <f>SUMIF($Z$28:$Z$30,"landbouw",N28:N30)</f>
        <v>11149.65</v>
      </c>
      <c r="O34" s="589">
        <f>SUMIF($Z$28:$Z$30,"landbouw",O28:O30)</f>
        <v>15928.071428571429</v>
      </c>
      <c r="P34" s="589">
        <f>SUMIF($Z$28:$Z$30,"landbouw",P28:P30)</f>
        <v>0</v>
      </c>
      <c r="Q34" s="589">
        <f>SUMIF($Z$28:$Z$30,"landbouw",Q28:Q30)</f>
        <v>31856.142857142859</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533</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0</v>
      </c>
      <c r="C50" s="618">
        <f t="shared" si="2"/>
        <v>13117.235294117647</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0</v>
      </c>
      <c r="C51" s="621">
        <f t="shared" si="3"/>
        <v>18738.907563025212</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2020-06-20T15:43:20Z</dcterms:modified>
</cp:coreProperties>
</file>