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R32" i="18"/>
  <c r="Q32" i="18"/>
  <c r="N6" i="17" s="1"/>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G49" i="18"/>
  <c r="I17" i="18" s="1"/>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J15" i="16"/>
  <c r="D4" i="48"/>
  <c r="D22" i="48" s="1"/>
  <c r="E11" i="14"/>
  <c r="C11" i="14"/>
  <c r="B4" i="48"/>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J15" i="48"/>
  <c r="E33" i="48"/>
  <c r="H63" i="14"/>
  <c r="E8" i="48"/>
  <c r="E26" i="48" s="1"/>
  <c r="F1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<sst xmlns="http://schemas.openxmlformats.org/spreadsheetml/2006/main" count="2398" uniqueCount="887">
  <si>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</si>
  <si>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</si>
  <si>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</si>
  <si>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</si>
  <si>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</si>
  <si>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</si>
  <si>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</si>
  <si>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</si>
  <si>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</si>
  <si>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</si>
  <si>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</si>
  <si>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</si>
  <si>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</si>
  <si>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</si>
  <si>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</si>
  <si>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</si>
  <si>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</si>
  <si>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</si>
  <si>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</si>
  <si>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</si>
  <si>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</si>
  <si>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</si>
  <si>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</si>
  <si>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</si>
  <si>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</si>
  <si>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</si>
  <si>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</si>
  <si>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</si>
  <si>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</si>
  <si>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</si>
  <si>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</si>
  <si>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</si>
  <si>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</si>
  <si>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</si>
  <si>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</si>
  <si>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</si>
  <si>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</si>
  <si>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</si>
  <si>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</si>
  <si>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</si>
  <si>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</si>
  <si>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</si>
  <si>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</si>
  <si>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</si>
  <si>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</si>
  <si>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</si>
  <si>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</si>
  <si>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</si>
  <si>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</si>
  <si>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</si>
  <si>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</si>
  <si>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</si>
  <si>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</si>
  <si>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</si>
  <si>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</si>
  <si>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</si>
  <si>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</si>
  <si>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</si>
  <si>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</si>
  <si>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</si>
  <si>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</si>
  <si>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</si>
  <si>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</si>
  <si>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</si>
  <si>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</si>
  <si>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</si>
  <si>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</si>
  <si>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</si>
  <si>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</si>
  <si>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</si>
  <si>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</si>
  <si>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</si>
  <si>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</si>
  <si>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</si>
  <si>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</si>
  <si>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</si>
  <si>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</si>
  <si>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</si>
  <si>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</si>
  <si>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</si>
  <si>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</si>
  <si>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</si>
  <si>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</si>
  <si>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</si>
  <si>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</si>
  <si>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</si>
  <si>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</si>
  <si>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</si>
  <si>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</si>
  <si>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</si>
  <si>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</si>
  <si>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</si>
  <si>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</si>
  <si>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</si>
  <si>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</si>
  <si>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</si>
  <si>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</si>
  <si>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</si>
  <si>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</si>
  <si>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</si>
  <si>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</si>
  <si>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</si>
  <si>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</si>
  <si>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</si>
  <si>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</si>
  <si>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</si>
  <si>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</si>
  <si>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</si>
  <si>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</si>
  <si>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</si>
  <si>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</si>
  <si>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</si>
  <si>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</si>
  <si>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</si>
  <si>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</si>
  <si>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</si>
  <si>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</si>
  <si>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</si>
  <si>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</si>
  <si>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</si>
  <si>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</si>
  <si>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</si>
  <si>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</si>
  <si>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</si>
  <si>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</si>
  <si>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</si>
  <si>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</si>
  <si>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</si>
  <si>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</si>
  <si>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</si>
  <si>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</si>
  <si>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</si>
  <si>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</si>
  <si>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</si>
  <si>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</si>
  <si>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</si>
  <si>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</si>
  <si>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</si>
  <si>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</si>
  <si>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</si>
  <si>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</si>
  <si>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</si>
  <si>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</si>
  <si>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</si>
  <si>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</si>
  <si>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</si>
  <si>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</si>
  <si>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</si>
  <si>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</si>
  <si>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</si>
  <si>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</si>
  <si>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</si>
  <si>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</si>
  <si>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</si>
  <si>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</si>
  <si>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</si>
  <si>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</si>
  <si>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</si>
  <si>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</si>
  <si>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</si>
  <si>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</si>
  <si>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</si>
  <si>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</si>
  <si>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</si>
  <si>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</si>
  <si>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</si>
  <si>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</si>
  <si>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</si>
  <si>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</si>
  <si>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</si>
  <si>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</si>
  <si>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</si>
  <si>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</si>
  <si>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</si>
  <si>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</si>
  <si>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</si>
  <si>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</si>
  <si>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</si>
  <si>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</si>
  <si>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</si>
  <si>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</si>
  <si>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</si>
  <si>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</si>
  <si>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</si>
  <si>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</si>
  <si>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</si>
  <si>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</si>
  <si>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</si>
  <si>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</si>
  <si>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</si>
  <si>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</si>
  <si>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</si>
  <si>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</si>
  <si>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</si>
  <si>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</si>
  <si>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</si>
  <si>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</si>
  <si>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</si>
  <si>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</si>
  <si>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</si>
  <si>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</si>
  <si>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</si>
  <si>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</si>
  <si>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</si>
  <si>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</si>
  <si>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</si>
  <si>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</si>
  <si>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</si>
  <si>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</si>
  <si>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</si>
  <si>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</si>
  <si>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</si>
  <si>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</si>
  <si>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</si>
  <si>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</si>
  <si>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</si>
  <si>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</si>
  <si>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</si>
  <si>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</si>
  <si>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</si>
  <si>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</si>
  <si>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</si>
  <si>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</si>
  <si>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</si>
  <si>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</si>
  <si>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</si>
  <si>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</si>
  <si>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</si>
  <si>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</si>
  <si>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</si>
  <si>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</si>
  <si>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</si>
  <si>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</si>
  <si>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</si>
  <si>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</si>
  <si>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</si>
  <si>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</si>
  <si>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</si>
  <si>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</si>
  <si>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</si>
  <si>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</si>
  <si>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</si>
  <si>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</si>
  <si>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</si>
  <si>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</si>
  <si>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</si>
  <si>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</si>
  <si>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</si>
  <si>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</si>
  <si>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</si>
  <si>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</si>
  <si>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</si>
  <si>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</si>
  <si>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</si>
  <si>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</si>
  <si>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</si>
  <si>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</si>
  <si>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</si>
  <si>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</si>
  <si>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</si>
  <si>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</si>
  <si>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</si>
  <si>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</si>
  <si>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</si>
  <si>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</si>
  <si>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</si>
  <si>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</si>
  <si>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</si>
  <si>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</si>
  <si>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</si>
  <si>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</si>
  <si>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</si>
  <si>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</si>
  <si>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</si>
  <si>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</si>
  <si>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</si>
  <si>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</si>
  <si>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</si>
  <si>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</si>
  <si>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</si>
  <si>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</si>
  <si>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</si>
  <si>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</si>
  <si>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</si>
  <si>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</si>
  <si>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</si>
  <si>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</si>
  <si>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</si>
  <si>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</si>
  <si>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</si>
  <si>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</si>
  <si>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</si>
  <si>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</si>
  <si>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</si>
  <si>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</si>
  <si>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</si>
  <si>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</si>
  <si>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</si>
  <si>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</si>
  <si>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</si>
  <si>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</si>
  <si>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</si>
  <si>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</si>
  <si>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</si>
  <si>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</si>
  <si>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</si>
  <si>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</si>
  <si>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</si>
  <si>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</si>
  <si>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</si>
  <si>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</si>
  <si>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</si>
  <si>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</si>
  <si>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</si>
  <si>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</si>
  <si>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</si>
  <si>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</si>
  <si>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</si>
  <si>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</si>
  <si>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</si>
  <si>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</si>
  <si>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</si>
  <si>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</si>
  <si>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</si>
  <si>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</si>
  <si>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</si>
  <si>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</si>
  <si>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</si>
  <si>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</si>
  <si>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</si>
  <si>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</si>
  <si>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</si>
  <si>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</si>
  <si>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</si>
  <si>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</si>
  <si>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</si>
  <si>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</si>
  <si>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</si>
  <si>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</si>
  <si>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</si>
  <si>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</si>
  <si>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</si>
  <si>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</si>
  <si>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</si>
  <si>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</si>
  <si>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</si>
  <si>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</si>
  <si>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</si>
  <si>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</si>
  <si>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</si>
  <si>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</si>
  <si>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</si>
  <si>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</si>
  <si>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</si>
  <si>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</si>
  <si>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</si>
  <si>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</si>
  <si>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</si>
  <si>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</si>
  <si>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</si>
  <si>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</si>
  <si>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</si>
  <si>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</si>
  <si>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</si>
  <si>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</si>
  <si>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</si>
  <si>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</si>
  <si>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</si>
  <si>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</si>
  <si>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</si>
  <si>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</si>
  <si>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</si>
  <si>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</si>
  <si>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</si>
  <si>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</si>
  <si>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</si>
  <si>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</si>
  <si>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</si>
  <si>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</si>
  <si>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</si>
  <si>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</si>
  <si>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</si>
  <si>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</si>
  <si>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</si>
  <si>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</si>
  <si>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</si>
  <si>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</si>
  <si>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</si>
  <si>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</si>
  <si>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</si>
  <si>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</si>
  <si>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</si>
  <si>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</si>
  <si>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</si>
  <si>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</si>
  <si>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</si>
  <si>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</si>
  <si>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</si>
  <si>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</si>
  <si>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</si>
  <si>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</si>
  <si>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</si>
  <si>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</si>
  <si>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</si>
  <si>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</si>
  <si>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</si>
  <si>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</si>
  <si>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</si>
  <si>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</si>
  <si>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</si>
  <si>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</si>
  <si>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</si>
  <si>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</si>
  <si>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</si>
  <si>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</si>
  <si>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</si>
  <si>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</si>
  <si>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</si>
  <si>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</si>
  <si>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</si>
  <si>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</si>
  <si>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</si>
  <si>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</si>
  <si>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</si>
  <si>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</si>
  <si>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</si>
  <si>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</si>
  <si>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</si>
  <si>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</si>
  <si>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</si>
  <si>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</si>
  <si>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</si>
  <si>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</si>
  <si>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</si>
  <si>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</si>
  <si>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</si>
  <si>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</si>
  <si>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</si>
  <si>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</si>
  <si>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</si>
  <si>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</si>
  <si>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</si>
  <si>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</si>
  <si>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</si>
  <si>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</si>
  <si>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</si>
  <si>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</si>
  <si>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</si>
  <si>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</si>
  <si>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</si>
  <si>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</si>
  <si>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</si>
  <si>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</si>
  <si>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</si>
  <si>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</si>
  <si>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</si>
  <si>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</si>
  <si>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</si>
  <si>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</si>
  <si>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</si>
  <si>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</si>
  <si>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</si>
  <si>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</si>
  <si>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</si>
  <si>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</si>
  <si>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</si>
  <si>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</si>
  <si>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</si>
  <si>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</si>
  <si>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</si>
  <si>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</si>
  <si>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</si>
  <si>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</si>
  <si>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</si>
  <si>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</si>
  <si>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</si>
  <si>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</si>
  <si>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</si>
  <si>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</si>
  <si>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</si>
  <si>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</si>
  <si>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</si>
  <si>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</si>
  <si>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</si>
  <si>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</si>
  <si>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</si>
  <si>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</si>
  <si>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</si>
  <si>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</si>
  <si>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</si>
  <si>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</si>
  <si>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</si>
  <si>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</si>
  <si>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</si>
  <si>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</si>
  <si>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</si>
  <si>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</si>
  <si>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</si>
  <si>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</si>
  <si>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</si>
  <si>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</si>
  <si>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</si>
  <si>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</si>
  <si>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</si>
  <si>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</si>
  <si>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</si>
  <si>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</si>
  <si>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</si>
  <si>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</si>
  <si>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</si>
  <si>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</si>
  <si>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</si>
  <si>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</si>
  <si>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</si>
  <si>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</si>
  <si>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</si>
  <si>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</si>
  <si>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</si>
  <si>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</si>
  <si>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</si>
  <si>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</si>
  <si>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</si>
  <si>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</si>
  <si>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</si>
  <si>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</si>
  <si>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</si>
  <si>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</si>
  <si>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</si>
  <si>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</si>
  <si>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</si>
  <si>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</si>
  <si>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</si>
  <si>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</si>
  <si>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</si>
  <si>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</si>
  <si>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</si>
  <si>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</si>
  <si>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</si>
  <si>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</si>
  <si>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</si>
  <si>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</si>
  <si>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</si>
  <si>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</si>
  <si>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</si>
  <si>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</si>
  <si>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</si>
  <si>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</si>
  <si>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</si>
  <si>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</si>
  <si>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</si>
  <si>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</si>
  <si>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</si>
  <si>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</si>
  <si>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</si>
  <si>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</si>
  <si>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</si>
  <si>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</si>
  <si>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</si>
  <si>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</si>
  <si>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</si>
  <si>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</si>
  <si>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</si>
  <si>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</si>
  <si>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</si>
  <si>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</si>
  <si>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</si>
  <si>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</si>
  <si>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</si>
  <si>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</si>
  <si>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</si>
  <si>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</si>
  <si>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</si>
  <si>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</si>
  <si>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</si>
  <si>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</si>
  <si>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</si>
  <si>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</si>
  <si>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</si>
  <si>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</si>
  <si>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</si>
  <si>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</si>
  <si>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</si>
  <si>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</si>
  <si>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</si>
  <si>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</si>
  <si>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</si>
  <si>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</si>
  <si>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</si>
  <si>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</si>
  <si>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</si>
  <si>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</si>
  <si>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</si>
  <si>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</si>
  <si>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</si>
  <si>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</si>
  <si>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</si>
  <si>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</si>
  <si>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</si>
  <si>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</si>
  <si>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</si>
  <si>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</si>
  <si>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</si>
  <si>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</si>
  <si>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</si>
  <si>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</si>
  <si>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</si>
  <si>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</si>
  <si>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</si>
  <si>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</si>
  <si>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</si>
  <si>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</si>
  <si>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</si>
  <si>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</si>
  <si>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</si>
  <si>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</si>
  <si>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</si>
  <si>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</si>
  <si>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</si>
  <si>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</si>
  <si>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</si>
  <si>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</si>
  <si>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</si>
  <si>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</si>
  <si>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</si>
  <si>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</si>
  <si>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</si>
  <si>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</si>
  <si>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</si>
  <si>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</si>
  <si>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</si>
  <si>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</si>
  <si>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</si>
  <si>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</si>
  <si>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</si>
  <si>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</si>
  <si>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</si>
  <si>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</si>
  <si>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</si>
  <si>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</si>
  <si>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</si>
  <si>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</si>
  <si>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</si>
  <si>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</si>
  <si>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</si>
  <si>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</si>
  <si>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</si>
  <si>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</si>
  <si>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</si>
  <si>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</si>
  <si>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</si>
  <si>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</si>
  <si>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</si>
  <si>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</si>
  <si>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</si>
  <si>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</si>
  <si>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</si>
  <si>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</si>
  <si>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</si>
  <si>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</si>
  <si>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</si>
  <si>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</si>
  <si>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</si>
  <si>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</si>
  <si>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</si>
  <si>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</si>
  <si>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</si>
  <si>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</si>
  <si>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</si>
  <si>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</si>
  <si>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</si>
  <si>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</si>
  <si>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</si>
  <si>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</si>
  <si>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</si>
  <si>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</si>
  <si>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</si>
  <si>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</si>
  <si>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</si>
  <si>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</si>
  <si>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</si>
  <si>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</si>
  <si>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</si>
  <si>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</si>
  <si>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</si>
  <si>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</si>
  <si>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</si>
  <si>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</si>
  <si>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</si>
  <si>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</si>
  <si>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</si>
  <si>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</si>
  <si>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</si>
  <si>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</si>
  <si>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</si>
  <si>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</si>
  <si>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</si>
  <si>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</si>
  <si>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</si>
  <si>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</si>
  <si>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</si>
  <si>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</si>
  <si>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</si>
  <si>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</si>
  <si>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</si>
  <si>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</si>
  <si>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</si>
  <si>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</si>
  <si>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</si>
  <si>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</si>
  <si>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</si>
  <si>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</si>
  <si>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</si>
  <si>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</si>
  <si>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</si>
  <si>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</si>
  <si>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</si>
  <si>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</si>
  <si>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</si>
  <si>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</si>
  <si>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</si>
  <si>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</si>
  <si>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</si>
  <si>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</si>
  <si>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</si>
  <si>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</si>
  <si>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</si>
  <si>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</si>
  <si>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</si>
  <si>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</si>
  <si>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</si>
  <si>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</si>
  <si>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</si>
  <si>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</si>
  <si>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</si>
  <si>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</si>
  <si>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</si>
  <si>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</si>
  <si>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</si>
  <si>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</si>
  <si>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</si>
  <si>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</si>
  <si>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</si>
  <si>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</si>
  <si>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</si>
  <si>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</si>
  <si>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</si>
  <si>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</si>
  <si>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</si>
  <si>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</si>
  <si>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</si>
  <si>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</si>
  <si>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</si>
  <si>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</si>
  <si>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</si>
  <si>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</si>
  <si>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</si>
  <si>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</si>
  <si>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</si>
  <si>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</si>
  <si>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</si>
  <si>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</si>
  <si>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</si>
  <si>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</si>
  <si>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</si>
  <si>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</si>
  <si>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</si>
  <si>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</si>
  <si>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</si>
  <si>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</si>
  <si>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</si>
  <si>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</si>
  <si>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</si>
  <si>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</si>
  <si>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</si>
  <si>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</si>
  <si>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</si>
  <si>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</si>
  <si>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</si>
  <si>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</si>
  <si>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</si>
  <si>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</si>
  <si>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</si>
  <si>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</si>
  <si>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</si>
  <si>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</si>
  <si>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</si>
  <si>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</si>
  <si>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</si>
  <si>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</si>
  <si>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</si>
  <si>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</si>
  <si>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</si>
  <si>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</si>
  <si>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</si>
  <si>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</si>
  <si>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</si>
  <si>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</si>
  <si>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</si>
  <si>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</si>
  <si>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</si>
  <si>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</si>
  <si>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</si>
  <si>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</si>
  <si>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</si>
  <si>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</si>
  <si>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</si>
  <si>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</si>
  <si>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</si>
  <si>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</si>
  <si>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</si>
  <si>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</si>
  <si>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</si>
  <si>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</si>
  <si>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</si>
  <si>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</si>
  <si>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</si>
  <si>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</si>
  <si>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</si>
  <si>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</si>
  <si>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</si>
  <si>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</si>
  <si>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</si>
  <si>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</si>
  <si>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</si>
  <si>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</si>
  <si>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</si>
  <si>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</si>
  <si>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</si>
  <si>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</si>
  <si>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</si>
  <si>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</si>
  <si>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</si>
  <si>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</si>
  <si>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</si>
  <si>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</si>
  <si>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</si>
  <si>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</si>
  <si>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</si>
  <si>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</si>
  <si>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</si>
  <si>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</si>
  <si>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</si>
  <si>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</si>
  <si>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</si>
  <si>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</si>
  <si>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</si>
  <si>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</si>
  <si>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</si>
  <si>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</si>
  <si>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</si>
  <si>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</si>
  <si>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</si>
  <si>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</si>
  <si>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</si>
  <si>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</si>
  <si>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</si>
  <si>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</si>
  <si>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</si>
  <si>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</si>
  <si>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</si>
  <si>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</si>
  <si>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</si>
  <si>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</si>
  <si>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</si>
  <si>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</si>
  <si>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</si>
  <si>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</si>
  <si>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</si>
  <si>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</si>
  <si>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</si>
  <si>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</si>
  <si>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</si>
  <si>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</si>
  <si>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</si>
  <si>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</si>
  <si>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</si>
  <si>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</si>
  <si>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</si>
  <si>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</si>
  <si>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</si>
  <si>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</si>
  <si>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</si>
  <si>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</si>
  <si>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24104</t>
  </si>
  <si>
    <t>TERVUREN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</si>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</sst>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197686.14352386104</c:v>
                </c:pt>
                <c:pt idx="1">
                  <c:v>54693.935077096976</c:v>
                </c:pt>
                <c:pt idx="2">
                  <c:v>1188.7919999999999</c:v>
                </c:pt>
                <c:pt idx="3">
                  <c:v>1042.5655533299328</c:v>
                </c:pt>
                <c:pt idx="4">
                  <c:v>5781.1127689397008</c:v>
                </c:pt>
                <c:pt idx="5">
                  <c:v>217828.28315166835</c:v>
                </c:pt>
                <c:pt idx="6">
                  <c:v>4603.1611758274457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197686.14352386104</c:v>
                </c:pt>
                <c:pt idx="1">
                  <c:v>54693.935077096976</c:v>
                </c:pt>
                <c:pt idx="2">
                  <c:v>1188.7919999999999</c:v>
                </c:pt>
                <c:pt idx="3">
                  <c:v>1042.5655533299328</c:v>
                </c:pt>
                <c:pt idx="4">
                  <c:v>5781.1127689397008</c:v>
                </c:pt>
                <c:pt idx="5">
                  <c:v>217828.28315166835</c:v>
                </c:pt>
                <c:pt idx="6">
                  <c:v>4603.1611758274457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38772.075984992836</c:v>
                </c:pt>
                <c:pt idx="2">
                  <c:v>10639.206395622354</c:v>
                </c:pt>
                <c:pt idx="3">
                  <c:v>253.08762513321594</c:v>
                </c:pt>
                <c:pt idx="4">
                  <c:v>262.10604104653373</c:v>
                </c:pt>
                <c:pt idx="5">
                  <c:v>1203.2952028939046</c:v>
                </c:pt>
                <c:pt idx="6">
                  <c:v>54473.618562251904</c:v>
                </c:pt>
                <c:pt idx="7">
                  <c:v>1162.9959856837345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38772.075984992836</c:v>
                </c:pt>
                <c:pt idx="2">
                  <c:v>10639.206395622354</c:v>
                </c:pt>
                <c:pt idx="3">
                  <c:v>253.08762513321594</c:v>
                </c:pt>
                <c:pt idx="4">
                  <c:v>262.10604104653373</c:v>
                </c:pt>
                <c:pt idx="5">
                  <c:v>1203.2952028939046</c:v>
                </c:pt>
                <c:pt idx="6">
                  <c:v>54473.618562251904</c:v>
                </c:pt>
                <c:pt idx="7">
                  <c:v>1162.9959856837345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24104</v>
      </c>
      <c r="B6" s="390"/>
      <c r="C6" s="391"/>
    </row>
    <row r="7" spans="1:7" s="388" customFormat="1" ht="15.75" customHeight="1">
      <c r="A7" s="392" t="str">
        <f>txtMunicipality</f>
        <v>TERVUREN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0.21289479163151834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0.21289479163151834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8531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739.65</v>
      </c>
      <c r="C14" s="330"/>
      <c r="D14" s="330"/>
      <c r="E14" s="330"/>
      <c r="F14" s="330"/>
    </row>
    <row r="15" spans="1:6">
      <c r="A15" s="1293" t="s">
        <v>183</v>
      </c>
      <c r="B15" s="1294">
        <v>2</v>
      </c>
      <c r="C15" s="330"/>
      <c r="D15" s="330"/>
      <c r="E15" s="330"/>
      <c r="F15" s="330"/>
    </row>
    <row r="16" spans="1:6">
      <c r="A16" s="1293" t="s">
        <v>6</v>
      </c>
      <c r="B16" s="1294">
        <v>55</v>
      </c>
      <c r="C16" s="330"/>
      <c r="D16" s="330"/>
      <c r="E16" s="330"/>
      <c r="F16" s="330"/>
    </row>
    <row r="17" spans="1:6">
      <c r="A17" s="1293" t="s">
        <v>7</v>
      </c>
      <c r="B17" s="1294">
        <v>72</v>
      </c>
      <c r="C17" s="330"/>
      <c r="D17" s="330"/>
      <c r="E17" s="330"/>
      <c r="F17" s="330"/>
    </row>
    <row r="18" spans="1:6">
      <c r="A18" s="1293" t="s">
        <v>8</v>
      </c>
      <c r="B18" s="1294">
        <v>169</v>
      </c>
      <c r="C18" s="330"/>
      <c r="D18" s="330"/>
      <c r="E18" s="330"/>
      <c r="F18" s="330"/>
    </row>
    <row r="19" spans="1:6">
      <c r="A19" s="1293" t="s">
        <v>9</v>
      </c>
      <c r="B19" s="1294">
        <v>276</v>
      </c>
      <c r="C19" s="330"/>
      <c r="D19" s="330"/>
      <c r="E19" s="330"/>
      <c r="F19" s="330"/>
    </row>
    <row r="20" spans="1:6">
      <c r="A20" s="1293" t="s">
        <v>10</v>
      </c>
      <c r="B20" s="1294">
        <v>74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162</v>
      </c>
      <c r="C29" s="336"/>
      <c r="D29" s="336"/>
      <c r="E29" s="336"/>
      <c r="F29" s="336"/>
    </row>
    <row r="30" spans="1:6">
      <c r="A30" s="1288" t="s">
        <v>735</v>
      </c>
      <c r="B30" s="1297">
        <v>16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3628.2696200513001</v>
      </c>
    </row>
    <row r="37" spans="1:6">
      <c r="A37" s="1293" t="s">
        <v>24</v>
      </c>
      <c r="B37" s="1293" t="s">
        <v>27</v>
      </c>
      <c r="C37" s="1294">
        <v>0</v>
      </c>
      <c r="D37" s="1294">
        <v>0</v>
      </c>
      <c r="E37" s="1294">
        <v>0</v>
      </c>
      <c r="F37" s="1294">
        <v>0</v>
      </c>
    </row>
    <row r="38" spans="1:6">
      <c r="A38" s="1293" t="s">
        <v>24</v>
      </c>
      <c r="B38" s="1293" t="s">
        <v>28</v>
      </c>
      <c r="C38" s="1294">
        <v>2</v>
      </c>
      <c r="D38" s="1294">
        <v>368620.50439595099</v>
      </c>
      <c r="E38" s="1294">
        <v>1</v>
      </c>
      <c r="F38" s="1294">
        <v>91923</v>
      </c>
    </row>
    <row r="39" spans="1:6">
      <c r="A39" s="1293" t="s">
        <v>29</v>
      </c>
      <c r="B39" s="1293" t="s">
        <v>30</v>
      </c>
      <c r="C39" s="1294">
        <v>6671</v>
      </c>
      <c r="D39" s="1294">
        <v>153989056.90304199</v>
      </c>
      <c r="E39" s="1294">
        <v>8673</v>
      </c>
      <c r="F39" s="1294">
        <v>34212181.866909698</v>
      </c>
    </row>
    <row r="40" spans="1:6">
      <c r="A40" s="1293" t="s">
        <v>29</v>
      </c>
      <c r="B40" s="1293" t="s">
        <v>28</v>
      </c>
      <c r="C40" s="1294">
        <v>1</v>
      </c>
      <c r="D40" s="1294">
        <v>87948.7582251485</v>
      </c>
      <c r="E40" s="1294">
        <v>0</v>
      </c>
      <c r="F40" s="1294">
        <v>0</v>
      </c>
    </row>
    <row r="41" spans="1:6">
      <c r="A41" s="1293" t="s">
        <v>31</v>
      </c>
      <c r="B41" s="1293" t="s">
        <v>32</v>
      </c>
      <c r="C41" s="1294">
        <v>39</v>
      </c>
      <c r="D41" s="1294">
        <v>1280315.6282023699</v>
      </c>
      <c r="E41" s="1294">
        <v>73</v>
      </c>
      <c r="F41" s="1294">
        <v>553890.40461247996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5</v>
      </c>
      <c r="F44" s="1294">
        <v>80367.937127847006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55659.741502836703</v>
      </c>
      <c r="E47" s="1294">
        <v>3</v>
      </c>
      <c r="F47" s="1294">
        <v>7381.3114761646002</v>
      </c>
    </row>
    <row r="48" spans="1:6">
      <c r="A48" s="1293" t="s">
        <v>31</v>
      </c>
      <c r="B48" s="1293" t="s">
        <v>28</v>
      </c>
      <c r="C48" s="1294">
        <v>24</v>
      </c>
      <c r="D48" s="1294">
        <v>1328504.5900012001</v>
      </c>
      <c r="E48" s="1294">
        <v>26</v>
      </c>
      <c r="F48" s="1294">
        <v>335858.83156802203</v>
      </c>
    </row>
    <row r="49" spans="1:6">
      <c r="A49" s="1293" t="s">
        <v>31</v>
      </c>
      <c r="B49" s="1293" t="s">
        <v>39</v>
      </c>
      <c r="C49" s="1294">
        <v>0</v>
      </c>
      <c r="D49" s="1294">
        <v>0</v>
      </c>
      <c r="E49" s="1294">
        <v>0</v>
      </c>
      <c r="F49" s="1294">
        <v>0</v>
      </c>
    </row>
    <row r="50" spans="1:6">
      <c r="A50" s="1293" t="s">
        <v>31</v>
      </c>
      <c r="B50" s="1293" t="s">
        <v>40</v>
      </c>
      <c r="C50" s="1294">
        <v>5</v>
      </c>
      <c r="D50" s="1294">
        <v>954442.17992811999</v>
      </c>
      <c r="E50" s="1294">
        <v>10</v>
      </c>
      <c r="F50" s="1294">
        <v>675433.80310116604</v>
      </c>
    </row>
    <row r="51" spans="1:6">
      <c r="A51" s="1293" t="s">
        <v>41</v>
      </c>
      <c r="B51" s="1293" t="s">
        <v>42</v>
      </c>
      <c r="C51" s="1294">
        <v>3</v>
      </c>
      <c r="D51" s="1294">
        <v>41802.925833929599</v>
      </c>
      <c r="E51" s="1294">
        <v>36</v>
      </c>
      <c r="F51" s="1294">
        <v>159070.98545434899</v>
      </c>
    </row>
    <row r="52" spans="1:6">
      <c r="A52" s="1293" t="s">
        <v>41</v>
      </c>
      <c r="B52" s="1293" t="s">
        <v>28</v>
      </c>
      <c r="C52" s="1294">
        <v>5</v>
      </c>
      <c r="D52" s="1294">
        <v>112359.20248681</v>
      </c>
      <c r="E52" s="1294">
        <v>3</v>
      </c>
      <c r="F52" s="1294">
        <v>10118.9972548366</v>
      </c>
    </row>
    <row r="53" spans="1:6">
      <c r="A53" s="1293" t="s">
        <v>43</v>
      </c>
      <c r="B53" s="1293" t="s">
        <v>44</v>
      </c>
      <c r="C53" s="1294">
        <v>217</v>
      </c>
      <c r="D53" s="1294">
        <v>6967100.19128781</v>
      </c>
      <c r="E53" s="1294">
        <v>343</v>
      </c>
      <c r="F53" s="1294">
        <v>1758096.2457814401</v>
      </c>
    </row>
    <row r="54" spans="1:6">
      <c r="A54" s="1293" t="s">
        <v>45</v>
      </c>
      <c r="B54" s="1293" t="s">
        <v>46</v>
      </c>
      <c r="C54" s="1294">
        <v>0</v>
      </c>
      <c r="D54" s="1294">
        <v>0</v>
      </c>
      <c r="E54" s="1294">
        <v>1</v>
      </c>
      <c r="F54" s="1294">
        <v>1188792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44</v>
      </c>
      <c r="D57" s="1294">
        <v>5595057.2260121796</v>
      </c>
      <c r="E57" s="1294">
        <v>86</v>
      </c>
      <c r="F57" s="1294">
        <v>4644046.6364137502</v>
      </c>
    </row>
    <row r="58" spans="1:6">
      <c r="A58" s="1293" t="s">
        <v>48</v>
      </c>
      <c r="B58" s="1293" t="s">
        <v>50</v>
      </c>
      <c r="C58" s="1294">
        <v>39</v>
      </c>
      <c r="D58" s="1294">
        <v>1133266.62397429</v>
      </c>
      <c r="E58" s="1294">
        <v>46</v>
      </c>
      <c r="F58" s="1294">
        <v>335957.81186463602</v>
      </c>
    </row>
    <row r="59" spans="1:6">
      <c r="A59" s="1293" t="s">
        <v>48</v>
      </c>
      <c r="B59" s="1293" t="s">
        <v>51</v>
      </c>
      <c r="C59" s="1294">
        <v>58</v>
      </c>
      <c r="D59" s="1294">
        <v>2550415.6696279398</v>
      </c>
      <c r="E59" s="1294">
        <v>128</v>
      </c>
      <c r="F59" s="1294">
        <v>3823284.4097665399</v>
      </c>
    </row>
    <row r="60" spans="1:6">
      <c r="A60" s="1293" t="s">
        <v>48</v>
      </c>
      <c r="B60" s="1293" t="s">
        <v>52</v>
      </c>
      <c r="C60" s="1294">
        <v>43</v>
      </c>
      <c r="D60" s="1294">
        <v>1537633.9863773901</v>
      </c>
      <c r="E60" s="1294">
        <v>55</v>
      </c>
      <c r="F60" s="1294">
        <v>764608.40178699803</v>
      </c>
    </row>
    <row r="61" spans="1:6">
      <c r="A61" s="1293" t="s">
        <v>48</v>
      </c>
      <c r="B61" s="1293" t="s">
        <v>53</v>
      </c>
      <c r="C61" s="1294">
        <v>294</v>
      </c>
      <c r="D61" s="1294">
        <v>14377825.854898101</v>
      </c>
      <c r="E61" s="1294">
        <v>499</v>
      </c>
      <c r="F61" s="1294">
        <v>5442101.4519132599</v>
      </c>
    </row>
    <row r="62" spans="1:6">
      <c r="A62" s="1293" t="s">
        <v>48</v>
      </c>
      <c r="B62" s="1293" t="s">
        <v>54</v>
      </c>
      <c r="C62" s="1294">
        <v>9</v>
      </c>
      <c r="D62" s="1294">
        <v>456150.33546791901</v>
      </c>
      <c r="E62" s="1294">
        <v>15</v>
      </c>
      <c r="F62" s="1294">
        <v>1666695.0420641401</v>
      </c>
    </row>
    <row r="63" spans="1:6">
      <c r="A63" s="1293" t="s">
        <v>48</v>
      </c>
      <c r="B63" s="1293" t="s">
        <v>28</v>
      </c>
      <c r="C63" s="1294">
        <v>86</v>
      </c>
      <c r="D63" s="1294">
        <v>5639571.1839716099</v>
      </c>
      <c r="E63" s="1294">
        <v>78</v>
      </c>
      <c r="F63" s="1294">
        <v>1871618.8523907899</v>
      </c>
    </row>
    <row r="64" spans="1:6">
      <c r="A64" s="1293" t="s">
        <v>55</v>
      </c>
      <c r="B64" s="1293" t="s">
        <v>56</v>
      </c>
      <c r="C64" s="1294">
        <v>0</v>
      </c>
      <c r="D64" s="1294">
        <v>0</v>
      </c>
      <c r="E64" s="1294">
        <v>0</v>
      </c>
      <c r="F64" s="1294">
        <v>0</v>
      </c>
    </row>
    <row r="65" spans="1:6">
      <c r="A65" s="1293" t="s">
        <v>55</v>
      </c>
      <c r="B65" s="1293" t="s">
        <v>28</v>
      </c>
      <c r="C65" s="1294">
        <v>2</v>
      </c>
      <c r="D65" s="1294">
        <v>34448.424232571997</v>
      </c>
      <c r="E65" s="1294">
        <v>3</v>
      </c>
      <c r="F65" s="1294">
        <v>13010.052107420401</v>
      </c>
    </row>
    <row r="66" spans="1:6">
      <c r="A66" s="1293" t="s">
        <v>55</v>
      </c>
      <c r="B66" s="1293" t="s">
        <v>57</v>
      </c>
      <c r="C66" s="1294">
        <v>0</v>
      </c>
      <c r="D66" s="1294">
        <v>0</v>
      </c>
      <c r="E66" s="1294">
        <v>10</v>
      </c>
      <c r="F66" s="1294">
        <v>68297.675768564106</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58322052</v>
      </c>
      <c r="E73" s="449"/>
      <c r="F73" s="330"/>
    </row>
    <row r="74" spans="1:6">
      <c r="A74" s="1293" t="s">
        <v>63</v>
      </c>
      <c r="B74" s="1293" t="s">
        <v>656</v>
      </c>
      <c r="C74" s="1307" t="s">
        <v>658</v>
      </c>
      <c r="D74" s="1308">
        <v>809918</v>
      </c>
      <c r="E74" s="449"/>
      <c r="F74" s="330"/>
    </row>
    <row r="75" spans="1:6">
      <c r="A75" s="1293" t="s">
        <v>64</v>
      </c>
      <c r="B75" s="1293" t="s">
        <v>655</v>
      </c>
      <c r="C75" s="1307" t="s">
        <v>659</v>
      </c>
      <c r="D75" s="1308">
        <v>55275390</v>
      </c>
      <c r="E75" s="449"/>
      <c r="F75" s="330"/>
    </row>
    <row r="76" spans="1:6">
      <c r="A76" s="1293" t="s">
        <v>64</v>
      </c>
      <c r="B76" s="1293" t="s">
        <v>656</v>
      </c>
      <c r="C76" s="1307" t="s">
        <v>660</v>
      </c>
      <c r="D76" s="1308">
        <v>159987</v>
      </c>
      <c r="E76" s="449"/>
      <c r="F76" s="330"/>
    </row>
    <row r="77" spans="1:6">
      <c r="A77" s="1293" t="s">
        <v>65</v>
      </c>
      <c r="B77" s="1293" t="s">
        <v>655</v>
      </c>
      <c r="C77" s="1307" t="s">
        <v>661</v>
      </c>
      <c r="D77" s="1308">
        <v>142325172</v>
      </c>
      <c r="E77" s="449"/>
      <c r="F77" s="330"/>
    </row>
    <row r="78" spans="1:6">
      <c r="A78" s="1288" t="s">
        <v>65</v>
      </c>
      <c r="B78" s="1288" t="s">
        <v>656</v>
      </c>
      <c r="C78" s="1288" t="s">
        <v>662</v>
      </c>
      <c r="D78" s="1309">
        <v>12293029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1255428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2153.4708691157516</v>
      </c>
      <c r="C91" s="330"/>
      <c r="D91" s="330"/>
      <c r="E91" s="330"/>
      <c r="F91" s="330"/>
    </row>
    <row r="92" spans="1:6">
      <c r="A92" s="1288" t="s">
        <v>68</v>
      </c>
      <c r="B92" s="1289">
        <v>38.55029658918226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4567</v>
      </c>
      <c r="C97" s="330"/>
      <c r="D97" s="330"/>
      <c r="E97" s="330"/>
      <c r="F97" s="330"/>
    </row>
    <row r="98" spans="1:6">
      <c r="A98" s="1293" t="s">
        <v>71</v>
      </c>
      <c r="B98" s="1294">
        <v>3</v>
      </c>
      <c r="C98" s="330"/>
      <c r="D98" s="330"/>
      <c r="E98" s="330"/>
      <c r="F98" s="330"/>
    </row>
    <row r="99" spans="1:6">
      <c r="A99" s="1293" t="s">
        <v>72</v>
      </c>
      <c r="B99" s="1294">
        <v>27</v>
      </c>
      <c r="C99" s="330"/>
      <c r="D99" s="330"/>
      <c r="E99" s="330"/>
      <c r="F99" s="330"/>
    </row>
    <row r="100" spans="1:6">
      <c r="A100" s="1293" t="s">
        <v>73</v>
      </c>
      <c r="B100" s="1294">
        <v>358</v>
      </c>
      <c r="C100" s="330"/>
      <c r="D100" s="330"/>
      <c r="E100" s="330"/>
      <c r="F100" s="330"/>
    </row>
    <row r="101" spans="1:6">
      <c r="A101" s="1293" t="s">
        <v>74</v>
      </c>
      <c r="B101" s="1294">
        <v>36</v>
      </c>
      <c r="C101" s="330"/>
      <c r="D101" s="330"/>
      <c r="E101" s="330"/>
      <c r="F101" s="330"/>
    </row>
    <row r="102" spans="1:6">
      <c r="A102" s="1293" t="s">
        <v>75</v>
      </c>
      <c r="B102" s="1294">
        <v>91</v>
      </c>
      <c r="C102" s="330"/>
      <c r="D102" s="330"/>
      <c r="E102" s="330"/>
      <c r="F102" s="330"/>
    </row>
    <row r="103" spans="1:6">
      <c r="A103" s="1293" t="s">
        <v>76</v>
      </c>
      <c r="B103" s="1294">
        <v>63</v>
      </c>
      <c r="C103" s="330"/>
      <c r="D103" s="330"/>
      <c r="E103" s="330"/>
      <c r="F103" s="330"/>
    </row>
    <row r="104" spans="1:6">
      <c r="A104" s="1293" t="s">
        <v>77</v>
      </c>
      <c r="B104" s="1294">
        <v>2221</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34</v>
      </c>
      <c r="C123" s="1294">
        <v>28</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146</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59768.565544174839</v>
      </c>
      <c r="C3" s="43" t="s">
        <v>169</v>
      </c>
      <c r="D3" s="43"/>
      <c r="E3" s="154"/>
      <c r="F3" s="43"/>
      <c r="G3" s="43"/>
      <c r="H3" s="43"/>
      <c r="I3" s="43"/>
      <c r="J3" s="43"/>
      <c r="K3" s="96"/>
    </row>
    <row r="4" spans="1:11">
      <c r="A4" s="358" t="s">
        <v>170</v>
      </c>
      <c r="B4" s="49">
        <f>IF(ISERROR('SEAP template'!B78+'SEAP template'!C78),0,'SEAP template'!B78+'SEAP template'!C78)</f>
        <v>2192.021165704934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0.21289479163151834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1188.7919999999999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1188.7919999999999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0.21289479163151834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253.08762513321594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34212.181866909697</v>
      </c>
      <c r="C5" s="17">
        <f>IF(ISERROR('Eigen informatie GS &amp; warmtenet'!B57),0,'Eigen informatie GS &amp; warmtenet'!B57)</f>
        <v>0</v>
      </c>
      <c r="D5" s="30">
        <f>(SUM(HH_hh_gas_kWh,HH_rest_gas_kWh)/1000)*0.902</f>
        <v>138977.45910646295</v>
      </c>
      <c r="E5" s="17">
        <f>B46*B57</f>
        <v>5013.7933588175556</v>
      </c>
      <c r="F5" s="17">
        <f>B51*B62</f>
        <v>6810.6370459005175</v>
      </c>
      <c r="G5" s="18"/>
      <c r="H5" s="17"/>
      <c r="I5" s="17"/>
      <c r="J5" s="17">
        <f>B50*B61+C50*C61</f>
        <v>0</v>
      </c>
      <c r="K5" s="17"/>
      <c r="L5" s="17"/>
      <c r="M5" s="17"/>
      <c r="N5" s="17">
        <f>B48*B59+C48*C59</f>
        <v>9213.8546099879113</v>
      </c>
      <c r="O5" s="17">
        <f>B69*B70*B71</f>
        <v>275.1466666666667</v>
      </c>
      <c r="P5" s="17">
        <f>B77*B78*B79/1000-B77*B78*B79/1000/B80</f>
        <v>1029.5999999999999</v>
      </c>
    </row>
    <row r="6" spans="1:16">
      <c r="A6" s="16" t="s">
        <v>620</v>
      </c>
      <c r="B6" s="762">
        <f>kWh_PV_kleiner_dan_10kW</f>
        <v>2153.4708691157516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36365.652736025448</v>
      </c>
      <c r="C8" s="21">
        <f>C5</f>
        <v>0</v>
      </c>
      <c r="D8" s="21">
        <f>D5</f>
        <v>138977.45910646295</v>
      </c>
      <c r="E8" s="21">
        <f>E5</f>
        <v>5013.7933588175556</v>
      </c>
      <c r="F8" s="21">
        <f>F5</f>
        <v>6810.6370459005175</v>
      </c>
      <c r="G8" s="21"/>
      <c r="H8" s="21"/>
      <c r="I8" s="21"/>
      <c r="J8" s="21">
        <f>J5</f>
        <v>0</v>
      </c>
      <c r="K8" s="21"/>
      <c r="L8" s="21">
        <f>L5</f>
        <v>0</v>
      </c>
      <c r="M8" s="21">
        <f>M5</f>
        <v>0</v>
      </c>
      <c r="N8" s="21">
        <f>N5</f>
        <v>9213.8546099879113</v>
      </c>
      <c r="O8" s="21">
        <f>O5</f>
        <v>275.1466666666667</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0.21289479163151834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7742.0580617802925</v>
      </c>
      <c r="C12" s="23">
        <f ca="1">C10*C8</f>
        <v>0</v>
      </c>
      <c r="D12" s="23">
        <f>D8*D10</f>
        <v>28073.446739505518</v>
      </c>
      <c r="E12" s="23">
        <f>E10*E8</f>
        <v>1138.1310924515851</v>
      </c>
      <c r="F12" s="23">
        <f>F10*F8</f>
        <v>1818.4400912554383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8531</v>
      </c>
      <c r="C28" s="36"/>
      <c r="D28" s="228"/>
    </row>
    <row r="29" spans="1:7" s="15" customFormat="1">
      <c r="A29" s="230" t="s">
        <v>781</v>
      </c>
      <c r="B29" s="37">
        <f>SUM(HH_hh_gas_aantal,HH_rest_gas_aantal)</f>
        <v>6672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6672</v>
      </c>
      <c r="C32" s="167">
        <f>IF(ISERROR(B32/SUM($B$32,$B$34,$B$35,$B$36,$B$38,$B$39)*100),0,B32/SUM($B$32,$B$34,$B$35,$B$36,$B$38,$B$39)*100)</f>
        <v>78.707089772325105</v>
      </c>
      <c r="D32" s="233"/>
      <c r="G32" s="15"/>
    </row>
    <row r="33" spans="1:7">
      <c r="A33" s="171" t="s">
        <v>71</v>
      </c>
      <c r="B33" s="34" t="s">
        <v>110</v>
      </c>
      <c r="C33" s="167"/>
      <c r="D33" s="233"/>
      <c r="G33" s="15"/>
    </row>
    <row r="34" spans="1:7">
      <c r="A34" s="171" t="s">
        <v>72</v>
      </c>
      <c r="B34" s="33">
        <f>IF((($B$28-$B$32-$B$39-$B$77-$B$38)*C20/100)&lt;0,0,($B$28-$B$32-$B$39-$B$77-$B$38)*C20/100)</f>
        <v>94.82066508313541</v>
      </c>
      <c r="C34" s="167">
        <f>IF(ISERROR(B34/SUM($B$32,$B$34,$B$35,$B$36,$B$38,$B$39)*100),0,B34/SUM($B$32,$B$34,$B$35,$B$36,$B$38,$B$39)*100)</f>
        <v>1.1185639386945312</v>
      </c>
      <c r="D34" s="233"/>
      <c r="G34" s="15"/>
    </row>
    <row r="35" spans="1:7">
      <c r="A35" s="171" t="s">
        <v>73</v>
      </c>
      <c r="B35" s="33">
        <f>IF((($B$28-$B$32-$B$39-$B$77-$B$38)*C21/100)&lt;0,0,($B$28-$B$32-$B$39-$B$77-$B$38)*C21/100)</f>
        <v>1257.2517814726841</v>
      </c>
      <c r="C35" s="167">
        <f>IF(ISERROR(B35/SUM($B$32,$B$34,$B$35,$B$36,$B$38,$B$39)*100),0,B35/SUM($B$32,$B$34,$B$35,$B$36,$B$38,$B$39)*100)</f>
        <v>14.831329261208968</v>
      </c>
      <c r="D35" s="233"/>
      <c r="G35" s="15"/>
    </row>
    <row r="36" spans="1:7">
      <c r="A36" s="171" t="s">
        <v>74</v>
      </c>
      <c r="B36" s="33">
        <f>IF((($B$28-$B$32-$B$39-$B$77-$B$38)*C22/100)&lt;0,0,($B$28-$B$32-$B$39-$B$77-$B$38)*C22/100)</f>
        <v>126.42755344418052</v>
      </c>
      <c r="C36" s="167">
        <f>IF(ISERROR(B36/SUM($B$32,$B$34,$B$35,$B$36,$B$38,$B$39)*100),0,B36/SUM($B$32,$B$34,$B$35,$B$36,$B$38,$B$39)*100)</f>
        <v>1.4914185849260413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326.5</v>
      </c>
      <c r="C39" s="167">
        <f>IF(ISERROR(B39/SUM($B$32,$B$34,$B$35,$B$36,$B$38,$B$39)*100),0,B39/SUM($B$32,$B$34,$B$35,$B$36,$B$38,$B$39)*100)</f>
        <v>3.8515984428453462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6672</v>
      </c>
      <c r="C44" s="34" t="s">
        <v>110</v>
      </c>
      <c r="D44" s="174"/>
    </row>
    <row r="45" spans="1:7">
      <c r="A45" s="171" t="s">
        <v>71</v>
      </c>
      <c r="B45" s="33" t="str">
        <f t="shared" si="0"/>
        <v>-</v>
      </c>
      <c r="C45" s="34" t="s">
        <v>110</v>
      </c>
      <c r="D45" s="174"/>
    </row>
    <row r="46" spans="1:7">
      <c r="A46" s="171" t="s">
        <v>72</v>
      </c>
      <c r="B46" s="33">
        <f t="shared" si="0"/>
        <v>94.82066508313541</v>
      </c>
      <c r="C46" s="34" t="s">
        <v>110</v>
      </c>
      <c r="D46" s="174"/>
    </row>
    <row r="47" spans="1:7">
      <c r="A47" s="171" t="s">
        <v>73</v>
      </c>
      <c r="B47" s="33">
        <f t="shared" si="0"/>
        <v>1257.2517814726841</v>
      </c>
      <c r="C47" s="34" t="s">
        <v>110</v>
      </c>
      <c r="D47" s="174"/>
    </row>
    <row r="48" spans="1:7">
      <c r="A48" s="171" t="s">
        <v>74</v>
      </c>
      <c r="B48" s="33">
        <f t="shared" si="0"/>
        <v>126.42755344418052</v>
      </c>
      <c r="C48" s="33">
        <f>B48*10</f>
        <v>1264.2755344418051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326.5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18548.312606200114</v>
      </c>
      <c r="C5" s="17">
        <f>IF(ISERROR('Eigen informatie GS &amp; warmtenet'!B58),0,'Eigen informatie GS &amp; warmtenet'!B58)</f>
        <v>0</v>
      </c>
      <c r="D5" s="30">
        <f>SUM(D6:D12)</f>
        <v>28223.508634057143</v>
      </c>
      <c r="E5" s="17">
        <f>SUM(E6:E12)</f>
        <v>203.59927384512983</v>
      </c>
      <c r="F5" s="17">
        <f>SUM(F6:F12)</f>
        <v>3531.7010484817802</v>
      </c>
      <c r="G5" s="18"/>
      <c r="H5" s="17"/>
      <c r="I5" s="17"/>
      <c r="J5" s="17">
        <f>SUM(J6:J12)</f>
        <v>0.10533622060058771</v>
      </c>
      <c r="K5" s="17"/>
      <c r="L5" s="17"/>
      <c r="M5" s="17"/>
      <c r="N5" s="17">
        <f>SUM(N6:N12)</f>
        <v>4145.4481782922167</v>
      </c>
      <c r="O5" s="17">
        <f>B38*B39*B40</f>
        <v>3.1266666666666669</v>
      </c>
      <c r="P5" s="17">
        <f>B46*B47*B48/1000-B46*B47*B48/1000/B49</f>
        <v>38.133333333333333</v>
      </c>
      <c r="R5" s="32"/>
    </row>
    <row r="6" spans="1:18">
      <c r="A6" s="32" t="s">
        <v>53</v>
      </c>
      <c r="B6" s="37">
        <f>B26</f>
        <v>5442.1014519132596</v>
      </c>
      <c r="C6" s="33"/>
      <c r="D6" s="37">
        <f>IF(ISERROR(TER_kantoor_gas_kWh/1000),0,TER_kantoor_gas_kWh/1000)*0.902</f>
        <v>12968.798921118088</v>
      </c>
      <c r="E6" s="33">
        <f>$C$26*'E Balans VL '!I12/100/3.6*1000000</f>
        <v>3.4109281886005836E-2</v>
      </c>
      <c r="F6" s="33">
        <f>$C$26*('E Balans VL '!L12+'E Balans VL '!N12)/100/3.6*1000000</f>
        <v>817.79578140481203</v>
      </c>
      <c r="G6" s="34"/>
      <c r="H6" s="33"/>
      <c r="I6" s="33"/>
      <c r="J6" s="33">
        <f>$C$26*('E Balans VL '!D12+'E Balans VL '!E12)/100/3.6*1000000</f>
        <v>0</v>
      </c>
      <c r="K6" s="33"/>
      <c r="L6" s="33"/>
      <c r="M6" s="33"/>
      <c r="N6" s="33">
        <f>$C$26*'E Balans VL '!Y12/100/3.6*1000000</f>
        <v>5.2045631586644046</v>
      </c>
      <c r="O6" s="33"/>
      <c r="P6" s="33"/>
      <c r="R6" s="32"/>
    </row>
    <row r="7" spans="1:18">
      <c r="A7" s="32" t="s">
        <v>52</v>
      </c>
      <c r="B7" s="37">
        <f t="shared" ref="B7:B12" si="0">B27</f>
        <v>764.608401786998</v>
      </c>
      <c r="C7" s="33"/>
      <c r="D7" s="37">
        <f>IF(ISERROR(TER_horeca_gas_kWh/1000),0,TER_horeca_gas_kWh/1000)*0.902</f>
        <v>1386.945855712406</v>
      </c>
      <c r="E7" s="33">
        <f>$C$27*'E Balans VL '!I9/100/3.6*1000000</f>
        <v>10.949064954142752</v>
      </c>
      <c r="F7" s="33">
        <f>$C$27*('E Balans VL '!L9+'E Balans VL '!N9)/100/3.6*1000000</f>
        <v>96.824641422860722</v>
      </c>
      <c r="G7" s="34"/>
      <c r="H7" s="33"/>
      <c r="I7" s="33"/>
      <c r="J7" s="33">
        <f>$C$27*('E Balans VL '!D9+'E Balans VL '!E9)/100/3.6*1000000</f>
        <v>0</v>
      </c>
      <c r="K7" s="33"/>
      <c r="L7" s="33"/>
      <c r="M7" s="33"/>
      <c r="N7" s="33">
        <f>$C$27*'E Balans VL '!Y9/100/3.6*1000000</f>
        <v>0.21980805734560205</v>
      </c>
      <c r="O7" s="33"/>
      <c r="P7" s="33"/>
      <c r="R7" s="32"/>
    </row>
    <row r="8" spans="1:18">
      <c r="A8" s="6" t="s">
        <v>51</v>
      </c>
      <c r="B8" s="37">
        <f t="shared" si="0"/>
        <v>3823.2844097665397</v>
      </c>
      <c r="C8" s="33"/>
      <c r="D8" s="37">
        <f>IF(ISERROR(TER_handel_gas_kWh/1000),0,TER_handel_gas_kWh/1000)*0.902</f>
        <v>2300.4749340044018</v>
      </c>
      <c r="E8" s="33">
        <f>$C$28*'E Balans VL '!I13/100/3.6*1000000</f>
        <v>138.6700540759214</v>
      </c>
      <c r="F8" s="33">
        <f>$C$28*('E Balans VL '!L13+'E Balans VL '!N13)/100/3.6*1000000</f>
        <v>736.40329053699384</v>
      </c>
      <c r="G8" s="34"/>
      <c r="H8" s="33"/>
      <c r="I8" s="33"/>
      <c r="J8" s="33">
        <f>$C$28*('E Balans VL '!D13+'E Balans VL '!E13)/100/3.6*1000000</f>
        <v>0</v>
      </c>
      <c r="K8" s="33"/>
      <c r="L8" s="33"/>
      <c r="M8" s="33"/>
      <c r="N8" s="33">
        <f>$C$28*'E Balans VL '!Y13/100/3.6*1000000</f>
        <v>5.2961286060359676</v>
      </c>
      <c r="O8" s="33"/>
      <c r="P8" s="33"/>
      <c r="R8" s="32"/>
    </row>
    <row r="9" spans="1:18">
      <c r="A9" s="32" t="s">
        <v>50</v>
      </c>
      <c r="B9" s="37">
        <f t="shared" si="0"/>
        <v>335.95781186463603</v>
      </c>
      <c r="C9" s="33"/>
      <c r="D9" s="37">
        <f>IF(ISERROR(TER_gezond_gas_kWh/1000),0,TER_gezond_gas_kWh/1000)*0.902</f>
        <v>1022.2064948248096</v>
      </c>
      <c r="E9" s="33">
        <f>$C$29*'E Balans VL '!I10/100/3.6*1000000</f>
        <v>2.1034276006870543E-2</v>
      </c>
      <c r="F9" s="33">
        <f>$C$29*('E Balans VL '!L10+'E Balans VL '!N10)/100/3.6*1000000</f>
        <v>49.907555846613526</v>
      </c>
      <c r="G9" s="34"/>
      <c r="H9" s="33"/>
      <c r="I9" s="33"/>
      <c r="J9" s="33">
        <f>$C$29*('E Balans VL '!D10+'E Balans VL '!E10)/100/3.6*1000000</f>
        <v>0</v>
      </c>
      <c r="K9" s="33"/>
      <c r="L9" s="33"/>
      <c r="M9" s="33"/>
      <c r="N9" s="33">
        <f>$C$29*'E Balans VL '!Y10/100/3.6*1000000</f>
        <v>5.1966278510800112</v>
      </c>
      <c r="O9" s="33"/>
      <c r="P9" s="33"/>
      <c r="R9" s="32"/>
    </row>
    <row r="10" spans="1:18">
      <c r="A10" s="32" t="s">
        <v>49</v>
      </c>
      <c r="B10" s="37">
        <f t="shared" si="0"/>
        <v>4644.0466364137501</v>
      </c>
      <c r="C10" s="33"/>
      <c r="D10" s="37">
        <f>IF(ISERROR(TER_ander_gas_kWh/1000),0,TER_ander_gas_kWh/1000)*0.902</f>
        <v>5046.7416178629865</v>
      </c>
      <c r="E10" s="33">
        <f>$C$30*'E Balans VL '!I14/100/3.6*1000000</f>
        <v>5.5355376404190588</v>
      </c>
      <c r="F10" s="33">
        <f>$C$30*('E Balans VL '!L14+'E Balans VL '!N14)/100/3.6*1000000</f>
        <v>1215.0890581834242</v>
      </c>
      <c r="G10" s="34"/>
      <c r="H10" s="33"/>
      <c r="I10" s="33"/>
      <c r="J10" s="33">
        <f>$C$30*('E Balans VL '!D14+'E Balans VL '!E14)/100/3.6*1000000</f>
        <v>0.1008040483163803</v>
      </c>
      <c r="K10" s="33"/>
      <c r="L10" s="33"/>
      <c r="M10" s="33"/>
      <c r="N10" s="33">
        <f>$C$30*'E Balans VL '!Y14/100/3.6*1000000</f>
        <v>3943.610765420935</v>
      </c>
      <c r="O10" s="33"/>
      <c r="P10" s="33"/>
      <c r="R10" s="32"/>
    </row>
    <row r="11" spans="1:18">
      <c r="A11" s="32" t="s">
        <v>54</v>
      </c>
      <c r="B11" s="37">
        <f t="shared" si="0"/>
        <v>1666.6950420641401</v>
      </c>
      <c r="C11" s="33"/>
      <c r="D11" s="37">
        <f>IF(ISERROR(TER_onderwijs_gas_kWh/1000),0,TER_onderwijs_gas_kWh/1000)*0.902</f>
        <v>411.44760259206299</v>
      </c>
      <c r="E11" s="33">
        <f>$C$31*'E Balans VL '!I11/100/3.6*1000000</f>
        <v>25.147743717117429</v>
      </c>
      <c r="F11" s="33">
        <f>$C$31*('E Balans VL '!L11+'E Balans VL '!N11)/100/3.6*1000000</f>
        <v>292.03159761505628</v>
      </c>
      <c r="G11" s="34"/>
      <c r="H11" s="33"/>
      <c r="I11" s="33"/>
      <c r="J11" s="33">
        <f>$C$31*('E Balans VL '!D11+'E Balans VL '!E11)/100/3.6*1000000</f>
        <v>0</v>
      </c>
      <c r="K11" s="33"/>
      <c r="L11" s="33"/>
      <c r="M11" s="33"/>
      <c r="N11" s="33">
        <f>$C$31*'E Balans VL '!Y11/100/3.6*1000000</f>
        <v>4.6902065553508292</v>
      </c>
      <c r="O11" s="33"/>
      <c r="P11" s="33"/>
      <c r="R11" s="32"/>
    </row>
    <row r="12" spans="1:18">
      <c r="A12" s="32" t="s">
        <v>259</v>
      </c>
      <c r="B12" s="37">
        <f t="shared" si="0"/>
        <v>1871.6188523907899</v>
      </c>
      <c r="C12" s="33"/>
      <c r="D12" s="37">
        <f>IF(ISERROR(TER_rest_gas_kWh/1000),0,TER_rest_gas_kWh/1000)*0.902</f>
        <v>5086.8932079423921</v>
      </c>
      <c r="E12" s="33">
        <f>$C$32*'E Balans VL '!I8/100/3.6*1000000</f>
        <v>23.241729899636319</v>
      </c>
      <c r="F12" s="33">
        <f>$C$32*('E Balans VL '!L8+'E Balans VL '!N8)/100/3.6*1000000</f>
        <v>323.64912347201908</v>
      </c>
      <c r="G12" s="34"/>
      <c r="H12" s="33"/>
      <c r="I12" s="33"/>
      <c r="J12" s="33">
        <f>$C$32*('E Balans VL '!D8+'E Balans VL '!E8)/100/3.6*1000000</f>
        <v>4.5321722842074051E-3</v>
      </c>
      <c r="K12" s="33"/>
      <c r="L12" s="33"/>
      <c r="M12" s="33"/>
      <c r="N12" s="33">
        <f>$C$32*'E Balans VL '!Y8/100/3.6*1000000</f>
        <v>181.23007864280481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18548.312606200114</v>
      </c>
      <c r="C16" s="21">
        <f t="shared" ca="1" si="1"/>
        <v>0</v>
      </c>
      <c r="D16" s="21">
        <f t="shared" ca="1" si="1"/>
        <v>28223.508634057143</v>
      </c>
      <c r="E16" s="21">
        <f t="shared" si="1"/>
        <v>203.59927384512983</v>
      </c>
      <c r="F16" s="21">
        <f t="shared" ca="1" si="1"/>
        <v>3531.7010484817802</v>
      </c>
      <c r="G16" s="21">
        <f t="shared" si="1"/>
        <v>0</v>
      </c>
      <c r="H16" s="21">
        <f t="shared" si="1"/>
        <v>0</v>
      </c>
      <c r="I16" s="21">
        <f t="shared" si="1"/>
        <v>0</v>
      </c>
      <c r="J16" s="21">
        <f t="shared" si="1"/>
        <v>0.10533622060058771</v>
      </c>
      <c r="K16" s="21">
        <f t="shared" si="1"/>
        <v>0</v>
      </c>
      <c r="L16" s="21">
        <f t="shared" ca="1" si="1"/>
        <v>0</v>
      </c>
      <c r="M16" s="21">
        <f t="shared" si="1"/>
        <v>0</v>
      </c>
      <c r="N16" s="21">
        <f t="shared" ca="1" si="1"/>
        <v>4145.4481782922167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0.21289479163151834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3948.8391474132382</v>
      </c>
      <c r="C20" s="23">
        <f t="shared" ref="C20:P20" ca="1" si="2">C16*C18</f>
        <v>0</v>
      </c>
      <c r="D20" s="23">
        <f t="shared" ca="1" si="2"/>
        <v>5701.1487440795436</v>
      </c>
      <c r="E20" s="23">
        <f t="shared" si="2"/>
        <v>46.217035162844475</v>
      </c>
      <c r="F20" s="23">
        <f t="shared" ca="1" si="2"/>
        <v>942.96417994463536</v>
      </c>
      <c r="G20" s="23">
        <f t="shared" si="2"/>
        <v>0</v>
      </c>
      <c r="H20" s="23">
        <f t="shared" si="2"/>
        <v>0</v>
      </c>
      <c r="I20" s="23">
        <f t="shared" si="2"/>
        <v>0</v>
      </c>
      <c r="J20" s="23">
        <f t="shared" si="2"/>
        <v>3.7289022092608051E-2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5442.1014519132596</v>
      </c>
      <c r="C26" s="39">
        <f>IF(ISERROR(B26*3.6/1000000/'E Balans VL '!Z12*100),0,B26*3.6/1000000/'E Balans VL '!Z12*100)</f>
        <v>0.11503740370838582</v>
      </c>
      <c r="D26" s="237" t="s">
        <v>744</v>
      </c>
      <c r="F26" s="6"/>
    </row>
    <row r="27" spans="1:18">
      <c r="A27" s="231" t="s">
        <v>52</v>
      </c>
      <c r="B27" s="33">
        <f>IF(ISERROR(TER_horeca_ele_kWh/1000),0,TER_horeca_ele_kWh/1000)</f>
        <v>764.608401786998</v>
      </c>
      <c r="C27" s="39">
        <f>IF(ISERROR(B27*3.6/1000000/'E Balans VL '!Z9*100),0,B27*3.6/1000000/'E Balans VL '!Z9*100)</f>
        <v>6.0273795328768739E-2</v>
      </c>
      <c r="D27" s="237" t="s">
        <v>744</v>
      </c>
      <c r="F27" s="6"/>
    </row>
    <row r="28" spans="1:18">
      <c r="A28" s="171" t="s">
        <v>51</v>
      </c>
      <c r="B28" s="33">
        <f>IF(ISERROR(TER_handel_ele_kWh/1000),0,TER_handel_ele_kWh/1000)</f>
        <v>3823.2844097665397</v>
      </c>
      <c r="C28" s="39">
        <f>IF(ISERROR(B28*3.6/1000000/'E Balans VL '!Z13*100),0,B28*3.6/1000000/'E Balans VL '!Z13*100)</f>
        <v>0.11096716137146073</v>
      </c>
      <c r="D28" s="237" t="s">
        <v>744</v>
      </c>
      <c r="F28" s="6"/>
    </row>
    <row r="29" spans="1:18">
      <c r="A29" s="231" t="s">
        <v>50</v>
      </c>
      <c r="B29" s="33">
        <f>IF(ISERROR(TER_gezond_ele_kWh/1000),0,TER_gezond_ele_kWh/1000)</f>
        <v>335.95781186463603</v>
      </c>
      <c r="C29" s="39">
        <f>IF(ISERROR(B29*3.6/1000000/'E Balans VL '!Z10*100),0,B29*3.6/1000000/'E Balans VL '!Z10*100)</f>
        <v>3.5381874162233193E-2</v>
      </c>
      <c r="D29" s="237" t="s">
        <v>744</v>
      </c>
      <c r="F29" s="6"/>
    </row>
    <row r="30" spans="1:18">
      <c r="A30" s="231" t="s">
        <v>49</v>
      </c>
      <c r="B30" s="33">
        <f>IF(ISERROR(TER_ander_ele_kWh/1000),0,TER_ander_ele_kWh/1000)</f>
        <v>4644.0466364137501</v>
      </c>
      <c r="C30" s="39">
        <f>IF(ISERROR(B30*3.6/1000000/'E Balans VL '!Z14*100),0,B30*3.6/1000000/'E Balans VL '!Z14*100)</f>
        <v>0.34254588858379009</v>
      </c>
      <c r="D30" s="237" t="s">
        <v>744</v>
      </c>
      <c r="F30" s="6"/>
    </row>
    <row r="31" spans="1:18">
      <c r="A31" s="231" t="s">
        <v>54</v>
      </c>
      <c r="B31" s="33">
        <f>IF(ISERROR(TER_onderwijs_ele_kWh/1000),0,TER_onderwijs_ele_kWh/1000)</f>
        <v>1666.6950420641401</v>
      </c>
      <c r="C31" s="39">
        <f>IF(ISERROR(B31*3.6/1000000/'E Balans VL '!Z11*100),0,B31*3.6/1000000/'E Balans VL '!Z11*100)</f>
        <v>0.41391845153815221</v>
      </c>
      <c r="D31" s="237" t="s">
        <v>744</v>
      </c>
    </row>
    <row r="32" spans="1:18">
      <c r="A32" s="231" t="s">
        <v>259</v>
      </c>
      <c r="B32" s="33">
        <f>IF(ISERROR(TER_rest_ele_kWh/1000),0,TER_rest_ele_kWh/1000)</f>
        <v>1871.6188523907899</v>
      </c>
      <c r="C32" s="39">
        <f>IF(ISERROR(B32*3.6/1000000/'E Balans VL '!Z8*100),0,B32*3.6/1000000/'E Balans VL '!Z8*100)</f>
        <v>1.5400938833687487E-2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1652.9322878856797</v>
      </c>
      <c r="C5" s="17">
        <f>IF(ISERROR('Eigen informatie GS &amp; warmtenet'!B59),0,'Eigen informatie GS &amp; warmtenet'!B59)</f>
        <v>0</v>
      </c>
      <c r="D5" s="30">
        <f>SUM(D6:D15)</f>
        <v>3264.2677699503433</v>
      </c>
      <c r="E5" s="17">
        <f>SUM(E6:E15)</f>
        <v>182.63597839721194</v>
      </c>
      <c r="F5" s="17">
        <f>SUM(F6:F15)</f>
        <v>562.27726135284911</v>
      </c>
      <c r="G5" s="18"/>
      <c r="H5" s="17"/>
      <c r="I5" s="17"/>
      <c r="J5" s="17">
        <f>SUM(J6:J15)</f>
        <v>1.20350981956676</v>
      </c>
      <c r="K5" s="17"/>
      <c r="L5" s="17"/>
      <c r="M5" s="17"/>
      <c r="N5" s="17">
        <f>SUM(N6:N15)</f>
        <v>117.79596153405089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80.367937127847</v>
      </c>
      <c r="C8" s="33"/>
      <c r="D8" s="37">
        <f>IF( ISERROR(IND_metaal_Gas_kWH/1000),0,IND_metaal_Gas_kWH/1000)*0.902</f>
        <v>0</v>
      </c>
      <c r="E8" s="33">
        <f>C30*'E Balans VL '!I18/100/3.6*1000000</f>
        <v>0.73890556179870603</v>
      </c>
      <c r="F8" s="33">
        <f>C30*'E Balans VL '!L18/100/3.6*1000000+C30*'E Balans VL '!N18/100/3.6*1000000</f>
        <v>7.535836783116471</v>
      </c>
      <c r="G8" s="34"/>
      <c r="H8" s="33"/>
      <c r="I8" s="33"/>
      <c r="J8" s="40">
        <f>C30*'E Balans VL '!D18/100/3.6*1000000+C30*'E Balans VL '!E18/100/3.6*1000000</f>
        <v>0</v>
      </c>
      <c r="K8" s="33"/>
      <c r="L8" s="33"/>
      <c r="M8" s="33"/>
      <c r="N8" s="33">
        <f>C30*'E Balans VL '!Y18/100/3.6*1000000</f>
        <v>1.1465814367377618</v>
      </c>
      <c r="O8" s="33"/>
      <c r="P8" s="33"/>
      <c r="R8" s="32"/>
    </row>
    <row r="9" spans="1:18">
      <c r="A9" s="6" t="s">
        <v>32</v>
      </c>
      <c r="B9" s="37">
        <f t="shared" si="0"/>
        <v>553.89040461247998</v>
      </c>
      <c r="C9" s="33"/>
      <c r="D9" s="37">
        <f>IF( ISERROR(IND_andere_gas_kWh/1000),0,IND_andere_gas_kWh/1000)*0.902</f>
        <v>1154.8446966385377</v>
      </c>
      <c r="E9" s="33">
        <f>C31*'E Balans VL '!I19/100/3.6*1000000</f>
        <v>161.91294824256121</v>
      </c>
      <c r="F9" s="33">
        <f>C31*'E Balans VL '!L19/100/3.6*1000000+C31*'E Balans VL '!N19/100/3.6*1000000</f>
        <v>445.09286575737974</v>
      </c>
      <c r="G9" s="34"/>
      <c r="H9" s="33"/>
      <c r="I9" s="33"/>
      <c r="J9" s="40">
        <f>C31*'E Balans VL '!D19/100/3.6*1000000+C31*'E Balans VL '!E19/100/3.6*1000000</f>
        <v>0</v>
      </c>
      <c r="K9" s="33"/>
      <c r="L9" s="33"/>
      <c r="M9" s="33"/>
      <c r="N9" s="33">
        <f>C31*'E Balans VL '!Y19/100/3.6*1000000</f>
        <v>43.446411061097905</v>
      </c>
      <c r="O9" s="33"/>
      <c r="P9" s="33"/>
      <c r="R9" s="32"/>
    </row>
    <row r="10" spans="1:18">
      <c r="A10" s="6" t="s">
        <v>40</v>
      </c>
      <c r="B10" s="37">
        <f t="shared" si="0"/>
        <v>675.43380310116606</v>
      </c>
      <c r="C10" s="33"/>
      <c r="D10" s="37">
        <f>IF( ISERROR(IND_voed_gas_kWh/1000),0,IND_voed_gas_kWh/1000)*0.902</f>
        <v>860.90684629516431</v>
      </c>
      <c r="E10" s="33">
        <f>C32*'E Balans VL '!I20/100/3.6*1000000</f>
        <v>1.4288906831856716</v>
      </c>
      <c r="F10" s="33">
        <f>C32*'E Balans VL '!L20/100/3.6*1000000+C32*'E Balans VL '!N20/100/3.6*1000000</f>
        <v>42.944771136569962</v>
      </c>
      <c r="G10" s="34"/>
      <c r="H10" s="33"/>
      <c r="I10" s="33"/>
      <c r="J10" s="40">
        <f>C32*'E Balans VL '!D20/100/3.6*1000000+C32*'E Balans VL '!E20/100/3.6*1000000</f>
        <v>0</v>
      </c>
      <c r="K10" s="33"/>
      <c r="L10" s="33"/>
      <c r="M10" s="33"/>
      <c r="N10" s="33">
        <f>C32*'E Balans VL '!Y20/100/3.6*1000000</f>
        <v>46.611597757614341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7.3813114761646004</v>
      </c>
      <c r="C13" s="33"/>
      <c r="D13" s="37">
        <f>IF( ISERROR(IND_papier_gas_kWh/1000),0,IND_papier_gas_kWh/1000)*0.902</f>
        <v>50.20508683555871</v>
      </c>
      <c r="E13" s="33">
        <f>C35*'E Balans VL '!I23/100/3.6*1000000</f>
        <v>1.04723928918476E-2</v>
      </c>
      <c r="F13" s="33">
        <f>C35*'E Balans VL '!L23/100/3.6*1000000+C35*'E Balans VL '!N23/100/3.6*1000000</f>
        <v>0.18020556865384907</v>
      </c>
      <c r="G13" s="34"/>
      <c r="H13" s="33"/>
      <c r="I13" s="33"/>
      <c r="J13" s="40">
        <f>C35*'E Balans VL '!D23/100/3.6*1000000+C35*'E Balans VL '!E23/100/3.6*1000000</f>
        <v>1.1415891197639576E-3</v>
      </c>
      <c r="K13" s="33"/>
      <c r="L13" s="33"/>
      <c r="M13" s="33"/>
      <c r="N13" s="33">
        <f>C35*'E Balans VL '!Y23/100/3.6*1000000</f>
        <v>3.0158968473219812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335.85883156802203</v>
      </c>
      <c r="C15" s="33"/>
      <c r="D15" s="37">
        <f>IF( ISERROR(IND_rest_gas_kWh/1000),0,IND_rest_gas_kWh/1000)*0.902</f>
        <v>1198.3111401810825</v>
      </c>
      <c r="E15" s="33">
        <f>C37*'E Balans VL '!I15/100/3.6*1000000</f>
        <v>18.544761516774511</v>
      </c>
      <c r="F15" s="33">
        <f>C37*'E Balans VL '!L15/100/3.6*1000000+C37*'E Balans VL '!N15/100/3.6*1000000</f>
        <v>66.523582107129187</v>
      </c>
      <c r="G15" s="34"/>
      <c r="H15" s="33"/>
      <c r="I15" s="33"/>
      <c r="J15" s="40">
        <f>C37*'E Balans VL '!D15/100/3.6*1000000+C37*'E Balans VL '!E15/100/3.6*1000000</f>
        <v>1.202368230446996</v>
      </c>
      <c r="K15" s="33"/>
      <c r="L15" s="33"/>
      <c r="M15" s="33"/>
      <c r="N15" s="33">
        <f>C37*'E Balans VL '!Y15/100/3.6*1000000</f>
        <v>23.575474431278902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1652.9322878856797</v>
      </c>
      <c r="C18" s="21">
        <f>C5+C16</f>
        <v>0</v>
      </c>
      <c r="D18" s="21">
        <f>MAX((D5+D16),0)</f>
        <v>3264.2677699503433</v>
      </c>
      <c r="E18" s="21">
        <f>MAX((E5+E16),0)</f>
        <v>182.63597839721194</v>
      </c>
      <c r="F18" s="21">
        <f>MAX((F5+F16),0)</f>
        <v>562.27726135284911</v>
      </c>
      <c r="G18" s="21"/>
      <c r="H18" s="21"/>
      <c r="I18" s="21"/>
      <c r="J18" s="21">
        <f>MAX((J5+J16),0)</f>
        <v>1.20350981956676</v>
      </c>
      <c r="K18" s="21"/>
      <c r="L18" s="21">
        <f>MAX((L5+L16),0)</f>
        <v>0</v>
      </c>
      <c r="M18" s="21"/>
      <c r="N18" s="21">
        <f>MAX((N5+N16),0)</f>
        <v>117.79596153405089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0.21289479163151834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351.90067501043063</v>
      </c>
      <c r="C22" s="23">
        <f ca="1">C18*C20</f>
        <v>0</v>
      </c>
      <c r="D22" s="23">
        <f>D18*D20</f>
        <v>659.38208952996945</v>
      </c>
      <c r="E22" s="23">
        <f>E18*E20</f>
        <v>41.458367096167109</v>
      </c>
      <c r="F22" s="23">
        <f>F18*F20</f>
        <v>150.12802878121073</v>
      </c>
      <c r="G22" s="23"/>
      <c r="H22" s="23"/>
      <c r="I22" s="23"/>
      <c r="J22" s="23">
        <f>J18*J20</f>
        <v>0.42604247612663299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80.367937127847</v>
      </c>
      <c r="C30" s="39">
        <f>IF(ISERROR(B30*3.6/1000000/'E Balans VL '!Z18*100),0,B30*3.6/1000000/'E Balans VL '!Z18*100)</f>
        <v>4.5546570739043108E-3</v>
      </c>
      <c r="D30" s="237" t="s">
        <v>744</v>
      </c>
    </row>
    <row r="31" spans="1:18">
      <c r="A31" s="6" t="s">
        <v>32</v>
      </c>
      <c r="B31" s="37">
        <f>IF( ISERROR(IND_ander_ele_kWh/1000),0,IND_ander_ele_kWh/1000)</f>
        <v>553.89040461247998</v>
      </c>
      <c r="C31" s="39">
        <f>IF(ISERROR(B31*3.6/1000000/'E Balans VL '!Z19*100),0,B31*3.6/1000000/'E Balans VL '!Z19*100)</f>
        <v>2.5122162393718766E-2</v>
      </c>
      <c r="D31" s="237" t="s">
        <v>744</v>
      </c>
    </row>
    <row r="32" spans="1:18">
      <c r="A32" s="171" t="s">
        <v>40</v>
      </c>
      <c r="B32" s="37">
        <f>IF( ISERROR(IND_voed_ele_kWh/1000),0,IND_voed_ele_kWh/1000)</f>
        <v>675.43380310116606</v>
      </c>
      <c r="C32" s="39">
        <f>IF(ISERROR(B32*3.6/1000000/'E Balans VL '!Z20*100),0,B32*3.6/1000000/'E Balans VL '!Z20*100)</f>
        <v>2.0894233740488141E-2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7.3813114761646004</v>
      </c>
      <c r="C35" s="39">
        <f>IF(ISERROR(B35*3.6/1000000/'E Balans VL '!Z22*100),0,B35*3.6/1000000/'E Balans VL '!Z22*100)</f>
        <v>1.3276676402962349E-3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335.85883156802203</v>
      </c>
      <c r="C37" s="39">
        <f>IF(ISERROR(B37*3.6/1000000/'E Balans VL '!Z15*100),0,B37*3.6/1000000/'E Balans VL '!Z15*100)</f>
        <v>2.6620937140499905E-3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169.18998270918559</v>
      </c>
      <c r="C5" s="17">
        <f>'Eigen informatie GS &amp; warmtenet'!B60</f>
        <v>0</v>
      </c>
      <c r="D5" s="30">
        <f>IF(ISERROR(SUM(LB_lb_gas_kWh,LB_rest_gas_kWh)/1000),0,SUM(LB_lb_gas_kWh,LB_rest_gas_kWh)/1000)*0.902</f>
        <v>139.05423974530714</v>
      </c>
      <c r="E5" s="17">
        <f>B17*'E Balans VL '!I25/3.6*1000000/100</f>
        <v>4.9730103576760483</v>
      </c>
      <c r="F5" s="17">
        <f>B17*('E Balans VL '!L25/3.6*1000000+'E Balans VL '!N25/3.6*1000000)/100</f>
        <v>704.83632541967268</v>
      </c>
      <c r="G5" s="18"/>
      <c r="H5" s="17"/>
      <c r="I5" s="17"/>
      <c r="J5" s="17">
        <f>('E Balans VL '!D25+'E Balans VL '!E25)/3.6*1000000*landbouw!B17/100</f>
        <v>24.511995098091234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169.18998270918559</v>
      </c>
      <c r="C8" s="21">
        <f>C5+C6</f>
        <v>0</v>
      </c>
      <c r="D8" s="21">
        <f>MAX((D5+D6),0)</f>
        <v>139.05423974530714</v>
      </c>
      <c r="E8" s="21">
        <f>MAX((E5+E6),0)</f>
        <v>4.9730103576760483</v>
      </c>
      <c r="F8" s="21">
        <f>MAX((F5+F6),0)</f>
        <v>704.83632541967268</v>
      </c>
      <c r="G8" s="21"/>
      <c r="H8" s="21"/>
      <c r="I8" s="21"/>
      <c r="J8" s="21">
        <f>MAX((J5+J6),0)</f>
        <v>24.511995098091234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0.21289479163151834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36.019666115012257</v>
      </c>
      <c r="C12" s="23">
        <f ca="1">C8*C10</f>
        <v>0</v>
      </c>
      <c r="D12" s="23">
        <f>D8*D10</f>
        <v>28.088956428552045</v>
      </c>
      <c r="E12" s="23">
        <f>E8*E10</f>
        <v>1.1288733511924629</v>
      </c>
      <c r="F12" s="23">
        <f>F8*F10</f>
        <v>188.19129888705262</v>
      </c>
      <c r="G12" s="23"/>
      <c r="H12" s="23"/>
      <c r="I12" s="23"/>
      <c r="J12" s="23">
        <f>J8*J10</f>
        <v>8.6772462647242961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2.4008589363815908E-2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40.265024039122324</v>
      </c>
      <c r="C26" s="247">
        <f>B26*'GWP N2O_CH4'!B5</f>
        <v>845.56550482156877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4.3915894796276298</v>
      </c>
      <c r="C27" s="247">
        <f>B27*'GWP N2O_CH4'!B5</f>
        <v>92.223379072180222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0.59323750663794461</v>
      </c>
      <c r="C28" s="247">
        <f>B28*'GWP N2O_CH4'!B4</f>
        <v>183.90362705776283</v>
      </c>
      <c r="D28" s="50"/>
    </row>
    <row r="29" spans="1:4">
      <c r="A29" s="41" t="s">
        <v>276</v>
      </c>
      <c r="B29" s="247">
        <f>B34*'ha_N2O bodem landbouw'!B4</f>
        <v>4.8123407007794885</v>
      </c>
      <c r="C29" s="247">
        <f>B29*'GWP N2O_CH4'!B4</f>
        <v>1491.8256172416413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1.0981595638540479E-3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3.0812286806270459E-4</v>
      </c>
      <c r="C5" s="437" t="s">
        <v>210</v>
      </c>
      <c r="D5" s="422">
        <f>SUM(D6:D11)</f>
        <v>8.7721767789959346E-4</v>
      </c>
      <c r="E5" s="422">
        <f>SUM(E6:E11)</f>
        <v>1.6617152440511263E-3</v>
      </c>
      <c r="F5" s="435" t="s">
        <v>210</v>
      </c>
      <c r="G5" s="422">
        <f>SUM(G6:G11)</f>
        <v>0.59118136966139989</v>
      </c>
      <c r="H5" s="422">
        <f>SUM(H6:H11)</f>
        <v>0.15116303630274958</v>
      </c>
      <c r="I5" s="437" t="s">
        <v>210</v>
      </c>
      <c r="J5" s="437" t="s">
        <v>210</v>
      </c>
      <c r="K5" s="437" t="s">
        <v>210</v>
      </c>
      <c r="L5" s="437" t="s">
        <v>210</v>
      </c>
      <c r="M5" s="422">
        <f>SUM(M6:M11)</f>
        <v>3.8990357591843258E-2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7.0217936792182803E-5</v>
      </c>
      <c r="C6" s="423"/>
      <c r="D6" s="865">
        <f>vkm_GW_PW*SUMIFS(TableVerdeelsleutelVkm[CNG],TableVerdeelsleutelVkm[Voertuigtype],"Lichte voertuigen")*SUMIFS(TableECFTransport[EnergieConsumptieFactor (PJ per km)],TableECFTransport[Index],CONCATENATE($A6,"_CNG_CNG"))</f>
        <v>1.7401719237748067E-4</v>
      </c>
      <c r="E6" s="865">
        <f>vkm_GW_PW*SUMIFS(TableVerdeelsleutelVkm[LPG],TableVerdeelsleutelVkm[Voertuigtype],"Lichte voertuigen")*SUMIFS(TableECFTransport[EnergieConsumptieFactor (PJ per km)],TableECFTransport[Index],CONCATENATE($A6,"_LPG_LPG"))</f>
        <v>2.9874406481498648E-4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9.1539519808108594E-2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2.9566247927873417E-2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6.2186929835381507E-3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7.6090806946557468E-3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1.272860792872647E-7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4.4456477036591E-4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6.6549850495371005E-5</v>
      </c>
      <c r="C8" s="423"/>
      <c r="D8" s="425">
        <f>vkm_NGW_PW*SUMIFS(TableVerdeelsleutelVkm[CNG],TableVerdeelsleutelVkm[Voertuigtype],"Lichte voertuigen")*SUMIFS(TableECFTransport[EnergieConsumptieFactor (PJ per km)],TableECFTransport[Index],CONCATENATE($A8,"_CNG_CNG"))</f>
        <v>2.7876203927173614E-4</v>
      </c>
      <c r="E8" s="425">
        <f>vkm_NGW_PW*SUMIFS(TableVerdeelsleutelVkm[LPG],TableVerdeelsleutelVkm[Voertuigtype],"Lichte voertuigen")*SUMIFS(TableECFTransport[EnergieConsumptieFactor (PJ per km)],TableECFTransport[Index],CONCATENATE($A8,"_LPG_LPG"))</f>
        <v>4.5447241894991988E-4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0.13098973758275637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4.6321110560169521E-2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9.0168718385721554E-3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1.9338034813940377E-3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3.9849775830790926E-8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1.1298376446640116E-4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1.713550807751508E-4</v>
      </c>
      <c r="C10" s="423"/>
      <c r="D10" s="425">
        <f>vkm_SW_PW*SUMIFS(TableVerdeelsleutelVkm[CNG],TableVerdeelsleutelVkm[Voertuigtype],"Lichte voertuigen")*SUMIFS(TableECFTransport[EnergieConsumptieFactor (PJ per km)],TableECFTransport[Index],CONCATENATE($A10,"_CNG_CNG"))</f>
        <v>4.2443844625037668E-4</v>
      </c>
      <c r="E10" s="425">
        <f>vkm_SW_PW*SUMIFS(TableVerdeelsleutelVkm[LPG],TableVerdeelsleutelVkm[Voertuigtype],"Lichte voertuigen")*SUMIFS(TableECFTransport[EnergieConsumptieFactor (PJ per km)],TableECFTransport[Index],CONCATENATE($A10,"_LPG_LPG"))</f>
        <v>9.0849876028621993E-4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0.24904552443725148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7.5273549363601491E-2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1.676670761394904E-2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0.11006370365723364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1.9613152500562661E-6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6.430536620951605E-3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85.589685572973494</v>
      </c>
      <c r="C14" s="21"/>
      <c r="D14" s="21">
        <f t="shared" ref="D14:M14" si="0">((D5)*10^9/3600)+D12</f>
        <v>243.67157719433152</v>
      </c>
      <c r="E14" s="21">
        <f t="shared" si="0"/>
        <v>461.58756779197955</v>
      </c>
      <c r="F14" s="21"/>
      <c r="G14" s="21">
        <f t="shared" si="0"/>
        <v>164217.04712816663</v>
      </c>
      <c r="H14" s="21">
        <f t="shared" si="0"/>
        <v>41989.732306319325</v>
      </c>
      <c r="I14" s="21"/>
      <c r="J14" s="21"/>
      <c r="K14" s="21"/>
      <c r="L14" s="21"/>
      <c r="M14" s="21">
        <f t="shared" si="0"/>
        <v>10830.654886623126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0.21289479163151834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18.221598275865365</v>
      </c>
      <c r="C18" s="23"/>
      <c r="D18" s="23">
        <f t="shared" ref="D18:M18" si="1">D14*D16</f>
        <v>49.221658593254972</v>
      </c>
      <c r="E18" s="23">
        <f t="shared" si="1"/>
        <v>104.78037788877936</v>
      </c>
      <c r="F18" s="23"/>
      <c r="G18" s="23">
        <f t="shared" si="1"/>
        <v>43845.951583220492</v>
      </c>
      <c r="H18" s="23">
        <f t="shared" si="1"/>
        <v>10455.443344273512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1.5680844750791924E-2</v>
      </c>
      <c r="H50" s="319">
        <f t="shared" si="2"/>
        <v>0</v>
      </c>
      <c r="I50" s="319">
        <f t="shared" si="2"/>
        <v>0</v>
      </c>
      <c r="J50" s="319">
        <f t="shared" si="2"/>
        <v>0</v>
      </c>
      <c r="K50" s="319">
        <f t="shared" si="2"/>
        <v>0</v>
      </c>
      <c r="L50" s="319">
        <f t="shared" si="2"/>
        <v>0</v>
      </c>
      <c r="M50" s="319">
        <f t="shared" si="2"/>
        <v>8.9053548218688159E-4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1.5680844750791924E-2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8.9053548218688159E-4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4355.7902085533124</v>
      </c>
      <c r="H54" s="21">
        <f t="shared" si="3"/>
        <v>0</v>
      </c>
      <c r="I54" s="21">
        <f t="shared" si="3"/>
        <v>0</v>
      </c>
      <c r="J54" s="21">
        <f t="shared" si="3"/>
        <v>0</v>
      </c>
      <c r="K54" s="21">
        <f t="shared" si="3"/>
        <v>0</v>
      </c>
      <c r="L54" s="21">
        <f t="shared" si="3"/>
        <v>0</v>
      </c>
      <c r="M54" s="21">
        <f t="shared" si="3"/>
        <v>247.37096727413379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0.21289479163151834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1162.9959856837345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19737.104606200115</v>
      </c>
      <c r="D10" s="979">
        <f ca="1">tertiair!C16</f>
        <v>0</v>
      </c>
      <c r="E10" s="979">
        <f ca="1">tertiair!D16</f>
        <v>28223.508634057143</v>
      </c>
      <c r="F10" s="979">
        <f>tertiair!E16</f>
        <v>203.59927384512983</v>
      </c>
      <c r="G10" s="979">
        <f ca="1">tertiair!F16</f>
        <v>3531.7010484817802</v>
      </c>
      <c r="H10" s="979">
        <f>tertiair!G16</f>
        <v>0</v>
      </c>
      <c r="I10" s="979">
        <f>tertiair!H16</f>
        <v>0</v>
      </c>
      <c r="J10" s="979">
        <f>tertiair!I16</f>
        <v>0</v>
      </c>
      <c r="K10" s="979">
        <f>tertiair!J16</f>
        <v>0.10533622060058771</v>
      </c>
      <c r="L10" s="979">
        <f>tertiair!K16</f>
        <v>0</v>
      </c>
      <c r="M10" s="979">
        <f ca="1">tertiair!L16</f>
        <v>0</v>
      </c>
      <c r="N10" s="979">
        <f>tertiair!M16</f>
        <v>0</v>
      </c>
      <c r="O10" s="979">
        <f ca="1">tertiair!N16</f>
        <v>4145.4481782922167</v>
      </c>
      <c r="P10" s="979">
        <f>tertiair!O16</f>
        <v>3.1266666666666669</v>
      </c>
      <c r="Q10" s="980">
        <f>tertiair!P16</f>
        <v>38.133333333333333</v>
      </c>
      <c r="R10" s="674">
        <f ca="1">SUM(C10:Q10)</f>
        <v>55882.727077096977</v>
      </c>
      <c r="S10" s="67"/>
    </row>
    <row r="11" spans="1:19" s="447" customFormat="1">
      <c r="A11" s="783" t="s">
        <v>224</v>
      </c>
      <c r="B11" s="788"/>
      <c r="C11" s="979">
        <f>huishoudens!B8</f>
        <v>36365.652736025448</v>
      </c>
      <c r="D11" s="979">
        <f>huishoudens!C8</f>
        <v>0</v>
      </c>
      <c r="E11" s="979">
        <f>huishoudens!D8</f>
        <v>138977.45910646295</v>
      </c>
      <c r="F11" s="979">
        <f>huishoudens!E8</f>
        <v>5013.7933588175556</v>
      </c>
      <c r="G11" s="979">
        <f>huishoudens!F8</f>
        <v>6810.6370459005175</v>
      </c>
      <c r="H11" s="979">
        <f>huishoudens!G8</f>
        <v>0</v>
      </c>
      <c r="I11" s="979">
        <f>huishoudens!H8</f>
        <v>0</v>
      </c>
      <c r="J11" s="979">
        <f>huishoudens!I8</f>
        <v>0</v>
      </c>
      <c r="K11" s="979">
        <f>huishoudens!J8</f>
        <v>0</v>
      </c>
      <c r="L11" s="979">
        <f>huishoudens!K8</f>
        <v>0</v>
      </c>
      <c r="M11" s="979">
        <f>huishoudens!L8</f>
        <v>0</v>
      </c>
      <c r="N11" s="979">
        <f>huishoudens!M8</f>
        <v>0</v>
      </c>
      <c r="O11" s="979">
        <f>huishoudens!N8</f>
        <v>9213.8546099879113</v>
      </c>
      <c r="P11" s="979">
        <f>huishoudens!O8</f>
        <v>275.1466666666667</v>
      </c>
      <c r="Q11" s="980">
        <f>huishoudens!P8</f>
        <v>1029.5999999999999</v>
      </c>
      <c r="R11" s="674">
        <f>SUM(C11:Q11)</f>
        <v>197686.14352386104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1652.9322878856797</v>
      </c>
      <c r="D13" s="979">
        <f>industrie!C18</f>
        <v>0</v>
      </c>
      <c r="E13" s="979">
        <f>industrie!D18</f>
        <v>3264.2677699503433</v>
      </c>
      <c r="F13" s="979">
        <f>industrie!E18</f>
        <v>182.63597839721194</v>
      </c>
      <c r="G13" s="979">
        <f>industrie!F18</f>
        <v>562.27726135284911</v>
      </c>
      <c r="H13" s="979">
        <f>industrie!G18</f>
        <v>0</v>
      </c>
      <c r="I13" s="979">
        <f>industrie!H18</f>
        <v>0</v>
      </c>
      <c r="J13" s="979">
        <f>industrie!I18</f>
        <v>0</v>
      </c>
      <c r="K13" s="979">
        <f>industrie!J18</f>
        <v>1.20350981956676</v>
      </c>
      <c r="L13" s="979">
        <f>industrie!K18</f>
        <v>0</v>
      </c>
      <c r="M13" s="979">
        <f>industrie!L18</f>
        <v>0</v>
      </c>
      <c r="N13" s="979">
        <f>industrie!M18</f>
        <v>0</v>
      </c>
      <c r="O13" s="979">
        <f>industrie!N18</f>
        <v>117.79596153405089</v>
      </c>
      <c r="P13" s="979">
        <f>industrie!O18</f>
        <v>0</v>
      </c>
      <c r="Q13" s="980">
        <f>industrie!P18</f>
        <v>0</v>
      </c>
      <c r="R13" s="674">
        <f>SUM(C13:Q13)</f>
        <v>5781.1127689397008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57755.689630111243</v>
      </c>
      <c r="D16" s="706">
        <f t="shared" ref="D16:R16" ca="1" si="0">SUM(D9:D15)</f>
        <v>0</v>
      </c>
      <c r="E16" s="706">
        <f t="shared" ca="1" si="0"/>
        <v>170465.23551047043</v>
      </c>
      <c r="F16" s="706">
        <f t="shared" si="0"/>
        <v>5400.0286110598972</v>
      </c>
      <c r="G16" s="706">
        <f t="shared" ca="1" si="0"/>
        <v>10904.615355735146</v>
      </c>
      <c r="H16" s="706">
        <f t="shared" si="0"/>
        <v>0</v>
      </c>
      <c r="I16" s="706">
        <f t="shared" si="0"/>
        <v>0</v>
      </c>
      <c r="J16" s="706">
        <f t="shared" si="0"/>
        <v>0</v>
      </c>
      <c r="K16" s="706">
        <f t="shared" si="0"/>
        <v>1.3088460401673476</v>
      </c>
      <c r="L16" s="706">
        <f t="shared" si="0"/>
        <v>0</v>
      </c>
      <c r="M16" s="706">
        <f t="shared" ca="1" si="0"/>
        <v>0</v>
      </c>
      <c r="N16" s="706">
        <f t="shared" si="0"/>
        <v>0</v>
      </c>
      <c r="O16" s="706">
        <f t="shared" ca="1" si="0"/>
        <v>13477.09874981418</v>
      </c>
      <c r="P16" s="706">
        <f t="shared" si="0"/>
        <v>278.27333333333337</v>
      </c>
      <c r="Q16" s="706">
        <f t="shared" si="0"/>
        <v>1067.7333333333333</v>
      </c>
      <c r="R16" s="706">
        <f t="shared" ca="1" si="0"/>
        <v>259349.9833698977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4355.7902085533124</v>
      </c>
      <c r="I19" s="979">
        <f>transport!H54</f>
        <v>0</v>
      </c>
      <c r="J19" s="979">
        <f>transport!I54</f>
        <v>0</v>
      </c>
      <c r="K19" s="979">
        <f>transport!J54</f>
        <v>0</v>
      </c>
      <c r="L19" s="979">
        <f>transport!K54</f>
        <v>0</v>
      </c>
      <c r="M19" s="979">
        <f>transport!L54</f>
        <v>0</v>
      </c>
      <c r="N19" s="979">
        <f>transport!M54</f>
        <v>247.37096727413379</v>
      </c>
      <c r="O19" s="979">
        <f>transport!N54</f>
        <v>0</v>
      </c>
      <c r="P19" s="979">
        <f>transport!O54</f>
        <v>0</v>
      </c>
      <c r="Q19" s="980">
        <f>transport!P54</f>
        <v>0</v>
      </c>
      <c r="R19" s="674">
        <f>SUM(C19:Q19)</f>
        <v>4603.1611758274457</v>
      </c>
      <c r="S19" s="67"/>
    </row>
    <row r="20" spans="1:19" s="447" customFormat="1">
      <c r="A20" s="783" t="s">
        <v>306</v>
      </c>
      <c r="B20" s="788"/>
      <c r="C20" s="979">
        <f>transport!B14</f>
        <v>85.589685572973494</v>
      </c>
      <c r="D20" s="979">
        <f>transport!C14</f>
        <v>0</v>
      </c>
      <c r="E20" s="979">
        <f>transport!D14</f>
        <v>243.67157719433152</v>
      </c>
      <c r="F20" s="979">
        <f>transport!E14</f>
        <v>461.58756779197955</v>
      </c>
      <c r="G20" s="979">
        <f>transport!F14</f>
        <v>0</v>
      </c>
      <c r="H20" s="979">
        <f>transport!G14</f>
        <v>164217.04712816663</v>
      </c>
      <c r="I20" s="979">
        <f>transport!H14</f>
        <v>41989.732306319325</v>
      </c>
      <c r="J20" s="979">
        <f>transport!I14</f>
        <v>0</v>
      </c>
      <c r="K20" s="979">
        <f>transport!J14</f>
        <v>0</v>
      </c>
      <c r="L20" s="979">
        <f>transport!K14</f>
        <v>0</v>
      </c>
      <c r="M20" s="979">
        <f>transport!L14</f>
        <v>0</v>
      </c>
      <c r="N20" s="979">
        <f>transport!M14</f>
        <v>10830.654886623126</v>
      </c>
      <c r="O20" s="979">
        <f>transport!N14</f>
        <v>0</v>
      </c>
      <c r="P20" s="979">
        <f>transport!O14</f>
        <v>0</v>
      </c>
      <c r="Q20" s="980">
        <f>transport!P14</f>
        <v>0</v>
      </c>
      <c r="R20" s="674">
        <f>SUM(C20:Q20)</f>
        <v>217828.28315166835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85.589685572973494</v>
      </c>
      <c r="D22" s="786">
        <f t="shared" ref="D22:R22" si="1">SUM(D18:D21)</f>
        <v>0</v>
      </c>
      <c r="E22" s="786">
        <f t="shared" si="1"/>
        <v>243.67157719433152</v>
      </c>
      <c r="F22" s="786">
        <f t="shared" si="1"/>
        <v>461.58756779197955</v>
      </c>
      <c r="G22" s="786">
        <f t="shared" si="1"/>
        <v>0</v>
      </c>
      <c r="H22" s="786">
        <f t="shared" si="1"/>
        <v>168572.83733671994</v>
      </c>
      <c r="I22" s="786">
        <f t="shared" si="1"/>
        <v>41989.732306319325</v>
      </c>
      <c r="J22" s="786">
        <f t="shared" si="1"/>
        <v>0</v>
      </c>
      <c r="K22" s="786">
        <f t="shared" si="1"/>
        <v>0</v>
      </c>
      <c r="L22" s="786">
        <f t="shared" si="1"/>
        <v>0</v>
      </c>
      <c r="M22" s="786">
        <f t="shared" si="1"/>
        <v>0</v>
      </c>
      <c r="N22" s="786">
        <f t="shared" si="1"/>
        <v>11078.025853897259</v>
      </c>
      <c r="O22" s="786">
        <f t="shared" si="1"/>
        <v>0</v>
      </c>
      <c r="P22" s="786">
        <f t="shared" si="1"/>
        <v>0</v>
      </c>
      <c r="Q22" s="786">
        <f t="shared" si="1"/>
        <v>0</v>
      </c>
      <c r="R22" s="786">
        <f t="shared" si="1"/>
        <v>222431.44432749579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169.18998270918559</v>
      </c>
      <c r="D24" s="979">
        <f>+landbouw!C8</f>
        <v>0</v>
      </c>
      <c r="E24" s="979">
        <f>+landbouw!D8</f>
        <v>139.05423974530714</v>
      </c>
      <c r="F24" s="979">
        <f>+landbouw!E8</f>
        <v>4.9730103576760483</v>
      </c>
      <c r="G24" s="979">
        <f>+landbouw!F8</f>
        <v>704.83632541967268</v>
      </c>
      <c r="H24" s="979">
        <f>+landbouw!G8</f>
        <v>0</v>
      </c>
      <c r="I24" s="979">
        <f>+landbouw!H8</f>
        <v>0</v>
      </c>
      <c r="J24" s="979">
        <f>+landbouw!I8</f>
        <v>0</v>
      </c>
      <c r="K24" s="979">
        <f>+landbouw!J8</f>
        <v>24.511995098091234</v>
      </c>
      <c r="L24" s="979">
        <f>+landbouw!K8</f>
        <v>0</v>
      </c>
      <c r="M24" s="979">
        <f>+landbouw!L8</f>
        <v>0</v>
      </c>
      <c r="N24" s="979">
        <f>+landbouw!M8</f>
        <v>0</v>
      </c>
      <c r="O24" s="979">
        <f>+landbouw!N8</f>
        <v>0</v>
      </c>
      <c r="P24" s="979">
        <f>+landbouw!O8</f>
        <v>0</v>
      </c>
      <c r="Q24" s="980">
        <f>+landbouw!P8</f>
        <v>0</v>
      </c>
      <c r="R24" s="674">
        <f>SUM(C24:Q24)</f>
        <v>1042.5655533299328</v>
      </c>
      <c r="S24" s="67"/>
    </row>
    <row r="25" spans="1:19" s="447" customFormat="1" ht="15" thickBot="1">
      <c r="A25" s="805" t="s">
        <v>823</v>
      </c>
      <c r="B25" s="982"/>
      <c r="C25" s="983">
        <f>IF(Onbekend_ele_kWh="---",0,Onbekend_ele_kWh)/1000+IF(REST_rest_ele_kWh="---",0,REST_rest_ele_kWh)/1000</f>
        <v>1758.0962457814401</v>
      </c>
      <c r="D25" s="983"/>
      <c r="E25" s="983">
        <f>IF(onbekend_gas_kWh="---",0,onbekend_gas_kWh)/1000+IF(REST_rest_gas_kWh="---",0,REST_rest_gas_kWh)/1000</f>
        <v>6967.10019128781</v>
      </c>
      <c r="F25" s="983"/>
      <c r="G25" s="983"/>
      <c r="H25" s="983"/>
      <c r="I25" s="983"/>
      <c r="J25" s="983"/>
      <c r="K25" s="983"/>
      <c r="L25" s="983"/>
      <c r="M25" s="983"/>
      <c r="N25" s="983"/>
      <c r="O25" s="983"/>
      <c r="P25" s="983"/>
      <c r="Q25" s="984"/>
      <c r="R25" s="674">
        <f>SUM(C25:Q25)</f>
        <v>8725.1964370692494</v>
      </c>
      <c r="S25" s="67"/>
    </row>
    <row r="26" spans="1:19" s="447" customFormat="1" ht="15.75" thickBot="1">
      <c r="A26" s="679" t="s">
        <v>824</v>
      </c>
      <c r="B26" s="791"/>
      <c r="C26" s="786">
        <f>SUM(C24:C25)</f>
        <v>1927.2862284906257</v>
      </c>
      <c r="D26" s="786">
        <f t="shared" ref="D26:R26" si="2">SUM(D24:D25)</f>
        <v>0</v>
      </c>
      <c r="E26" s="786">
        <f t="shared" si="2"/>
        <v>7106.1544310331174</v>
      </c>
      <c r="F26" s="786">
        <f t="shared" si="2"/>
        <v>4.9730103576760483</v>
      </c>
      <c r="G26" s="786">
        <f t="shared" si="2"/>
        <v>704.83632541967268</v>
      </c>
      <c r="H26" s="786">
        <f t="shared" si="2"/>
        <v>0</v>
      </c>
      <c r="I26" s="786">
        <f t="shared" si="2"/>
        <v>0</v>
      </c>
      <c r="J26" s="786">
        <f t="shared" si="2"/>
        <v>0</v>
      </c>
      <c r="K26" s="786">
        <f t="shared" si="2"/>
        <v>24.511995098091234</v>
      </c>
      <c r="L26" s="786">
        <f t="shared" si="2"/>
        <v>0</v>
      </c>
      <c r="M26" s="786">
        <f t="shared" si="2"/>
        <v>0</v>
      </c>
      <c r="N26" s="786">
        <f t="shared" si="2"/>
        <v>0</v>
      </c>
      <c r="O26" s="786">
        <f t="shared" si="2"/>
        <v>0</v>
      </c>
      <c r="P26" s="786">
        <f t="shared" si="2"/>
        <v>0</v>
      </c>
      <c r="Q26" s="786">
        <f t="shared" si="2"/>
        <v>0</v>
      </c>
      <c r="R26" s="786">
        <f t="shared" si="2"/>
        <v>9767.7619903991817</v>
      </c>
      <c r="S26" s="67"/>
    </row>
    <row r="27" spans="1:19" s="447" customFormat="1" ht="17.25" thickTop="1" thickBot="1">
      <c r="A27" s="680" t="s">
        <v>115</v>
      </c>
      <c r="B27" s="779"/>
      <c r="C27" s="681">
        <f ca="1">C22+C16+C26</f>
        <v>59768.565544174839</v>
      </c>
      <c r="D27" s="681">
        <f t="shared" ref="D27:R27" ca="1" si="3">D22+D16+D26</f>
        <v>0</v>
      </c>
      <c r="E27" s="681">
        <f t="shared" ca="1" si="3"/>
        <v>177815.06151869788</v>
      </c>
      <c r="F27" s="681">
        <f t="shared" si="3"/>
        <v>5866.5891892095524</v>
      </c>
      <c r="G27" s="681">
        <f t="shared" ca="1" si="3"/>
        <v>11609.451681154818</v>
      </c>
      <c r="H27" s="681">
        <f t="shared" si="3"/>
        <v>168572.83733671994</v>
      </c>
      <c r="I27" s="681">
        <f t="shared" si="3"/>
        <v>41989.732306319325</v>
      </c>
      <c r="J27" s="681">
        <f t="shared" si="3"/>
        <v>0</v>
      </c>
      <c r="K27" s="681">
        <f t="shared" si="3"/>
        <v>25.820841138258579</v>
      </c>
      <c r="L27" s="681">
        <f t="shared" si="3"/>
        <v>0</v>
      </c>
      <c r="M27" s="681">
        <f t="shared" ca="1" si="3"/>
        <v>0</v>
      </c>
      <c r="N27" s="681">
        <f t="shared" si="3"/>
        <v>11078.025853897259</v>
      </c>
      <c r="O27" s="681">
        <f t="shared" ca="1" si="3"/>
        <v>13477.09874981418</v>
      </c>
      <c r="P27" s="681">
        <f t="shared" si="3"/>
        <v>278.27333333333337</v>
      </c>
      <c r="Q27" s="681">
        <f t="shared" si="3"/>
        <v>1067.7333333333333</v>
      </c>
      <c r="R27" s="681">
        <f t="shared" ca="1" si="3"/>
        <v>491549.18968779262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4201.9267725464542</v>
      </c>
      <c r="D40" s="979">
        <f ca="1">tertiair!C20</f>
        <v>0</v>
      </c>
      <c r="E40" s="979">
        <f ca="1">tertiair!D20</f>
        <v>5701.1487440795436</v>
      </c>
      <c r="F40" s="979">
        <f>tertiair!E20</f>
        <v>46.217035162844475</v>
      </c>
      <c r="G40" s="979">
        <f ca="1">tertiair!F20</f>
        <v>942.96417994463536</v>
      </c>
      <c r="H40" s="979">
        <f>tertiair!G20</f>
        <v>0</v>
      </c>
      <c r="I40" s="979">
        <f>tertiair!H20</f>
        <v>0</v>
      </c>
      <c r="J40" s="979">
        <f>tertiair!I20</f>
        <v>0</v>
      </c>
      <c r="K40" s="979">
        <f>tertiair!J20</f>
        <v>3.7289022092608051E-2</v>
      </c>
      <c r="L40" s="979">
        <f>tertiair!K20</f>
        <v>0</v>
      </c>
      <c r="M40" s="979">
        <f ca="1">tertiair!L20</f>
        <v>0</v>
      </c>
      <c r="N40" s="979">
        <f>tertiair!M20</f>
        <v>0</v>
      </c>
      <c r="O40" s="979">
        <f ca="1">tertiair!N20</f>
        <v>0</v>
      </c>
      <c r="P40" s="979">
        <f>tertiair!O20</f>
        <v>0</v>
      </c>
      <c r="Q40" s="748">
        <f>tertiair!P20</f>
        <v>0</v>
      </c>
      <c r="R40" s="824">
        <f t="shared" ca="1" si="4"/>
        <v>10892.294020755573</v>
      </c>
    </row>
    <row r="41" spans="1:18">
      <c r="A41" s="796" t="s">
        <v>224</v>
      </c>
      <c r="B41" s="803"/>
      <c r="C41" s="979">
        <f ca="1">huishoudens!B12</f>
        <v>7742.0580617802925</v>
      </c>
      <c r="D41" s="979">
        <f ca="1">huishoudens!C12</f>
        <v>0</v>
      </c>
      <c r="E41" s="979">
        <f>huishoudens!D12</f>
        <v>28073.446739505518</v>
      </c>
      <c r="F41" s="979">
        <f>huishoudens!E12</f>
        <v>1138.1310924515851</v>
      </c>
      <c r="G41" s="979">
        <f>huishoudens!F12</f>
        <v>1818.4400912554383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38772.075984992836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351.90067501043063</v>
      </c>
      <c r="D43" s="979">
        <f ca="1">industrie!C22</f>
        <v>0</v>
      </c>
      <c r="E43" s="979">
        <f>industrie!D22</f>
        <v>659.38208952996945</v>
      </c>
      <c r="F43" s="979">
        <f>industrie!E22</f>
        <v>41.458367096167109</v>
      </c>
      <c r="G43" s="979">
        <f>industrie!F22</f>
        <v>150.12802878121073</v>
      </c>
      <c r="H43" s="979">
        <f>industrie!G22</f>
        <v>0</v>
      </c>
      <c r="I43" s="979">
        <f>industrie!H22</f>
        <v>0</v>
      </c>
      <c r="J43" s="979">
        <f>industrie!I22</f>
        <v>0</v>
      </c>
      <c r="K43" s="979">
        <f>industrie!J22</f>
        <v>0.42604247612663299</v>
      </c>
      <c r="L43" s="979">
        <f>industrie!K22</f>
        <v>0</v>
      </c>
      <c r="M43" s="979">
        <f>industrie!L22</f>
        <v>0</v>
      </c>
      <c r="N43" s="979">
        <f>industrie!M22</f>
        <v>0</v>
      </c>
      <c r="O43" s="979">
        <f>industrie!N22</f>
        <v>0</v>
      </c>
      <c r="P43" s="979">
        <f>industrie!O22</f>
        <v>0</v>
      </c>
      <c r="Q43" s="748">
        <f>industrie!P22</f>
        <v>0</v>
      </c>
      <c r="R43" s="823">
        <f t="shared" ca="1" si="4"/>
        <v>1203.2952028939046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12295.885509337179</v>
      </c>
      <c r="D46" s="706">
        <f t="shared" ref="D46:Q46" ca="1" si="5">SUM(D39:D45)</f>
        <v>0</v>
      </c>
      <c r="E46" s="706">
        <f t="shared" ca="1" si="5"/>
        <v>34433.977573115037</v>
      </c>
      <c r="F46" s="706">
        <f t="shared" si="5"/>
        <v>1225.8064947105968</v>
      </c>
      <c r="G46" s="706">
        <f t="shared" ca="1" si="5"/>
        <v>2911.5322999812843</v>
      </c>
      <c r="H46" s="706">
        <f t="shared" si="5"/>
        <v>0</v>
      </c>
      <c r="I46" s="706">
        <f t="shared" si="5"/>
        <v>0</v>
      </c>
      <c r="J46" s="706">
        <f t="shared" si="5"/>
        <v>0</v>
      </c>
      <c r="K46" s="706">
        <f t="shared" si="5"/>
        <v>0.46333149821924102</v>
      </c>
      <c r="L46" s="706">
        <f t="shared" si="5"/>
        <v>0</v>
      </c>
      <c r="M46" s="706">
        <f t="shared" ca="1" si="5"/>
        <v>0</v>
      </c>
      <c r="N46" s="706">
        <f t="shared" si="5"/>
        <v>0</v>
      </c>
      <c r="O46" s="706">
        <f t="shared" ca="1" si="5"/>
        <v>0</v>
      </c>
      <c r="P46" s="706">
        <f t="shared" si="5"/>
        <v>0</v>
      </c>
      <c r="Q46" s="706">
        <f t="shared" si="5"/>
        <v>0</v>
      </c>
      <c r="R46" s="706">
        <f ca="1">SUM(R39:R45)</f>
        <v>50867.665208642313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1162.9959856837345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1162.9959856837345</v>
      </c>
    </row>
    <row r="50" spans="1:18">
      <c r="A50" s="799" t="s">
        <v>306</v>
      </c>
      <c r="B50" s="809"/>
      <c r="C50" s="677">
        <f ca="1">transport!B18</f>
        <v>18.221598275865365</v>
      </c>
      <c r="D50" s="677">
        <f>transport!C18</f>
        <v>0</v>
      </c>
      <c r="E50" s="677">
        <f>transport!D18</f>
        <v>49.221658593254972</v>
      </c>
      <c r="F50" s="677">
        <f>transport!E18</f>
        <v>104.78037788877936</v>
      </c>
      <c r="G50" s="677">
        <f>transport!F18</f>
        <v>0</v>
      </c>
      <c r="H50" s="677">
        <f>transport!G18</f>
        <v>43845.951583220492</v>
      </c>
      <c r="I50" s="677">
        <f>transport!H18</f>
        <v>10455.443344273512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54473.618562251904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18.221598275865365</v>
      </c>
      <c r="D52" s="706">
        <f t="shared" ref="D52:Q52" ca="1" si="6">SUM(D48:D51)</f>
        <v>0</v>
      </c>
      <c r="E52" s="706">
        <f t="shared" si="6"/>
        <v>49.221658593254972</v>
      </c>
      <c r="F52" s="706">
        <f t="shared" si="6"/>
        <v>104.78037788877936</v>
      </c>
      <c r="G52" s="706">
        <f t="shared" si="6"/>
        <v>0</v>
      </c>
      <c r="H52" s="706">
        <f t="shared" si="6"/>
        <v>45008.94756890423</v>
      </c>
      <c r="I52" s="706">
        <f t="shared" si="6"/>
        <v>10455.443344273512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55636.614547935642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36.019666115012257</v>
      </c>
      <c r="D54" s="677">
        <f ca="1">+landbouw!C12</f>
        <v>0</v>
      </c>
      <c r="E54" s="677">
        <f>+landbouw!D12</f>
        <v>28.088956428552045</v>
      </c>
      <c r="F54" s="677">
        <f>+landbouw!E12</f>
        <v>1.1288733511924629</v>
      </c>
      <c r="G54" s="677">
        <f>+landbouw!F12</f>
        <v>188.19129888705262</v>
      </c>
      <c r="H54" s="677">
        <f>+landbouw!G12</f>
        <v>0</v>
      </c>
      <c r="I54" s="677">
        <f>+landbouw!H12</f>
        <v>0</v>
      </c>
      <c r="J54" s="677">
        <f>+landbouw!I12</f>
        <v>0</v>
      </c>
      <c r="K54" s="677">
        <f>+landbouw!J12</f>
        <v>8.6772462647242961</v>
      </c>
      <c r="L54" s="677">
        <f>+landbouw!K12</f>
        <v>0</v>
      </c>
      <c r="M54" s="677">
        <f>+landbouw!L12</f>
        <v>0</v>
      </c>
      <c r="N54" s="677">
        <f>+landbouw!M12</f>
        <v>0</v>
      </c>
      <c r="O54" s="677">
        <f>+landbouw!N12</f>
        <v>0</v>
      </c>
      <c r="P54" s="677">
        <f>+landbouw!O12</f>
        <v>0</v>
      </c>
      <c r="Q54" s="678">
        <f>+landbouw!P12</f>
        <v>0</v>
      </c>
      <c r="R54" s="705">
        <f ca="1">SUM(C54:Q54)</f>
        <v>262.10604104653373</v>
      </c>
    </row>
    <row r="55" spans="1:18" ht="15" thickBot="1">
      <c r="A55" s="799" t="s">
        <v>823</v>
      </c>
      <c r="B55" s="809"/>
      <c r="C55" s="677">
        <f ca="1">C25*'EF ele_warmte'!B12</f>
        <v>374.28953391379434</v>
      </c>
      <c r="D55" s="677"/>
      <c r="E55" s="677">
        <f>E25*EF_CO2_aardgas</f>
        <v>1407.3542386401377</v>
      </c>
      <c r="F55" s="677"/>
      <c r="G55" s="677"/>
      <c r="H55" s="677"/>
      <c r="I55" s="677"/>
      <c r="J55" s="677"/>
      <c r="K55" s="677"/>
      <c r="L55" s="677"/>
      <c r="M55" s="677"/>
      <c r="N55" s="677"/>
      <c r="O55" s="677"/>
      <c r="P55" s="677"/>
      <c r="Q55" s="678"/>
      <c r="R55" s="705">
        <f ca="1">SUM(C55:Q55)</f>
        <v>1781.6437725539322</v>
      </c>
    </row>
    <row r="56" spans="1:18" ht="15.75" thickBot="1">
      <c r="A56" s="797" t="s">
        <v>824</v>
      </c>
      <c r="B56" s="810"/>
      <c r="C56" s="706">
        <f ca="1">SUM(C54:C55)</f>
        <v>410.30920002880657</v>
      </c>
      <c r="D56" s="706">
        <f t="shared" ref="D56:Q56" ca="1" si="7">SUM(D54:D55)</f>
        <v>0</v>
      </c>
      <c r="E56" s="706">
        <f t="shared" si="7"/>
        <v>1435.4431950686899</v>
      </c>
      <c r="F56" s="706">
        <f t="shared" si="7"/>
        <v>1.1288733511924629</v>
      </c>
      <c r="G56" s="706">
        <f t="shared" si="7"/>
        <v>188.19129888705262</v>
      </c>
      <c r="H56" s="706">
        <f t="shared" si="7"/>
        <v>0</v>
      </c>
      <c r="I56" s="706">
        <f t="shared" si="7"/>
        <v>0</v>
      </c>
      <c r="J56" s="706">
        <f t="shared" si="7"/>
        <v>0</v>
      </c>
      <c r="K56" s="706">
        <f t="shared" si="7"/>
        <v>8.6772462647242961</v>
      </c>
      <c r="L56" s="706">
        <f t="shared" si="7"/>
        <v>0</v>
      </c>
      <c r="M56" s="706">
        <f t="shared" si="7"/>
        <v>0</v>
      </c>
      <c r="N56" s="706">
        <f t="shared" si="7"/>
        <v>0</v>
      </c>
      <c r="O56" s="706">
        <f t="shared" si="7"/>
        <v>0</v>
      </c>
      <c r="P56" s="706">
        <f t="shared" si="7"/>
        <v>0</v>
      </c>
      <c r="Q56" s="707">
        <f t="shared" si="7"/>
        <v>0</v>
      </c>
      <c r="R56" s="708">
        <f ca="1">SUM(R54:R55)</f>
        <v>2043.749813600466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12724.416307641852</v>
      </c>
      <c r="D61" s="714">
        <f t="shared" ref="D61:Q61" ca="1" si="8">D46+D52+D56</f>
        <v>0</v>
      </c>
      <c r="E61" s="714">
        <f t="shared" ca="1" si="8"/>
        <v>35918.642426776983</v>
      </c>
      <c r="F61" s="714">
        <f t="shared" si="8"/>
        <v>1331.7157459505686</v>
      </c>
      <c r="G61" s="714">
        <f t="shared" ca="1" si="8"/>
        <v>3099.7235988683369</v>
      </c>
      <c r="H61" s="714">
        <f t="shared" si="8"/>
        <v>45008.94756890423</v>
      </c>
      <c r="I61" s="714">
        <f t="shared" si="8"/>
        <v>10455.443344273512</v>
      </c>
      <c r="J61" s="714">
        <f t="shared" si="8"/>
        <v>0</v>
      </c>
      <c r="K61" s="714">
        <f t="shared" si="8"/>
        <v>9.1405777629435363</v>
      </c>
      <c r="L61" s="714">
        <f t="shared" si="8"/>
        <v>0</v>
      </c>
      <c r="M61" s="714">
        <f t="shared" ca="1" si="8"/>
        <v>0</v>
      </c>
      <c r="N61" s="714">
        <f t="shared" si="8"/>
        <v>0</v>
      </c>
      <c r="O61" s="714">
        <f t="shared" ca="1" si="8"/>
        <v>0</v>
      </c>
      <c r="P61" s="714">
        <f t="shared" si="8"/>
        <v>0</v>
      </c>
      <c r="Q61" s="714">
        <f t="shared" si="8"/>
        <v>0</v>
      </c>
      <c r="R61" s="714">
        <f ca="1">R46+R52+R56</f>
        <v>108548.02957017842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0.21289479163151839</v>
      </c>
      <c r="D63" s="755">
        <f t="shared" ca="1" si="9"/>
        <v>0</v>
      </c>
      <c r="E63" s="990">
        <f t="shared" ca="1" si="9"/>
        <v>0.20200000000000007</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2192.021165704934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2192.021165704934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2192.021165704934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2192.021165704934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36365.652736025448</v>
      </c>
      <c r="C4" s="451">
        <f>huishoudens!C8</f>
        <v>0</v>
      </c>
      <c r="D4" s="451">
        <f>huishoudens!D8</f>
        <v>138977.45910646295</v>
      </c>
      <c r="E4" s="451">
        <f>huishoudens!E8</f>
        <v>5013.7933588175556</v>
      </c>
      <c r="F4" s="451">
        <f>huishoudens!F8</f>
        <v>6810.6370459005175</v>
      </c>
      <c r="G4" s="451">
        <f>huishoudens!G8</f>
        <v>0</v>
      </c>
      <c r="H4" s="451">
        <f>huishoudens!H8</f>
        <v>0</v>
      </c>
      <c r="I4" s="451">
        <f>huishoudens!I8</f>
        <v>0</v>
      </c>
      <c r="J4" s="451">
        <f>huishoudens!J8</f>
        <v>0</v>
      </c>
      <c r="K4" s="451">
        <f>huishoudens!K8</f>
        <v>0</v>
      </c>
      <c r="L4" s="451">
        <f>huishoudens!L8</f>
        <v>0</v>
      </c>
      <c r="M4" s="451">
        <f>huishoudens!M8</f>
        <v>0</v>
      </c>
      <c r="N4" s="451">
        <f>huishoudens!N8</f>
        <v>9213.8546099879113</v>
      </c>
      <c r="O4" s="451">
        <f>huishoudens!O8</f>
        <v>275.1466666666667</v>
      </c>
      <c r="P4" s="452">
        <f>huishoudens!P8</f>
        <v>1029.5999999999999</v>
      </c>
      <c r="Q4" s="453">
        <f>SUM(B4:P4)</f>
        <v>197686.14352386104</v>
      </c>
    </row>
    <row r="5" spans="1:17">
      <c r="A5" s="450" t="s">
        <v>155</v>
      </c>
      <c r="B5" s="451">
        <f ca="1">tertiair!B16</f>
        <v>18548.312606200114</v>
      </c>
      <c r="C5" s="451">
        <f ca="1">tertiair!C16</f>
        <v>0</v>
      </c>
      <c r="D5" s="451">
        <f ca="1">tertiair!D16</f>
        <v>28223.508634057143</v>
      </c>
      <c r="E5" s="451">
        <f>tertiair!E16</f>
        <v>203.59927384512983</v>
      </c>
      <c r="F5" s="451">
        <f ca="1">tertiair!F16</f>
        <v>3531.7010484817802</v>
      </c>
      <c r="G5" s="451">
        <f>tertiair!G16</f>
        <v>0</v>
      </c>
      <c r="H5" s="451">
        <f>tertiair!H16</f>
        <v>0</v>
      </c>
      <c r="I5" s="451">
        <f>tertiair!I16</f>
        <v>0</v>
      </c>
      <c r="J5" s="451">
        <f>tertiair!J16</f>
        <v>0.10533622060058771</v>
      </c>
      <c r="K5" s="451">
        <f>tertiair!K16</f>
        <v>0</v>
      </c>
      <c r="L5" s="451">
        <f ca="1">tertiair!L16</f>
        <v>0</v>
      </c>
      <c r="M5" s="451">
        <f>tertiair!M16</f>
        <v>0</v>
      </c>
      <c r="N5" s="451">
        <f ca="1">tertiair!N16</f>
        <v>4145.4481782922167</v>
      </c>
      <c r="O5" s="451">
        <f>tertiair!O16</f>
        <v>3.1266666666666669</v>
      </c>
      <c r="P5" s="452">
        <f>tertiair!P16</f>
        <v>38.133333333333333</v>
      </c>
      <c r="Q5" s="450">
        <f t="shared" ref="Q5:Q14" ca="1" si="0">SUM(B5:P5)</f>
        <v>54693.935077096976</v>
      </c>
    </row>
    <row r="6" spans="1:17">
      <c r="A6" s="450" t="s">
        <v>193</v>
      </c>
      <c r="B6" s="451">
        <f>'openbare verlichting'!B8</f>
        <v>1188.7919999999999</v>
      </c>
      <c r="C6" s="451"/>
      <c r="D6" s="451"/>
      <c r="E6" s="451"/>
      <c r="F6" s="451"/>
      <c r="G6" s="451"/>
      <c r="H6" s="451"/>
      <c r="I6" s="451"/>
      <c r="J6" s="451"/>
      <c r="K6" s="451"/>
      <c r="L6" s="451"/>
      <c r="M6" s="451"/>
      <c r="N6" s="451"/>
      <c r="O6" s="451"/>
      <c r="P6" s="452"/>
      <c r="Q6" s="450">
        <f t="shared" si="0"/>
        <v>1188.7919999999999</v>
      </c>
    </row>
    <row r="7" spans="1:17">
      <c r="A7" s="450" t="s">
        <v>111</v>
      </c>
      <c r="B7" s="451">
        <f>landbouw!B8</f>
        <v>169.18998270918559</v>
      </c>
      <c r="C7" s="451">
        <f>landbouw!C8</f>
        <v>0</v>
      </c>
      <c r="D7" s="451">
        <f>landbouw!D8</f>
        <v>139.05423974530714</v>
      </c>
      <c r="E7" s="451">
        <f>landbouw!E8</f>
        <v>4.9730103576760483</v>
      </c>
      <c r="F7" s="451">
        <f>landbouw!F8</f>
        <v>704.83632541967268</v>
      </c>
      <c r="G7" s="451">
        <f>landbouw!G8</f>
        <v>0</v>
      </c>
      <c r="H7" s="451">
        <f>landbouw!H8</f>
        <v>0</v>
      </c>
      <c r="I7" s="451">
        <f>landbouw!I8</f>
        <v>0</v>
      </c>
      <c r="J7" s="451">
        <f>landbouw!J8</f>
        <v>24.511995098091234</v>
      </c>
      <c r="K7" s="451">
        <f>landbouw!K8</f>
        <v>0</v>
      </c>
      <c r="L7" s="451">
        <f>landbouw!L8</f>
        <v>0</v>
      </c>
      <c r="M7" s="451">
        <f>landbouw!M8</f>
        <v>0</v>
      </c>
      <c r="N7" s="451">
        <f>landbouw!N8</f>
        <v>0</v>
      </c>
      <c r="O7" s="451">
        <f>landbouw!O8</f>
        <v>0</v>
      </c>
      <c r="P7" s="452">
        <f>landbouw!P8</f>
        <v>0</v>
      </c>
      <c r="Q7" s="450">
        <f t="shared" si="0"/>
        <v>1042.5655533299328</v>
      </c>
    </row>
    <row r="8" spans="1:17">
      <c r="A8" s="450" t="s">
        <v>634</v>
      </c>
      <c r="B8" s="451">
        <f>industrie!B18</f>
        <v>1652.9322878856797</v>
      </c>
      <c r="C8" s="451">
        <f>industrie!C18</f>
        <v>0</v>
      </c>
      <c r="D8" s="451">
        <f>industrie!D18</f>
        <v>3264.2677699503433</v>
      </c>
      <c r="E8" s="451">
        <f>industrie!E18</f>
        <v>182.63597839721194</v>
      </c>
      <c r="F8" s="451">
        <f>industrie!F18</f>
        <v>562.27726135284911</v>
      </c>
      <c r="G8" s="451">
        <f>industrie!G18</f>
        <v>0</v>
      </c>
      <c r="H8" s="451">
        <f>industrie!H18</f>
        <v>0</v>
      </c>
      <c r="I8" s="451">
        <f>industrie!I18</f>
        <v>0</v>
      </c>
      <c r="J8" s="451">
        <f>industrie!J18</f>
        <v>1.20350981956676</v>
      </c>
      <c r="K8" s="451">
        <f>industrie!K18</f>
        <v>0</v>
      </c>
      <c r="L8" s="451">
        <f>industrie!L18</f>
        <v>0</v>
      </c>
      <c r="M8" s="451">
        <f>industrie!M18</f>
        <v>0</v>
      </c>
      <c r="N8" s="451">
        <f>industrie!N18</f>
        <v>117.79596153405089</v>
      </c>
      <c r="O8" s="451">
        <f>industrie!O18</f>
        <v>0</v>
      </c>
      <c r="P8" s="452">
        <f>industrie!P18</f>
        <v>0</v>
      </c>
      <c r="Q8" s="450">
        <f t="shared" si="0"/>
        <v>5781.1127689397008</v>
      </c>
    </row>
    <row r="9" spans="1:17" s="456" customFormat="1">
      <c r="A9" s="454" t="s">
        <v>560</v>
      </c>
      <c r="B9" s="455">
        <f>transport!B14</f>
        <v>85.589685572973494</v>
      </c>
      <c r="C9" s="455">
        <f>transport!C14</f>
        <v>0</v>
      </c>
      <c r="D9" s="455">
        <f>transport!D14</f>
        <v>243.67157719433152</v>
      </c>
      <c r="E9" s="455">
        <f>transport!E14</f>
        <v>461.58756779197955</v>
      </c>
      <c r="F9" s="455">
        <f>transport!F14</f>
        <v>0</v>
      </c>
      <c r="G9" s="455">
        <f>transport!G14</f>
        <v>164217.04712816663</v>
      </c>
      <c r="H9" s="455">
        <f>transport!H14</f>
        <v>41989.732306319325</v>
      </c>
      <c r="I9" s="455">
        <f>transport!I14</f>
        <v>0</v>
      </c>
      <c r="J9" s="455">
        <f>transport!J14</f>
        <v>0</v>
      </c>
      <c r="K9" s="455">
        <f>transport!K14</f>
        <v>0</v>
      </c>
      <c r="L9" s="455">
        <f>transport!L14</f>
        <v>0</v>
      </c>
      <c r="M9" s="455">
        <f>transport!M14</f>
        <v>10830.654886623126</v>
      </c>
      <c r="N9" s="455">
        <f>transport!N14</f>
        <v>0</v>
      </c>
      <c r="O9" s="455">
        <f>transport!O14</f>
        <v>0</v>
      </c>
      <c r="P9" s="455">
        <f>transport!P14</f>
        <v>0</v>
      </c>
      <c r="Q9" s="454">
        <f>SUM(B9:P9)</f>
        <v>217828.28315166835</v>
      </c>
    </row>
    <row r="10" spans="1:17">
      <c r="A10" s="450" t="s">
        <v>550</v>
      </c>
      <c r="B10" s="451">
        <f>transport!B54</f>
        <v>0</v>
      </c>
      <c r="C10" s="451">
        <f>transport!C54</f>
        <v>0</v>
      </c>
      <c r="D10" s="451">
        <f>transport!D54</f>
        <v>0</v>
      </c>
      <c r="E10" s="451">
        <f>transport!E54</f>
        <v>0</v>
      </c>
      <c r="F10" s="451">
        <f>transport!F54</f>
        <v>0</v>
      </c>
      <c r="G10" s="451">
        <f>transport!G54</f>
        <v>4355.7902085533124</v>
      </c>
      <c r="H10" s="451">
        <f>transport!H54</f>
        <v>0</v>
      </c>
      <c r="I10" s="451">
        <f>transport!I54</f>
        <v>0</v>
      </c>
      <c r="J10" s="451">
        <f>transport!J54</f>
        <v>0</v>
      </c>
      <c r="K10" s="451">
        <f>transport!K54</f>
        <v>0</v>
      </c>
      <c r="L10" s="451">
        <f>transport!L54</f>
        <v>0</v>
      </c>
      <c r="M10" s="451">
        <f>transport!M54</f>
        <v>247.37096727413379</v>
      </c>
      <c r="N10" s="451">
        <f>transport!N54</f>
        <v>0</v>
      </c>
      <c r="O10" s="451">
        <f>transport!O54</f>
        <v>0</v>
      </c>
      <c r="P10" s="452">
        <f>transport!P54</f>
        <v>0</v>
      </c>
      <c r="Q10" s="450">
        <f t="shared" si="0"/>
        <v>4603.1611758274457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1758.0962457814401</v>
      </c>
      <c r="C14" s="458"/>
      <c r="D14" s="458">
        <f>'SEAP template'!E25</f>
        <v>6967.10019128781</v>
      </c>
      <c r="E14" s="458"/>
      <c r="F14" s="458"/>
      <c r="G14" s="458"/>
      <c r="H14" s="458"/>
      <c r="I14" s="458"/>
      <c r="J14" s="458"/>
      <c r="K14" s="458"/>
      <c r="L14" s="458"/>
      <c r="M14" s="458"/>
      <c r="N14" s="458"/>
      <c r="O14" s="458"/>
      <c r="P14" s="459"/>
      <c r="Q14" s="450">
        <f t="shared" si="0"/>
        <v>8725.1964370692494</v>
      </c>
    </row>
    <row r="15" spans="1:17" s="460" customFormat="1">
      <c r="A15" s="1005" t="s">
        <v>554</v>
      </c>
      <c r="B15" s="953">
        <f ca="1">SUM(B4:B14)</f>
        <v>59768.565544174839</v>
      </c>
      <c r="C15" s="953">
        <f t="shared" ref="C15:Q15" ca="1" si="1">SUM(C4:C14)</f>
        <v>0</v>
      </c>
      <c r="D15" s="953">
        <f t="shared" ca="1" si="1"/>
        <v>177815.06151869788</v>
      </c>
      <c r="E15" s="953">
        <f t="shared" si="1"/>
        <v>5866.5891892095524</v>
      </c>
      <c r="F15" s="953">
        <f t="shared" ca="1" si="1"/>
        <v>11609.451681154818</v>
      </c>
      <c r="G15" s="953">
        <f t="shared" si="1"/>
        <v>168572.83733671994</v>
      </c>
      <c r="H15" s="953">
        <f t="shared" si="1"/>
        <v>41989.732306319325</v>
      </c>
      <c r="I15" s="953">
        <f t="shared" si="1"/>
        <v>0</v>
      </c>
      <c r="J15" s="953">
        <f t="shared" si="1"/>
        <v>25.820841138258583</v>
      </c>
      <c r="K15" s="953">
        <f t="shared" si="1"/>
        <v>0</v>
      </c>
      <c r="L15" s="953">
        <f t="shared" ca="1" si="1"/>
        <v>0</v>
      </c>
      <c r="M15" s="953">
        <f t="shared" si="1"/>
        <v>11078.025853897259</v>
      </c>
      <c r="N15" s="953">
        <f t="shared" ca="1" si="1"/>
        <v>13477.09874981418</v>
      </c>
      <c r="O15" s="953">
        <f t="shared" si="1"/>
        <v>278.27333333333337</v>
      </c>
      <c r="P15" s="953">
        <f t="shared" si="1"/>
        <v>1067.7333333333333</v>
      </c>
      <c r="Q15" s="953">
        <f t="shared" ca="1" si="1"/>
        <v>491549.18968779268</v>
      </c>
    </row>
    <row r="17" spans="1:17">
      <c r="A17" s="461" t="s">
        <v>555</v>
      </c>
      <c r="B17" s="760">
        <f ca="1">huishoudens!B10</f>
        <v>0.21289479163151834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7742.0580617802925</v>
      </c>
      <c r="C22" s="451">
        <f t="shared" ref="C22:C32" ca="1" si="3">C4*$C$17</f>
        <v>0</v>
      </c>
      <c r="D22" s="451">
        <f t="shared" ref="D22:D32" si="4">D4*$D$17</f>
        <v>28073.446739505518</v>
      </c>
      <c r="E22" s="451">
        <f t="shared" ref="E22:E32" si="5">E4*$E$17</f>
        <v>1138.1310924515851</v>
      </c>
      <c r="F22" s="451">
        <f t="shared" ref="F22:F32" si="6">F4*$F$17</f>
        <v>1818.4400912554383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38772.075984992836</v>
      </c>
    </row>
    <row r="23" spans="1:17">
      <c r="A23" s="450" t="s">
        <v>155</v>
      </c>
      <c r="B23" s="451">
        <f t="shared" ca="1" si="2"/>
        <v>3948.8391474132382</v>
      </c>
      <c r="C23" s="451">
        <f t="shared" ca="1" si="3"/>
        <v>0</v>
      </c>
      <c r="D23" s="451">
        <f t="shared" ca="1" si="4"/>
        <v>5701.1487440795436</v>
      </c>
      <c r="E23" s="451">
        <f t="shared" si="5"/>
        <v>46.217035162844475</v>
      </c>
      <c r="F23" s="451">
        <f t="shared" ca="1" si="6"/>
        <v>942.96417994463536</v>
      </c>
      <c r="G23" s="451">
        <f t="shared" si="7"/>
        <v>0</v>
      </c>
      <c r="H23" s="451">
        <f t="shared" si="8"/>
        <v>0</v>
      </c>
      <c r="I23" s="451">
        <f t="shared" si="9"/>
        <v>0</v>
      </c>
      <c r="J23" s="451">
        <f t="shared" si="10"/>
        <v>3.7289022092608051E-2</v>
      </c>
      <c r="K23" s="451">
        <f t="shared" si="11"/>
        <v>0</v>
      </c>
      <c r="L23" s="451">
        <f t="shared" ca="1" si="12"/>
        <v>0</v>
      </c>
      <c r="M23" s="451">
        <f t="shared" si="13"/>
        <v>0</v>
      </c>
      <c r="N23" s="451">
        <f t="shared" ca="1" si="14"/>
        <v>0</v>
      </c>
      <c r="O23" s="451">
        <f t="shared" si="15"/>
        <v>0</v>
      </c>
      <c r="P23" s="452">
        <f t="shared" si="16"/>
        <v>0</v>
      </c>
      <c r="Q23" s="450">
        <f t="shared" ref="Q23:Q32" ca="1" si="17">SUM(B23:P23)</f>
        <v>10639.206395622354</v>
      </c>
    </row>
    <row r="24" spans="1:17">
      <c r="A24" s="450" t="s">
        <v>193</v>
      </c>
      <c r="B24" s="451">
        <f t="shared" ca="1" si="2"/>
        <v>253.08762513321594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253.08762513321594</v>
      </c>
    </row>
    <row r="25" spans="1:17">
      <c r="A25" s="450" t="s">
        <v>111</v>
      </c>
      <c r="B25" s="451">
        <f t="shared" ca="1" si="2"/>
        <v>36.019666115012257</v>
      </c>
      <c r="C25" s="451">
        <f t="shared" ca="1" si="3"/>
        <v>0</v>
      </c>
      <c r="D25" s="451">
        <f t="shared" si="4"/>
        <v>28.088956428552045</v>
      </c>
      <c r="E25" s="451">
        <f t="shared" si="5"/>
        <v>1.1288733511924629</v>
      </c>
      <c r="F25" s="451">
        <f t="shared" si="6"/>
        <v>188.19129888705262</v>
      </c>
      <c r="G25" s="451">
        <f t="shared" si="7"/>
        <v>0</v>
      </c>
      <c r="H25" s="451">
        <f t="shared" si="8"/>
        <v>0</v>
      </c>
      <c r="I25" s="451">
        <f t="shared" si="9"/>
        <v>0</v>
      </c>
      <c r="J25" s="451">
        <f t="shared" si="10"/>
        <v>8.6772462647242961</v>
      </c>
      <c r="K25" s="451">
        <f t="shared" si="11"/>
        <v>0</v>
      </c>
      <c r="L25" s="451">
        <f t="shared" si="12"/>
        <v>0</v>
      </c>
      <c r="M25" s="451">
        <f t="shared" si="13"/>
        <v>0</v>
      </c>
      <c r="N25" s="451">
        <f t="shared" si="14"/>
        <v>0</v>
      </c>
      <c r="O25" s="451">
        <f t="shared" si="15"/>
        <v>0</v>
      </c>
      <c r="P25" s="452">
        <f t="shared" si="16"/>
        <v>0</v>
      </c>
      <c r="Q25" s="450">
        <f t="shared" ca="1" si="17"/>
        <v>262.10604104653373</v>
      </c>
    </row>
    <row r="26" spans="1:17">
      <c r="A26" s="450" t="s">
        <v>634</v>
      </c>
      <c r="B26" s="451">
        <f t="shared" ca="1" si="2"/>
        <v>351.90067501043063</v>
      </c>
      <c r="C26" s="451">
        <f t="shared" ca="1" si="3"/>
        <v>0</v>
      </c>
      <c r="D26" s="451">
        <f t="shared" si="4"/>
        <v>659.38208952996945</v>
      </c>
      <c r="E26" s="451">
        <f t="shared" si="5"/>
        <v>41.458367096167109</v>
      </c>
      <c r="F26" s="451">
        <f t="shared" si="6"/>
        <v>150.12802878121073</v>
      </c>
      <c r="G26" s="451">
        <f t="shared" si="7"/>
        <v>0</v>
      </c>
      <c r="H26" s="451">
        <f t="shared" si="8"/>
        <v>0</v>
      </c>
      <c r="I26" s="451">
        <f t="shared" si="9"/>
        <v>0</v>
      </c>
      <c r="J26" s="451">
        <f t="shared" si="10"/>
        <v>0.42604247612663299</v>
      </c>
      <c r="K26" s="451">
        <f t="shared" si="11"/>
        <v>0</v>
      </c>
      <c r="L26" s="451">
        <f t="shared" si="12"/>
        <v>0</v>
      </c>
      <c r="M26" s="451">
        <f t="shared" si="13"/>
        <v>0</v>
      </c>
      <c r="N26" s="451">
        <f t="shared" si="14"/>
        <v>0</v>
      </c>
      <c r="O26" s="451">
        <f t="shared" si="15"/>
        <v>0</v>
      </c>
      <c r="P26" s="452">
        <f t="shared" si="16"/>
        <v>0</v>
      </c>
      <c r="Q26" s="450">
        <f t="shared" ca="1" si="17"/>
        <v>1203.2952028939046</v>
      </c>
    </row>
    <row r="27" spans="1:17" s="456" customFormat="1">
      <c r="A27" s="454" t="s">
        <v>560</v>
      </c>
      <c r="B27" s="754">
        <f t="shared" ca="1" si="2"/>
        <v>18.221598275865365</v>
      </c>
      <c r="C27" s="455">
        <f t="shared" ca="1" si="3"/>
        <v>0</v>
      </c>
      <c r="D27" s="455">
        <f t="shared" si="4"/>
        <v>49.221658593254972</v>
      </c>
      <c r="E27" s="455">
        <f t="shared" si="5"/>
        <v>104.78037788877936</v>
      </c>
      <c r="F27" s="455">
        <f t="shared" si="6"/>
        <v>0</v>
      </c>
      <c r="G27" s="455">
        <f t="shared" si="7"/>
        <v>43845.951583220492</v>
      </c>
      <c r="H27" s="455">
        <f t="shared" si="8"/>
        <v>10455.443344273512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54473.618562251904</v>
      </c>
    </row>
    <row r="28" spans="1:17">
      <c r="A28" s="450" t="s">
        <v>550</v>
      </c>
      <c r="B28" s="451">
        <f t="shared" ca="1" si="2"/>
        <v>0</v>
      </c>
      <c r="C28" s="451">
        <f t="shared" ca="1" si="3"/>
        <v>0</v>
      </c>
      <c r="D28" s="451">
        <f t="shared" si="4"/>
        <v>0</v>
      </c>
      <c r="E28" s="451">
        <f t="shared" si="5"/>
        <v>0</v>
      </c>
      <c r="F28" s="451">
        <f t="shared" si="6"/>
        <v>0</v>
      </c>
      <c r="G28" s="451">
        <f t="shared" si="7"/>
        <v>1162.9959856837345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1162.9959856837345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374.28953391379434</v>
      </c>
      <c r="C32" s="451">
        <f t="shared" ca="1" si="3"/>
        <v>0</v>
      </c>
      <c r="D32" s="451">
        <f t="shared" si="4"/>
        <v>1407.3542386401377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1781.6437725539322</v>
      </c>
    </row>
    <row r="33" spans="1:17" s="460" customFormat="1">
      <c r="A33" s="1005" t="s">
        <v>554</v>
      </c>
      <c r="B33" s="953">
        <f ca="1">SUM(B22:B32)</f>
        <v>12724.41630764185</v>
      </c>
      <c r="C33" s="953">
        <f t="shared" ref="C33:Q33" ca="1" si="18">SUM(C22:C32)</f>
        <v>0</v>
      </c>
      <c r="D33" s="953">
        <f t="shared" ca="1" si="18"/>
        <v>35918.642426776983</v>
      </c>
      <c r="E33" s="953">
        <f t="shared" si="18"/>
        <v>1331.7157459505686</v>
      </c>
      <c r="F33" s="953">
        <f t="shared" ca="1" si="18"/>
        <v>3099.7235988683369</v>
      </c>
      <c r="G33" s="953">
        <f t="shared" si="18"/>
        <v>45008.94756890423</v>
      </c>
      <c r="H33" s="953">
        <f t="shared" si="18"/>
        <v>10455.443344273512</v>
      </c>
      <c r="I33" s="953">
        <f t="shared" si="18"/>
        <v>0</v>
      </c>
      <c r="J33" s="953">
        <f t="shared" si="18"/>
        <v>9.1405777629435363</v>
      </c>
      <c r="K33" s="953">
        <f t="shared" si="18"/>
        <v>0</v>
      </c>
      <c r="L33" s="953">
        <f t="shared" ca="1" si="18"/>
        <v>0</v>
      </c>
      <c r="M33" s="953">
        <f t="shared" si="18"/>
        <v>0</v>
      </c>
      <c r="N33" s="953">
        <f t="shared" ca="1" si="18"/>
        <v>0</v>
      </c>
      <c r="O33" s="953">
        <f t="shared" si="18"/>
        <v>0</v>
      </c>
      <c r="P33" s="953">
        <f t="shared" si="18"/>
        <v>0</v>
      </c>
      <c r="Q33" s="953">
        <f t="shared" ca="1" si="18"/>
        <v>108548.02957017842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2192.021165704934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2192.021165704934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0.21289479163151834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0.21289479163151834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2020-06-20T15:43:03Z</dcterms:modified>
</cp:coreProperties>
</file>