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M87" i="14" s="1"/>
  <c r="I8" i="18"/>
  <c r="I10" i="18" s="1"/>
  <c r="G49" i="18"/>
  <c r="O9" i="18"/>
  <c r="C49" i="18"/>
  <c r="F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C10" i="18"/>
  <c r="C88" i="14"/>
  <c r="C18" i="61" s="1"/>
  <c r="F76" i="14"/>
  <c r="E10" i="18"/>
  <c r="I17" i="18"/>
  <c r="Q88" i="14"/>
  <c r="P18" i="61" s="1"/>
  <c r="I33" i="48"/>
  <c r="O10" i="18" l="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J26" i="48" s="1"/>
  <c r="J33" i="48" s="1"/>
  <c r="J15"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<sst xmlns="http://schemas.openxmlformats.org/spreadsheetml/2006/main" count="2416" uniqueCount="900">
  <si>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</si>
  <si>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</si>
  <si>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</si>
  <si>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</si>
  <si>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</si>
  <si>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</si>
  <si>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</si>
  <si>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</si>
  <si>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</si>
  <si>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</si>
  <si>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</si>
  <si>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</si>
  <si>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</si>
  <si>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</si>
  <si>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</si>
  <si>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</si>
  <si>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</si>
  <si>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</si>
  <si>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</si>
  <si>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</si>
  <si>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</si>
  <si>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</si>
  <si>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</si>
  <si>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</si>
  <si>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</si>
  <si>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</si>
  <si>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</si>
  <si>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</si>
  <si>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</si>
  <si>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</si>
  <si>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</si>
  <si>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</si>
  <si>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</si>
  <si>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</si>
  <si>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</si>
  <si>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</si>
  <si>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</si>
  <si>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</si>
  <si>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</si>
  <si>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</si>
  <si>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</si>
  <si>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</si>
  <si>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</si>
  <si>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</si>
  <si>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</si>
  <si>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</si>
  <si>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</si>
  <si>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</si>
  <si>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</si>
  <si>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</si>
  <si>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</si>
  <si>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</si>
  <si>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</si>
  <si>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</si>
  <si>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</si>
  <si>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</si>
  <si>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</si>
  <si>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</si>
  <si>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</si>
  <si>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</si>
  <si>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</si>
  <si>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</si>
  <si>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</si>
  <si>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</si>
  <si>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</si>
  <si>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</si>
  <si>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</si>
  <si>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</si>
  <si>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</si>
  <si>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</si>
  <si>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</si>
  <si>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</si>
  <si>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</si>
  <si>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</si>
  <si>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</si>
  <si>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</si>
  <si>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</si>
  <si>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</si>
  <si>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</si>
  <si>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</si>
  <si>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</si>
  <si>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</si>
  <si>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</si>
  <si>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</si>
  <si>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</si>
  <si>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</si>
  <si>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</si>
  <si>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</si>
  <si>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</si>
  <si>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</si>
  <si>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</si>
  <si>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</si>
  <si>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</si>
  <si>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</si>
  <si>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</si>
  <si>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</si>
  <si>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</si>
  <si>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</si>
  <si>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</si>
  <si>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</si>
  <si>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</si>
  <si>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</si>
  <si>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</si>
  <si>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</si>
  <si>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</si>
  <si>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</si>
  <si>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</si>
  <si>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</si>
  <si>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</si>
  <si>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</si>
  <si>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</si>
  <si>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</si>
  <si>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</si>
  <si>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</si>
  <si>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</si>
  <si>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</si>
  <si>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</si>
  <si>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</si>
  <si>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</si>
  <si>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</si>
  <si>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</si>
  <si>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</si>
  <si>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</si>
  <si>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</si>
  <si>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</si>
  <si>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</si>
  <si>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</si>
  <si>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</si>
  <si>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</si>
  <si>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</si>
  <si>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</si>
  <si>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</si>
  <si>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</si>
  <si>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</si>
  <si>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</si>
  <si>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</si>
  <si>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</si>
  <si>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</si>
  <si>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</si>
  <si>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</si>
  <si>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</si>
  <si>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</si>
  <si>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</si>
  <si>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</si>
  <si>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</si>
  <si>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</si>
  <si>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</si>
  <si>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</si>
  <si>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</si>
  <si>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</si>
  <si>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</si>
  <si>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</si>
  <si>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</si>
  <si>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</si>
  <si>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</si>
  <si>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</si>
  <si>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</si>
  <si>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</si>
  <si>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</si>
  <si>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</si>
  <si>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</si>
  <si>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</si>
  <si>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</si>
  <si>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</si>
  <si>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</si>
  <si>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</si>
  <si>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</si>
  <si>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</si>
  <si>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</si>
  <si>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</si>
  <si>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</si>
  <si>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</si>
  <si>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</si>
  <si>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</si>
  <si>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</si>
  <si>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</si>
  <si>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</si>
  <si>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</si>
  <si>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</si>
  <si>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</si>
  <si>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</si>
  <si>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</si>
  <si>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</si>
  <si>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</si>
  <si>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</si>
  <si>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</si>
  <si>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</si>
  <si>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</si>
  <si>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</si>
  <si>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</si>
  <si>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</si>
  <si>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</si>
  <si>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</si>
  <si>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</si>
  <si>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</si>
  <si>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</si>
  <si>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</si>
  <si>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</si>
  <si>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</si>
  <si>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</si>
  <si>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</si>
  <si>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</si>
  <si>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</si>
  <si>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</si>
  <si>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</si>
  <si>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</si>
  <si>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</si>
  <si>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</si>
  <si>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</si>
  <si>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</si>
  <si>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</si>
  <si>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</si>
  <si>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</si>
  <si>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</si>
  <si>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</si>
  <si>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</si>
  <si>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</si>
  <si>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</si>
  <si>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</si>
  <si>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</si>
  <si>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</si>
  <si>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</si>
  <si>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</si>
  <si>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</si>
  <si>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</si>
  <si>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</si>
  <si>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</si>
  <si>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</si>
  <si>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</si>
  <si>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</si>
  <si>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</si>
  <si>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</si>
  <si>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</si>
  <si>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</si>
  <si>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</si>
  <si>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</si>
  <si>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</si>
  <si>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</si>
  <si>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</si>
  <si>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</si>
  <si>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</si>
  <si>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</si>
  <si>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</si>
  <si>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</si>
  <si>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</si>
  <si>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</si>
  <si>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</si>
  <si>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</si>
  <si>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</si>
  <si>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</si>
  <si>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</si>
  <si>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</si>
  <si>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</si>
  <si>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</si>
  <si>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</si>
  <si>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</si>
  <si>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</si>
  <si>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</si>
  <si>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</si>
  <si>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</si>
  <si>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</si>
  <si>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</si>
  <si>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</si>
  <si>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</si>
  <si>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</si>
  <si>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</si>
  <si>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</si>
  <si>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</si>
  <si>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</si>
  <si>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</si>
  <si>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</si>
  <si>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</si>
  <si>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</si>
  <si>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</si>
  <si>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</si>
  <si>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</si>
  <si>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</si>
  <si>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</si>
  <si>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</si>
  <si>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</si>
  <si>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</si>
  <si>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</si>
  <si>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</si>
  <si>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</si>
  <si>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</si>
  <si>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</si>
  <si>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</si>
  <si>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</si>
  <si>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</si>
  <si>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</si>
  <si>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</si>
  <si>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</si>
  <si>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</si>
  <si>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</si>
  <si>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</si>
  <si>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</si>
  <si>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</si>
  <si>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</si>
  <si>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</si>
  <si>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</si>
  <si>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</si>
  <si>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</si>
  <si>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</si>
  <si>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</si>
  <si>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</si>
  <si>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</si>
  <si>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</si>
  <si>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</si>
  <si>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</si>
  <si>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</si>
  <si>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</si>
  <si>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</si>
  <si>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</si>
  <si>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</si>
  <si>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</si>
  <si>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</si>
  <si>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</si>
  <si>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</si>
  <si>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</si>
  <si>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</si>
  <si>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</si>
  <si>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</si>
  <si>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</si>
  <si>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</si>
  <si>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</si>
  <si>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</si>
  <si>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</si>
  <si>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</si>
  <si>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</si>
  <si>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</si>
  <si>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</si>
  <si>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</si>
  <si>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</si>
  <si>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</si>
  <si>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</si>
  <si>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</si>
  <si>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</si>
  <si>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</si>
  <si>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</si>
  <si>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</si>
  <si>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</si>
  <si>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</si>
  <si>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</si>
  <si>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</si>
  <si>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</si>
  <si>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</si>
  <si>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</si>
  <si>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</si>
  <si>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</si>
  <si>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</si>
  <si>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</si>
  <si>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</si>
  <si>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</si>
  <si>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</si>
  <si>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</si>
  <si>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</si>
  <si>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</si>
  <si>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</si>
  <si>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</si>
  <si>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</si>
  <si>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</si>
  <si>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</si>
  <si>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</si>
  <si>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</si>
  <si>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</si>
  <si>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</si>
  <si>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</si>
  <si>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</si>
  <si>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</si>
  <si>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</si>
  <si>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</si>
  <si>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</si>
  <si>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</si>
  <si>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</si>
  <si>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</si>
  <si>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</si>
  <si>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</si>
  <si>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</si>
  <si>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</si>
  <si>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</si>
  <si>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</si>
  <si>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</si>
  <si>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</si>
  <si>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</si>
  <si>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</si>
  <si>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</si>
  <si>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</si>
  <si>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</si>
  <si>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</si>
  <si>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</si>
  <si>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</si>
  <si>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</si>
  <si>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</si>
  <si>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</si>
  <si>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</si>
  <si>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</si>
  <si>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</si>
  <si>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</si>
  <si>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</si>
  <si>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</si>
  <si>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</si>
  <si>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</si>
  <si>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</si>
  <si>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</si>
  <si>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</si>
  <si>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</si>
  <si>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</si>
  <si>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</si>
  <si>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</si>
  <si>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</si>
  <si>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</si>
  <si>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</si>
  <si>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</si>
  <si>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</si>
  <si>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</si>
  <si>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</si>
  <si>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</si>
  <si>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</si>
  <si>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</si>
  <si>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</si>
  <si>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</si>
  <si>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</si>
  <si>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</si>
  <si>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</si>
  <si>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</si>
  <si>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</si>
  <si>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</si>
  <si>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</si>
  <si>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</si>
  <si>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</si>
  <si>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</si>
  <si>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</si>
  <si>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</si>
  <si>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</si>
  <si>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</si>
  <si>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</si>
  <si>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</si>
  <si>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</si>
  <si>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</si>
  <si>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</si>
  <si>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</si>
  <si>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</si>
  <si>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</si>
  <si>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</si>
  <si>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</si>
  <si>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</si>
  <si>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</si>
  <si>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</si>
  <si>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</si>
  <si>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</si>
  <si>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</si>
  <si>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</si>
  <si>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</si>
  <si>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</si>
  <si>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</si>
  <si>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</si>
  <si>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</si>
  <si>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</si>
  <si>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</si>
  <si>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</si>
  <si>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</si>
  <si>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</si>
  <si>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</si>
  <si>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</si>
  <si>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</si>
  <si>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</si>
  <si>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</si>
  <si>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</si>
  <si>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</si>
  <si>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</si>
  <si>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</si>
  <si>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</si>
  <si>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</si>
  <si>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</si>
  <si>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</si>
  <si>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</si>
  <si>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</si>
  <si>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</si>
  <si>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</si>
  <si>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</si>
  <si>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</si>
  <si>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</si>
  <si>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</si>
  <si>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</si>
  <si>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</si>
  <si>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</si>
  <si>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</si>
  <si>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</si>
  <si>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</si>
  <si>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</si>
  <si>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</si>
  <si>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</si>
  <si>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</si>
  <si>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</si>
  <si>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</si>
  <si>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</si>
  <si>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</si>
  <si>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</si>
  <si>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</si>
  <si>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</si>
  <si>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</si>
  <si>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</si>
  <si>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</si>
  <si>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</si>
  <si>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</si>
  <si>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</si>
  <si>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</si>
  <si>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</si>
  <si>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</si>
  <si>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</si>
  <si>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</si>
  <si>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</si>
  <si>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</si>
  <si>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</si>
  <si>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</si>
  <si>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</si>
  <si>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</si>
  <si>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</si>
  <si>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</si>
  <si>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</si>
  <si>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</si>
  <si>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</si>
  <si>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</si>
  <si>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</si>
  <si>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</si>
  <si>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</si>
  <si>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</si>
  <si>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</si>
  <si>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</si>
  <si>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</si>
  <si>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</si>
  <si>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</si>
  <si>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</si>
  <si>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</si>
  <si>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</si>
  <si>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</si>
  <si>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</si>
  <si>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</si>
  <si>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</si>
  <si>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</si>
  <si>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</si>
  <si>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</si>
  <si>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</si>
  <si>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</si>
  <si>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</si>
  <si>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</si>
  <si>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</si>
  <si>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</si>
  <si>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</si>
  <si>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</si>
  <si>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</si>
  <si>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</si>
  <si>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</si>
  <si>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</si>
  <si>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</si>
  <si>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</si>
  <si>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</si>
  <si>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</si>
  <si>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</si>
  <si>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</si>
  <si>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</si>
  <si>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</si>
  <si>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</si>
  <si>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</si>
  <si>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</si>
  <si>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</si>
  <si>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</si>
  <si>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</si>
  <si>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</si>
  <si>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</si>
  <si>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</si>
  <si>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</si>
  <si>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</si>
  <si>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</si>
  <si>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</si>
  <si>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</si>
  <si>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</si>
  <si>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</si>
  <si>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</si>
  <si>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</si>
  <si>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</si>
  <si>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</si>
  <si>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</si>
  <si>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</si>
  <si>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</si>
  <si>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</si>
  <si>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</si>
  <si>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</si>
  <si>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</si>
  <si>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</si>
  <si>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</si>
  <si>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</si>
  <si>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</si>
  <si>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</si>
  <si>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</si>
  <si>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</si>
  <si>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</si>
  <si>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</si>
  <si>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</si>
  <si>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</si>
  <si>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</si>
  <si>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</si>
  <si>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</si>
  <si>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</si>
  <si>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</si>
  <si>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</si>
  <si>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</si>
  <si>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</si>
  <si>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</si>
  <si>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</si>
  <si>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</si>
  <si>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</si>
  <si>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</si>
  <si>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</si>
  <si>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</si>
  <si>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</si>
  <si>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</si>
  <si>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</si>
  <si>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</si>
  <si>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</si>
  <si>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</si>
  <si>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</si>
  <si>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</si>
  <si>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</si>
  <si>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</si>
  <si>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</si>
  <si>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</si>
  <si>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</si>
  <si>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</si>
  <si>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</si>
  <si>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</si>
  <si>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</si>
  <si>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</si>
  <si>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</si>
  <si>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</si>
  <si>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</si>
  <si>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</si>
  <si>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</si>
  <si>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</si>
  <si>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</si>
  <si>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</si>
  <si>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</si>
  <si>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</si>
  <si>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</si>
  <si>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</si>
  <si>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</si>
  <si>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</si>
  <si>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</si>
  <si>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</si>
  <si>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</si>
  <si>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</si>
  <si>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</si>
  <si>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</si>
  <si>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</si>
  <si>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</si>
  <si>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</si>
  <si>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</si>
  <si>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</si>
  <si>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</si>
  <si>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</si>
  <si>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</si>
  <si>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</si>
  <si>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</si>
  <si>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</si>
  <si>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</si>
  <si>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</si>
  <si>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</si>
  <si>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</si>
  <si>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</si>
  <si>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</si>
  <si>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</si>
  <si>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</si>
  <si>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</si>
  <si>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</si>
  <si>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</si>
  <si>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</si>
  <si>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</si>
  <si>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</si>
  <si>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</si>
  <si>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</si>
  <si>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</si>
  <si>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</si>
  <si>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</si>
  <si>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</si>
  <si>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</si>
  <si>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</si>
  <si>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</si>
  <si>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</si>
  <si>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</si>
  <si>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</si>
  <si>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</si>
  <si>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</si>
  <si>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</si>
  <si>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</si>
  <si>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</si>
  <si>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</si>
  <si>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</si>
  <si>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</si>
  <si>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</si>
  <si>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</si>
  <si>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</si>
  <si>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</si>
  <si>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</si>
  <si>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</si>
  <si>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</si>
  <si>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</si>
  <si>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</si>
  <si>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</si>
  <si>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</si>
  <si>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</si>
  <si>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</si>
  <si>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</si>
  <si>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</si>
  <si>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</si>
  <si>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</si>
  <si>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</si>
  <si>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</si>
  <si>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</si>
  <si>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</si>
  <si>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</si>
  <si>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</si>
  <si>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</si>
  <si>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</si>
  <si>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</si>
  <si>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</si>
  <si>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</si>
  <si>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</si>
  <si>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</si>
  <si>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</si>
  <si>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</si>
  <si>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</si>
  <si>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</si>
  <si>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</si>
  <si>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</si>
  <si>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</si>
  <si>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</si>
  <si>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</si>
  <si>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</si>
  <si>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</si>
  <si>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</si>
  <si>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</si>
  <si>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</si>
  <si>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</si>
  <si>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</si>
  <si>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</si>
  <si>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</si>
  <si>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</si>
  <si>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</si>
  <si>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</si>
  <si>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</si>
  <si>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</si>
  <si>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</si>
  <si>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</si>
  <si>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</si>
  <si>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</si>
  <si>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</si>
  <si>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</si>
  <si>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</si>
  <si>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</si>
  <si>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</si>
  <si>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</si>
  <si>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</si>
  <si>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</si>
  <si>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</si>
  <si>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</si>
  <si>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</si>
  <si>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</si>
  <si>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</si>
  <si>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</si>
  <si>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</si>
  <si>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</si>
  <si>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</si>
  <si>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</si>
  <si>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</si>
  <si>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</si>
  <si>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</si>
  <si>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</si>
  <si>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</si>
  <si>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</si>
  <si>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</si>
  <si>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</si>
  <si>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</si>
  <si>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</si>
  <si>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</si>
  <si>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</si>
  <si>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</si>
  <si>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</si>
  <si>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</si>
  <si>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</si>
  <si>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</si>
  <si>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</si>
  <si>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</si>
  <si>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</si>
  <si>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</si>
  <si>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</si>
  <si>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</si>
  <si>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</si>
  <si>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</si>
  <si>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</si>
  <si>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</si>
  <si>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</si>
  <si>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</si>
  <si>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</si>
  <si>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</si>
  <si>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</si>
  <si>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</si>
  <si>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</si>
  <si>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</si>
  <si>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</si>
  <si>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</si>
  <si>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</si>
  <si>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</si>
  <si>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</si>
  <si>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</si>
  <si>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</si>
  <si>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</si>
  <si>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</si>
  <si>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</si>
  <si>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</si>
  <si>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</si>
  <si>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</si>
  <si>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</si>
  <si>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</si>
  <si>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</si>
  <si>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</si>
  <si>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</si>
  <si>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</si>
  <si>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</si>
  <si>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</si>
  <si>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</si>
  <si>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</si>
  <si>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</si>
  <si>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</si>
  <si>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</si>
  <si>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</si>
  <si>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</si>
  <si>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</si>
  <si>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</si>
  <si>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</si>
  <si>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</si>
  <si>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</si>
  <si>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</si>
  <si>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</si>
  <si>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</si>
  <si>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</si>
  <si>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</si>
  <si>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</si>
  <si>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</si>
  <si>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</si>
  <si>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</si>
  <si>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</si>
  <si>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</si>
  <si>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</si>
  <si>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</si>
  <si>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</si>
  <si>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</si>
  <si>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</si>
  <si>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</si>
  <si>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</si>
  <si>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</si>
  <si>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</si>
  <si>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</si>
  <si>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</si>
  <si>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</si>
  <si>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</si>
  <si>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</si>
  <si>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</si>
  <si>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</si>
  <si>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</si>
  <si>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</si>
  <si>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</si>
  <si>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</si>
  <si>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</si>
  <si>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</si>
  <si>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</si>
  <si>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</si>
  <si>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</si>
  <si>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</si>
  <si>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</si>
  <si>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</si>
  <si>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</si>
  <si>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</si>
  <si>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</si>
  <si>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24045</t>
  </si>
  <si>
    <t>HULDENBERG</t>
  </si>
  <si>
    <t>Fluvius</t>
  </si>
  <si>
    <t>referentietaak LNE (2017); Jaarverslag De Lijn</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</si>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</sst>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93768.071320873205</c:v>
                </c:pt>
                <c:pt idx="1">
                  <c:v>22135.267445294368</c:v>
                </c:pt>
                <c:pt idx="2">
                  <c:v>524.81799999999998</c:v>
                </c:pt>
                <c:pt idx="3">
                  <c:v>2371.1704305310973</c:v>
                </c:pt>
                <c:pt idx="4">
                  <c:v>2428.1212096617505</c:v>
                </c:pt>
                <c:pt idx="5">
                  <c:v>62008.795446745229</c:v>
                </c:pt>
                <c:pt idx="6">
                  <c:v>2412.8694455851428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93768.071320873205</c:v>
                </c:pt>
                <c:pt idx="1">
                  <c:v>22135.267445294368</c:v>
                </c:pt>
                <c:pt idx="2">
                  <c:v>524.81799999999998</c:v>
                </c:pt>
                <c:pt idx="3">
                  <c:v>2371.1704305310973</c:v>
                </c:pt>
                <c:pt idx="4">
                  <c:v>2428.1212096617505</c:v>
                </c:pt>
                <c:pt idx="5">
                  <c:v>62008.795446745229</c:v>
                </c:pt>
                <c:pt idx="6">
                  <c:v>2412.8694455851428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18415.379374048491</c:v>
                </c:pt>
                <c:pt idx="2">
                  <c:v>4208.0797232093664</c:v>
                </c:pt>
                <c:pt idx="3">
                  <c:v>91.670083061235587</c:v>
                </c:pt>
                <c:pt idx="4">
                  <c:v>588.83322945562657</c:v>
                </c:pt>
                <c:pt idx="5">
                  <c:v>479.31621212370669</c:v>
                </c:pt>
                <c:pt idx="6">
                  <c:v>15492.407204944828</c:v>
                </c:pt>
                <c:pt idx="7">
                  <c:v>609.61529957508719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18415.379374048491</c:v>
                </c:pt>
                <c:pt idx="2">
                  <c:v>4208.0797232093664</c:v>
                </c:pt>
                <c:pt idx="3">
                  <c:v>91.670083061235587</c:v>
                </c:pt>
                <c:pt idx="4">
                  <c:v>588.83322945562657</c:v>
                </c:pt>
                <c:pt idx="5">
                  <c:v>479.31621212370669</c:v>
                </c:pt>
                <c:pt idx="6">
                  <c:v>15492.407204944828</c:v>
                </c:pt>
                <c:pt idx="7">
                  <c:v>609.61529957508719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24045</v>
      </c>
      <c r="B6" s="390"/>
      <c r="C6" s="391"/>
    </row>
    <row r="7" spans="1:7" s="388" customFormat="1" ht="15.75" customHeight="1">
      <c r="A7" s="392" t="str">
        <f>txtMunicipality</f>
        <v>HULDENBERG</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0.17467023436931581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0.17467023436931581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3802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1803.51</v>
      </c>
      <c r="C14" s="330"/>
      <c r="D14" s="330"/>
      <c r="E14" s="330"/>
      <c r="F14" s="330"/>
    </row>
    <row r="15" spans="1:6">
      <c r="A15" s="1293" t="s">
        <v>183</v>
      </c>
      <c r="B15" s="1294">
        <v>14</v>
      </c>
      <c r="C15" s="330"/>
      <c r="D15" s="330"/>
      <c r="E15" s="330"/>
      <c r="F15" s="330"/>
    </row>
    <row r="16" spans="1:6">
      <c r="A16" s="1293" t="s">
        <v>6</v>
      </c>
      <c r="B16" s="1294">
        <v>426</v>
      </c>
      <c r="C16" s="330"/>
      <c r="D16" s="330"/>
      <c r="E16" s="330"/>
      <c r="F16" s="330"/>
    </row>
    <row r="17" spans="1:6">
      <c r="A17" s="1293" t="s">
        <v>7</v>
      </c>
      <c r="B17" s="1294">
        <v>346</v>
      </c>
      <c r="C17" s="330"/>
      <c r="D17" s="330"/>
      <c r="E17" s="330"/>
      <c r="F17" s="330"/>
    </row>
    <row r="18" spans="1:6">
      <c r="A18" s="1293" t="s">
        <v>8</v>
      </c>
      <c r="B18" s="1294">
        <v>515</v>
      </c>
      <c r="C18" s="330"/>
      <c r="D18" s="330"/>
      <c r="E18" s="330"/>
      <c r="F18" s="330"/>
    </row>
    <row r="19" spans="1:6">
      <c r="A19" s="1293" t="s">
        <v>9</v>
      </c>
      <c r="B19" s="1294">
        <v>483</v>
      </c>
      <c r="C19" s="330"/>
      <c r="D19" s="330"/>
      <c r="E19" s="330"/>
      <c r="F19" s="330"/>
    </row>
    <row r="20" spans="1:6">
      <c r="A20" s="1293" t="s">
        <v>10</v>
      </c>
      <c r="B20" s="1294">
        <v>388</v>
      </c>
      <c r="C20" s="330"/>
      <c r="D20" s="330"/>
      <c r="E20" s="330"/>
      <c r="F20" s="330"/>
    </row>
    <row r="21" spans="1:6">
      <c r="A21" s="1293" t="s">
        <v>11</v>
      </c>
      <c r="B21" s="1294">
        <v>0</v>
      </c>
      <c r="C21" s="330"/>
      <c r="D21" s="330"/>
      <c r="E21" s="330"/>
      <c r="F21" s="330"/>
    </row>
    <row r="22" spans="1:6">
      <c r="A22" s="1293" t="s">
        <v>12</v>
      </c>
      <c r="B22" s="1294">
        <v>671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143</v>
      </c>
      <c r="C26" s="330"/>
      <c r="D26" s="330"/>
      <c r="E26" s="330"/>
      <c r="F26" s="330"/>
    </row>
    <row r="27" spans="1:6">
      <c r="A27" s="1293" t="s">
        <v>17</v>
      </c>
      <c r="B27" s="1294">
        <v>5</v>
      </c>
      <c r="C27" s="330"/>
      <c r="D27" s="330"/>
      <c r="E27" s="330"/>
      <c r="F27" s="330"/>
    </row>
    <row r="28" spans="1:6" s="43" customFormat="1">
      <c r="A28" s="1295" t="s">
        <v>18</v>
      </c>
      <c r="B28" s="1296">
        <v>10</v>
      </c>
      <c r="C28" s="336"/>
      <c r="D28" s="336"/>
      <c r="E28" s="336"/>
      <c r="F28" s="336"/>
    </row>
    <row r="29" spans="1:6">
      <c r="A29" s="1295" t="s">
        <v>734</v>
      </c>
      <c r="B29" s="1296">
        <v>78</v>
      </c>
      <c r="C29" s="336"/>
      <c r="D29" s="336"/>
      <c r="E29" s="336"/>
      <c r="F29" s="336"/>
    </row>
    <row r="30" spans="1:6">
      <c r="A30" s="1288" t="s">
        <v>735</v>
      </c>
      <c r="B30" s="1297">
        <v>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8688.2722839630005</v>
      </c>
    </row>
    <row r="37" spans="1:6">
      <c r="A37" s="1293" t="s">
        <v>24</v>
      </c>
      <c r="B37" s="1293" t="s">
        <v>27</v>
      </c>
      <c r="C37" s="1294">
        <v>0</v>
      </c>
      <c r="D37" s="1294">
        <v>0</v>
      </c>
      <c r="E37" s="1294">
        <v>0</v>
      </c>
      <c r="F37" s="1294">
        <v>0</v>
      </c>
    </row>
    <row r="38" spans="1:6">
      <c r="A38" s="1293" t="s">
        <v>24</v>
      </c>
      <c r="B38" s="1293" t="s">
        <v>28</v>
      </c>
      <c r="C38" s="1294">
        <v>1</v>
      </c>
      <c r="D38" s="1294">
        <v>20295.435065322199</v>
      </c>
      <c r="E38" s="1294">
        <v>2</v>
      </c>
      <c r="F38" s="1294">
        <v>10628.524783417801</v>
      </c>
    </row>
    <row r="39" spans="1:6">
      <c r="A39" s="1293" t="s">
        <v>29</v>
      </c>
      <c r="B39" s="1293" t="s">
        <v>30</v>
      </c>
      <c r="C39" s="1294">
        <v>1569</v>
      </c>
      <c r="D39" s="1294">
        <v>31767726.2032024</v>
      </c>
      <c r="E39" s="1294">
        <v>3612</v>
      </c>
      <c r="F39" s="1294">
        <v>15356998.559672</v>
      </c>
    </row>
    <row r="40" spans="1:6">
      <c r="A40" s="1293" t="s">
        <v>29</v>
      </c>
      <c r="B40" s="1293" t="s">
        <v>28</v>
      </c>
      <c r="C40" s="1294">
        <v>0</v>
      </c>
      <c r="D40" s="1294">
        <v>0</v>
      </c>
      <c r="E40" s="1294">
        <v>0</v>
      </c>
      <c r="F40" s="1294">
        <v>0</v>
      </c>
    </row>
    <row r="41" spans="1:6">
      <c r="A41" s="1293" t="s">
        <v>31</v>
      </c>
      <c r="B41" s="1293" t="s">
        <v>32</v>
      </c>
      <c r="C41" s="1294">
        <v>3</v>
      </c>
      <c r="D41" s="1294">
        <v>79309.500376356606</v>
      </c>
      <c r="E41" s="1294">
        <v>55</v>
      </c>
      <c r="F41" s="1294">
        <v>445089.79808104702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15214.040640385199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12</v>
      </c>
      <c r="D48" s="1294">
        <v>296342.98968803999</v>
      </c>
      <c r="E48" s="1294">
        <v>20</v>
      </c>
      <c r="F48" s="1294">
        <v>454124.01195698499</v>
      </c>
    </row>
    <row r="49" spans="1:6">
      <c r="A49" s="1293" t="s">
        <v>31</v>
      </c>
      <c r="B49" s="1293" t="s">
        <v>39</v>
      </c>
      <c r="C49" s="1294">
        <v>0</v>
      </c>
      <c r="D49" s="1294">
        <v>0</v>
      </c>
      <c r="E49" s="1294">
        <v>0</v>
      </c>
      <c r="F49" s="1294">
        <v>0</v>
      </c>
    </row>
    <row r="50" spans="1:6">
      <c r="A50" s="1293" t="s">
        <v>31</v>
      </c>
      <c r="B50" s="1293" t="s">
        <v>40</v>
      </c>
      <c r="C50" s="1294">
        <v>3</v>
      </c>
      <c r="D50" s="1294">
        <v>354358.59099815198</v>
      </c>
      <c r="E50" s="1294">
        <v>4</v>
      </c>
      <c r="F50" s="1294">
        <v>160596.43281822099</v>
      </c>
    </row>
    <row r="51" spans="1:6">
      <c r="A51" s="1293" t="s">
        <v>41</v>
      </c>
      <c r="B51" s="1293" t="s">
        <v>42</v>
      </c>
      <c r="C51" s="1294">
        <v>6</v>
      </c>
      <c r="D51" s="1294">
        <v>105402.238883388</v>
      </c>
      <c r="E51" s="1294">
        <v>47</v>
      </c>
      <c r="F51" s="1294">
        <v>390491.54910337698</v>
      </c>
    </row>
    <row r="52" spans="1:6">
      <c r="A52" s="1293" t="s">
        <v>41</v>
      </c>
      <c r="B52" s="1293" t="s">
        <v>28</v>
      </c>
      <c r="C52" s="1294">
        <v>3</v>
      </c>
      <c r="D52" s="1294">
        <v>80240.7287500167</v>
      </c>
      <c r="E52" s="1294">
        <v>5</v>
      </c>
      <c r="F52" s="1294">
        <v>22173.376326600799</v>
      </c>
    </row>
    <row r="53" spans="1:6">
      <c r="A53" s="1293" t="s">
        <v>43</v>
      </c>
      <c r="B53" s="1293" t="s">
        <v>44</v>
      </c>
      <c r="C53" s="1294">
        <v>41</v>
      </c>
      <c r="D53" s="1294">
        <v>2611870.3891958902</v>
      </c>
      <c r="E53" s="1294">
        <v>129</v>
      </c>
      <c r="F53" s="1294">
        <v>988557.91197401599</v>
      </c>
    </row>
    <row r="54" spans="1:6">
      <c r="A54" s="1293" t="s">
        <v>45</v>
      </c>
      <c r="B54" s="1293" t="s">
        <v>46</v>
      </c>
      <c r="C54" s="1294">
        <v>0</v>
      </c>
      <c r="D54" s="1294">
        <v>0</v>
      </c>
      <c r="E54" s="1294">
        <v>1</v>
      </c>
      <c r="F54" s="1294">
        <v>524818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v>
      </c>
      <c r="D57" s="1294">
        <v>160965.607937578</v>
      </c>
      <c r="E57" s="1294">
        <v>31</v>
      </c>
      <c r="F57" s="1294">
        <v>2842425.22982082</v>
      </c>
    </row>
    <row r="58" spans="1:6">
      <c r="A58" s="1293" t="s">
        <v>48</v>
      </c>
      <c r="B58" s="1293" t="s">
        <v>50</v>
      </c>
      <c r="C58" s="1294">
        <v>9</v>
      </c>
      <c r="D58" s="1294">
        <v>270958.39032851002</v>
      </c>
      <c r="E58" s="1294">
        <v>17</v>
      </c>
      <c r="F58" s="1294">
        <v>87547.359537407203</v>
      </c>
    </row>
    <row r="59" spans="1:6">
      <c r="A59" s="1293" t="s">
        <v>48</v>
      </c>
      <c r="B59" s="1293" t="s">
        <v>51</v>
      </c>
      <c r="C59" s="1294">
        <v>13</v>
      </c>
      <c r="D59" s="1294">
        <v>458217.587655904</v>
      </c>
      <c r="E59" s="1294">
        <v>47</v>
      </c>
      <c r="F59" s="1294">
        <v>911738.66899264802</v>
      </c>
    </row>
    <row r="60" spans="1:6">
      <c r="A60" s="1293" t="s">
        <v>48</v>
      </c>
      <c r="B60" s="1293" t="s">
        <v>52</v>
      </c>
      <c r="C60" s="1294">
        <v>12</v>
      </c>
      <c r="D60" s="1294">
        <v>441903.38608006202</v>
      </c>
      <c r="E60" s="1294">
        <v>27</v>
      </c>
      <c r="F60" s="1294">
        <v>305793.45271186798</v>
      </c>
    </row>
    <row r="61" spans="1:6">
      <c r="A61" s="1293" t="s">
        <v>48</v>
      </c>
      <c r="B61" s="1293" t="s">
        <v>53</v>
      </c>
      <c r="C61" s="1294">
        <v>57</v>
      </c>
      <c r="D61" s="1294">
        <v>3350145.1542099798</v>
      </c>
      <c r="E61" s="1294">
        <v>167</v>
      </c>
      <c r="F61" s="1294">
        <v>1906895.6476493501</v>
      </c>
    </row>
    <row r="62" spans="1:6">
      <c r="A62" s="1293" t="s">
        <v>48</v>
      </c>
      <c r="B62" s="1293" t="s">
        <v>54</v>
      </c>
      <c r="C62" s="1294">
        <v>3</v>
      </c>
      <c r="D62" s="1294">
        <v>711280.72548074904</v>
      </c>
      <c r="E62" s="1294">
        <v>0</v>
      </c>
      <c r="F62" s="1294">
        <v>0</v>
      </c>
    </row>
    <row r="63" spans="1:6">
      <c r="A63" s="1293" t="s">
        <v>48</v>
      </c>
      <c r="B63" s="1293" t="s">
        <v>28</v>
      </c>
      <c r="C63" s="1294">
        <v>67</v>
      </c>
      <c r="D63" s="1294">
        <v>2728369.9736060202</v>
      </c>
      <c r="E63" s="1294">
        <v>85</v>
      </c>
      <c r="F63" s="1294">
        <v>2085902.9994763499</v>
      </c>
    </row>
    <row r="64" spans="1:6">
      <c r="A64" s="1293" t="s">
        <v>55</v>
      </c>
      <c r="B64" s="1293" t="s">
        <v>56</v>
      </c>
      <c r="C64" s="1294">
        <v>0</v>
      </c>
      <c r="D64" s="1294">
        <v>0</v>
      </c>
      <c r="E64" s="1294">
        <v>0</v>
      </c>
      <c r="F64" s="1294">
        <v>0</v>
      </c>
    </row>
    <row r="65" spans="1:6">
      <c r="A65" s="1293" t="s">
        <v>55</v>
      </c>
      <c r="B65" s="1293" t="s">
        <v>28</v>
      </c>
      <c r="C65" s="1294">
        <v>1</v>
      </c>
      <c r="D65" s="1294">
        <v>37489.069931144499</v>
      </c>
      <c r="E65" s="1294">
        <v>2</v>
      </c>
      <c r="F65" s="1294">
        <v>11336.6977601788</v>
      </c>
    </row>
    <row r="66" spans="1:6">
      <c r="A66" s="1293" t="s">
        <v>55</v>
      </c>
      <c r="B66" s="1293" t="s">
        <v>57</v>
      </c>
      <c r="C66" s="1294">
        <v>0</v>
      </c>
      <c r="D66" s="1294">
        <v>0</v>
      </c>
      <c r="E66" s="1294">
        <v>4</v>
      </c>
      <c r="F66" s="1294">
        <v>30050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109749.018173515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36328078</v>
      </c>
      <c r="E73" s="449"/>
      <c r="F73" s="330"/>
    </row>
    <row r="74" spans="1:6">
      <c r="A74" s="1293" t="s">
        <v>63</v>
      </c>
      <c r="B74" s="1293" t="s">
        <v>656</v>
      </c>
      <c r="C74" s="1307" t="s">
        <v>658</v>
      </c>
      <c r="D74" s="1308">
        <v>1490419</v>
      </c>
      <c r="E74" s="449"/>
      <c r="F74" s="330"/>
    </row>
    <row r="75" spans="1:6">
      <c r="A75" s="1293" t="s">
        <v>64</v>
      </c>
      <c r="B75" s="1293" t="s">
        <v>655</v>
      </c>
      <c r="C75" s="1307" t="s">
        <v>659</v>
      </c>
      <c r="D75" s="1308">
        <v>34663890</v>
      </c>
      <c r="E75" s="449"/>
      <c r="F75" s="330"/>
    </row>
    <row r="76" spans="1:6">
      <c r="A76" s="1293" t="s">
        <v>64</v>
      </c>
      <c r="B76" s="1293" t="s">
        <v>656</v>
      </c>
      <c r="C76" s="1307" t="s">
        <v>660</v>
      </c>
      <c r="D76" s="1308">
        <v>892157</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658066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2002.2470333081878</v>
      </c>
      <c r="C91" s="330"/>
      <c r="D91" s="330"/>
      <c r="E91" s="330"/>
      <c r="F91" s="330"/>
    </row>
    <row r="92" spans="1:6">
      <c r="A92" s="1288" t="s">
        <v>68</v>
      </c>
      <c r="B92" s="1289">
        <v>90.111318277213542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519</v>
      </c>
      <c r="C97" s="330"/>
      <c r="D97" s="330"/>
      <c r="E97" s="330"/>
      <c r="F97" s="330"/>
    </row>
    <row r="98" spans="1:6">
      <c r="A98" s="1293" t="s">
        <v>71</v>
      </c>
      <c r="B98" s="1294">
        <v>1</v>
      </c>
      <c r="C98" s="330"/>
      <c r="D98" s="330"/>
      <c r="E98" s="330"/>
      <c r="F98" s="330"/>
    </row>
    <row r="99" spans="1:6">
      <c r="A99" s="1293" t="s">
        <v>72</v>
      </c>
      <c r="B99" s="1294">
        <v>94</v>
      </c>
      <c r="C99" s="330"/>
      <c r="D99" s="330"/>
      <c r="E99" s="330"/>
      <c r="F99" s="330"/>
    </row>
    <row r="100" spans="1:6">
      <c r="A100" s="1293" t="s">
        <v>73</v>
      </c>
      <c r="B100" s="1294">
        <v>266</v>
      </c>
      <c r="C100" s="330"/>
      <c r="D100" s="330"/>
      <c r="E100" s="330"/>
      <c r="F100" s="330"/>
    </row>
    <row r="101" spans="1:6">
      <c r="A101" s="1293" t="s">
        <v>74</v>
      </c>
      <c r="B101" s="1294">
        <v>58</v>
      </c>
      <c r="C101" s="330"/>
      <c r="D101" s="330"/>
      <c r="E101" s="330"/>
      <c r="F101" s="330"/>
    </row>
    <row r="102" spans="1:6">
      <c r="A102" s="1293" t="s">
        <v>75</v>
      </c>
      <c r="B102" s="1294">
        <v>47</v>
      </c>
      <c r="C102" s="330"/>
      <c r="D102" s="330"/>
      <c r="E102" s="330"/>
      <c r="F102" s="330"/>
    </row>
    <row r="103" spans="1:6">
      <c r="A103" s="1293" t="s">
        <v>76</v>
      </c>
      <c r="B103" s="1294">
        <v>96</v>
      </c>
      <c r="C103" s="330"/>
      <c r="D103" s="330"/>
      <c r="E103" s="330"/>
      <c r="F103" s="330"/>
    </row>
    <row r="104" spans="1:6">
      <c r="A104" s="1293" t="s">
        <v>77</v>
      </c>
      <c r="B104" s="1294">
        <v>2219</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18</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94</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33442.856328075315</v>
      </c>
      <c r="C3" s="43" t="s">
        <v>169</v>
      </c>
      <c r="D3" s="43"/>
      <c r="E3" s="154"/>
      <c r="F3" s="43"/>
      <c r="G3" s="43"/>
      <c r="H3" s="43"/>
      <c r="I3" s="43"/>
      <c r="J3" s="43"/>
      <c r="K3" s="96"/>
    </row>
    <row r="4" spans="1:11">
      <c r="A4" s="358" t="s">
        <v>170</v>
      </c>
      <c r="B4" s="49">
        <f>IF(ISERROR('SEAP template'!B78+'SEAP template'!C78),0,'SEAP template'!B78+'SEAP template'!C78)</f>
        <v>7010.8583515854016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0.17467023436931581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524.81799999999998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524.81799999999998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0.17467023436931581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91.670083061235587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15356.998559672</v>
      </c>
      <c r="C5" s="17">
        <f>IF(ISERROR('Eigen informatie GS &amp; warmtenet'!B57),0,'Eigen informatie GS &amp; warmtenet'!B57)</f>
        <v>0</v>
      </c>
      <c r="D5" s="30">
        <f>(SUM(HH_hh_gas_kWh,HH_rest_gas_kWh)/1000)*0.902</f>
        <v>28654.489035288567</v>
      </c>
      <c r="E5" s="17">
        <f>B46*B57</f>
        <v>11010.980463109599</v>
      </c>
      <c r="F5" s="17">
        <f>B51*B62</f>
        <v>26575.043174509214</v>
      </c>
      <c r="G5" s="18"/>
      <c r="H5" s="17"/>
      <c r="I5" s="17"/>
      <c r="J5" s="17">
        <f>B50*B61+C50*C61</f>
        <v>0</v>
      </c>
      <c r="K5" s="17"/>
      <c r="L5" s="17"/>
      <c r="M5" s="17"/>
      <c r="N5" s="17">
        <f>B48*B59+C48*C59</f>
        <v>9364.0197216523047</v>
      </c>
      <c r="O5" s="17">
        <f>B69*B70*B71</f>
        <v>175.09333333333336</v>
      </c>
      <c r="P5" s="17">
        <f>B77*B78*B79/1000-B77*B78*B79/1000/B80</f>
        <v>629.20000000000005</v>
      </c>
    </row>
    <row r="6" spans="1:16">
      <c r="A6" s="16" t="s">
        <v>620</v>
      </c>
      <c r="B6" s="762">
        <f>kWh_PV_kleiner_dan_10kW</f>
        <v>2002.2470333081878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17359.245592980187</v>
      </c>
      <c r="C8" s="21">
        <f>C5</f>
        <v>0</v>
      </c>
      <c r="D8" s="21">
        <f>D5</f>
        <v>28654.489035288567</v>
      </c>
      <c r="E8" s="21">
        <f>E5</f>
        <v>11010.980463109599</v>
      </c>
      <c r="F8" s="21">
        <f>F5</f>
        <v>26575.043174509214</v>
      </c>
      <c r="G8" s="21"/>
      <c r="H8" s="21"/>
      <c r="I8" s="21"/>
      <c r="J8" s="21">
        <f>J5</f>
        <v>0</v>
      </c>
      <c r="K8" s="21"/>
      <c r="L8" s="21">
        <f>L5</f>
        <v>0</v>
      </c>
      <c r="M8" s="21">
        <f>M5</f>
        <v>0</v>
      </c>
      <c r="N8" s="21">
        <f>N5</f>
        <v>9364.0197216523047</v>
      </c>
      <c r="O8" s="21">
        <f>O5</f>
        <v>175.09333333333336</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0.17467023436931581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3032.1434962003618</v>
      </c>
      <c r="C12" s="23">
        <f ca="1">C10*C8</f>
        <v>0</v>
      </c>
      <c r="D12" s="23">
        <f>D8*D10</f>
        <v>5788.2067851282909</v>
      </c>
      <c r="E12" s="23">
        <f>E10*E8</f>
        <v>2499.4925651258791</v>
      </c>
      <c r="F12" s="23">
        <f>F10*F8</f>
        <v>7095.5365275939603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519</v>
      </c>
      <c r="C18" s="166" t="s">
        <v>110</v>
      </c>
      <c r="D18" s="228"/>
      <c r="E18" s="15"/>
    </row>
    <row r="19" spans="1:7">
      <c r="A19" s="171" t="s">
        <v>71</v>
      </c>
      <c r="B19" s="37">
        <f>aantalw2001_ander</f>
        <v>1</v>
      </c>
      <c r="C19" s="166" t="s">
        <v>110</v>
      </c>
      <c r="D19" s="229"/>
      <c r="E19" s="15"/>
    </row>
    <row r="20" spans="1:7">
      <c r="A20" s="171" t="s">
        <v>72</v>
      </c>
      <c r="B20" s="37">
        <f>aantalw2001_propaan</f>
        <v>94</v>
      </c>
      <c r="C20" s="167">
        <f>IF(ISERROR(B20/SUM($B$20,$B$21,$B$22)*100),0,B20/SUM($B$20,$B$21,$B$22)*100)</f>
        <v>22.488038277511961</v>
      </c>
      <c r="D20" s="229"/>
      <c r="E20" s="15"/>
    </row>
    <row r="21" spans="1:7">
      <c r="A21" s="171" t="s">
        <v>73</v>
      </c>
      <c r="B21" s="37">
        <f>aantalw2001_elektriciteit</f>
        <v>266</v>
      </c>
      <c r="C21" s="167">
        <f>IF(ISERROR(B21/SUM($B$20,$B$21,$B$22)*100),0,B21/SUM($B$20,$B$21,$B$22)*100)</f>
        <v>63.636363636363633</v>
      </c>
      <c r="D21" s="229"/>
      <c r="E21" s="15"/>
    </row>
    <row r="22" spans="1:7">
      <c r="A22" s="171" t="s">
        <v>74</v>
      </c>
      <c r="B22" s="37">
        <f>aantalw2001_hout</f>
        <v>58</v>
      </c>
      <c r="C22" s="167">
        <f>IF(ISERROR(B22/SUM($B$20,$B$21,$B$22)*100),0,B22/SUM($B$20,$B$21,$B$22)*100)</f>
        <v>13.875598086124402</v>
      </c>
      <c r="D22" s="229"/>
      <c r="E22" s="15"/>
    </row>
    <row r="23" spans="1:7">
      <c r="A23" s="171" t="s">
        <v>75</v>
      </c>
      <c r="B23" s="37">
        <f>aantalw2001_niet_gespec</f>
        <v>47</v>
      </c>
      <c r="C23" s="166" t="s">
        <v>110</v>
      </c>
      <c r="D23" s="228"/>
      <c r="E23" s="15"/>
    </row>
    <row r="24" spans="1:7">
      <c r="A24" s="171" t="s">
        <v>76</v>
      </c>
      <c r="B24" s="37">
        <f>aantalw2001_steenkool</f>
        <v>96</v>
      </c>
      <c r="C24" s="166" t="s">
        <v>110</v>
      </c>
      <c r="D24" s="229"/>
      <c r="E24" s="15"/>
    </row>
    <row r="25" spans="1:7">
      <c r="A25" s="171" t="s">
        <v>77</v>
      </c>
      <c r="B25" s="37">
        <f>aantalw2001_stookolie</f>
        <v>2219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3802</v>
      </c>
      <c r="C28" s="36"/>
      <c r="D28" s="228"/>
    </row>
    <row r="29" spans="1:7" s="15" customFormat="1">
      <c r="A29" s="230" t="s">
        <v>781</v>
      </c>
      <c r="B29" s="37">
        <f>SUM(HH_hh_gas_aantal,HH_rest_gas_aantal)</f>
        <v>1569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1569</v>
      </c>
      <c r="C32" s="167">
        <f>IF(ISERROR(B32/SUM($B$32,$B$34,$B$35,$B$36,$B$38,$B$39)*100),0,B32/SUM($B$32,$B$34,$B$35,$B$36,$B$38,$B$39)*100)</f>
        <v>41.629079331387636</v>
      </c>
      <c r="D32" s="233"/>
      <c r="G32" s="15"/>
    </row>
    <row r="33" spans="1:7">
      <c r="A33" s="171" t="s">
        <v>71</v>
      </c>
      <c r="B33" s="34" t="s">
        <v>110</v>
      </c>
      <c r="C33" s="167"/>
      <c r="D33" s="233"/>
      <c r="G33" s="15"/>
    </row>
    <row r="34" spans="1:7">
      <c r="A34" s="171" t="s">
        <v>72</v>
      </c>
      <c r="B34" s="33">
        <f>IF((($B$28-$B$32-$B$39-$B$77-$B$38)*C20/100)&lt;0,0,($B$28-$B$32-$B$39-$B$77-$B$38)*C20/100)</f>
        <v>208.23923444976077</v>
      </c>
      <c r="C34" s="167">
        <f>IF(ISERROR(B34/SUM($B$32,$B$34,$B$35,$B$36,$B$38,$B$39)*100),0,B34/SUM($B$32,$B$34,$B$35,$B$36,$B$38,$B$39)*100)</f>
        <v>5.5250526518907082</v>
      </c>
      <c r="D34" s="233"/>
      <c r="G34" s="15"/>
    </row>
    <row r="35" spans="1:7">
      <c r="A35" s="171" t="s">
        <v>73</v>
      </c>
      <c r="B35" s="33">
        <f>IF((($B$28-$B$32-$B$39-$B$77-$B$38)*C21/100)&lt;0,0,($B$28-$B$32-$B$39-$B$77-$B$38)*C21/100)</f>
        <v>589.27272727272725</v>
      </c>
      <c r="C35" s="167">
        <f>IF(ISERROR(B35/SUM($B$32,$B$34,$B$35,$B$36,$B$38,$B$39)*100),0,B35/SUM($B$32,$B$34,$B$35,$B$36,$B$38,$B$39)*100)</f>
        <v>15.634723461733277</v>
      </c>
      <c r="D35" s="233"/>
      <c r="G35" s="15"/>
    </row>
    <row r="36" spans="1:7">
      <c r="A36" s="171" t="s">
        <v>74</v>
      </c>
      <c r="B36" s="33">
        <f>IF((($B$28-$B$32-$B$39-$B$77-$B$38)*C22/100)&lt;0,0,($B$28-$B$32-$B$39-$B$77-$B$38)*C22/100)</f>
        <v>128.48803827751198</v>
      </c>
      <c r="C36" s="167">
        <f>IF(ISERROR(B36/SUM($B$32,$B$34,$B$35,$B$36,$B$38,$B$39)*100),0,B36/SUM($B$32,$B$34,$B$35,$B$36,$B$38,$B$39)*100)</f>
        <v>3.4090750405283097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1274</v>
      </c>
      <c r="C39" s="167">
        <f>IF(ISERROR(B39/SUM($B$32,$B$34,$B$35,$B$36,$B$38,$B$39)*100),0,B39/SUM($B$32,$B$34,$B$35,$B$36,$B$38,$B$39)*100)</f>
        <v>33.802069514460072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1569</v>
      </c>
      <c r="C44" s="34" t="s">
        <v>110</v>
      </c>
      <c r="D44" s="174"/>
    </row>
    <row r="45" spans="1:7">
      <c r="A45" s="171" t="s">
        <v>71</v>
      </c>
      <c r="B45" s="33" t="str">
        <f t="shared" si="0"/>
        <v>-</v>
      </c>
      <c r="C45" s="34" t="s">
        <v>110</v>
      </c>
      <c r="D45" s="174"/>
    </row>
    <row r="46" spans="1:7">
      <c r="A46" s="171" t="s">
        <v>72</v>
      </c>
      <c r="B46" s="33">
        <f t="shared" si="0"/>
        <v>208.23923444976077</v>
      </c>
      <c r="C46" s="34" t="s">
        <v>110</v>
      </c>
      <c r="D46" s="174"/>
    </row>
    <row r="47" spans="1:7">
      <c r="A47" s="171" t="s">
        <v>73</v>
      </c>
      <c r="B47" s="33">
        <f t="shared" si="0"/>
        <v>589.27272727272725</v>
      </c>
      <c r="C47" s="34" t="s">
        <v>110</v>
      </c>
      <c r="D47" s="174"/>
    </row>
    <row r="48" spans="1:7">
      <c r="A48" s="171" t="s">
        <v>74</v>
      </c>
      <c r="B48" s="33">
        <f t="shared" si="0"/>
        <v>128.48803827751198</v>
      </c>
      <c r="C48" s="33">
        <f>B48*10</f>
        <v>1284.8803827751199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8140.3033581884429</v>
      </c>
      <c r="C5" s="17">
        <f>IF(ISERROR('Eigen informatie GS &amp; warmtenet'!B58),0,'Eigen informatie GS &amp; warmtenet'!B58)</f>
        <v>0</v>
      </c>
      <c r="D5" s="30">
        <f>SUM(D6:D12)</f>
        <v>7325.9004244195221</v>
      </c>
      <c r="E5" s="17">
        <f>SUM(E6:E12)</f>
        <v>66.755769479623993</v>
      </c>
      <c r="F5" s="17">
        <f>SUM(F6:F12)</f>
        <v>1618.3011442302868</v>
      </c>
      <c r="G5" s="18"/>
      <c r="H5" s="17"/>
      <c r="I5" s="17"/>
      <c r="J5" s="17">
        <f>SUM(J6:J12)</f>
        <v>6.674897649432239E-2</v>
      </c>
      <c r="K5" s="17"/>
      <c r="L5" s="17"/>
      <c r="M5" s="17"/>
      <c r="N5" s="17">
        <f>SUM(N6:N12)</f>
        <v>2620.2260355508156</v>
      </c>
      <c r="O5" s="17">
        <f>B38*B39*B40</f>
        <v>4.6900000000000004</v>
      </c>
      <c r="P5" s="17">
        <f>B46*B47*B48/1000-B46*B47*B48/1000/B49</f>
        <v>0</v>
      </c>
      <c r="R5" s="32"/>
    </row>
    <row r="6" spans="1:18">
      <c r="A6" s="32" t="s">
        <v>53</v>
      </c>
      <c r="B6" s="37">
        <f>B26</f>
        <v>1906.8956476493502</v>
      </c>
      <c r="C6" s="33"/>
      <c r="D6" s="37">
        <f>IF(ISERROR(TER_kantoor_gas_kWh/1000),0,TER_kantoor_gas_kWh/1000)*0.902</f>
        <v>3021.8309290974021</v>
      </c>
      <c r="E6" s="33">
        <f>$C$26*'E Balans VL '!I12/100/3.6*1000000</f>
        <v>1.1951787695909722E-2</v>
      </c>
      <c r="F6" s="33">
        <f>$C$26*('E Balans VL '!L12+'E Balans VL '!N12)/100/3.6*1000000</f>
        <v>286.55313209543056</v>
      </c>
      <c r="G6" s="34"/>
      <c r="H6" s="33"/>
      <c r="I6" s="33"/>
      <c r="J6" s="33">
        <f>$C$26*('E Balans VL '!D12+'E Balans VL '!E12)/100/3.6*1000000</f>
        <v>0</v>
      </c>
      <c r="K6" s="33"/>
      <c r="L6" s="33"/>
      <c r="M6" s="33"/>
      <c r="N6" s="33">
        <f>$C$26*'E Balans VL '!Y12/100/3.6*1000000</f>
        <v>1.8236629586690567</v>
      </c>
      <c r="O6" s="33"/>
      <c r="P6" s="33"/>
      <c r="R6" s="32"/>
    </row>
    <row r="7" spans="1:18">
      <c r="A7" s="32" t="s">
        <v>52</v>
      </c>
      <c r="B7" s="37">
        <f t="shared" ref="B7:B12" si="0">B27</f>
        <v>305.79345271186799</v>
      </c>
      <c r="C7" s="33"/>
      <c r="D7" s="37">
        <f>IF(ISERROR(TER_horeca_gas_kWh/1000),0,TER_horeca_gas_kWh/1000)*0.902</f>
        <v>398.59685424421599</v>
      </c>
      <c r="E7" s="33">
        <f>$C$27*'E Balans VL '!I9/100/3.6*1000000</f>
        <v>4.3789113073682113</v>
      </c>
      <c r="F7" s="33">
        <f>$C$27*('E Balans VL '!L9+'E Balans VL '!N9)/100/3.6*1000000</f>
        <v>38.723536569943846</v>
      </c>
      <c r="G7" s="34"/>
      <c r="H7" s="33"/>
      <c r="I7" s="33"/>
      <c r="J7" s="33">
        <f>$C$27*('E Balans VL '!D9+'E Balans VL '!E9)/100/3.6*1000000</f>
        <v>0</v>
      </c>
      <c r="K7" s="33"/>
      <c r="L7" s="33"/>
      <c r="M7" s="33"/>
      <c r="N7" s="33">
        <f>$C$27*'E Balans VL '!Y9/100/3.6*1000000</f>
        <v>8.7908875487775096E-2</v>
      </c>
      <c r="O7" s="33"/>
      <c r="P7" s="33"/>
      <c r="R7" s="32"/>
    </row>
    <row r="8" spans="1:18">
      <c r="A8" s="6" t="s">
        <v>51</v>
      </c>
      <c r="B8" s="37">
        <f t="shared" si="0"/>
        <v>911.73866899264806</v>
      </c>
      <c r="C8" s="33"/>
      <c r="D8" s="37">
        <f>IF(ISERROR(TER_handel_gas_kWh/1000),0,TER_handel_gas_kWh/1000)*0.902</f>
        <v>413.31226406562547</v>
      </c>
      <c r="E8" s="33">
        <f>$C$28*'E Balans VL '!I13/100/3.6*1000000</f>
        <v>33.068649093787748</v>
      </c>
      <c r="F8" s="33">
        <f>$C$28*('E Balans VL '!L13+'E Balans VL '!N13)/100/3.6*1000000</f>
        <v>175.61009958895605</v>
      </c>
      <c r="G8" s="34"/>
      <c r="H8" s="33"/>
      <c r="I8" s="33"/>
      <c r="J8" s="33">
        <f>$C$28*('E Balans VL '!D13+'E Balans VL '!E13)/100/3.6*1000000</f>
        <v>0</v>
      </c>
      <c r="K8" s="33"/>
      <c r="L8" s="33"/>
      <c r="M8" s="33"/>
      <c r="N8" s="33">
        <f>$C$28*'E Balans VL '!Y13/100/3.6*1000000</f>
        <v>1.2629678382665686</v>
      </c>
      <c r="O8" s="33"/>
      <c r="P8" s="33"/>
      <c r="R8" s="32"/>
    </row>
    <row r="9" spans="1:18">
      <c r="A9" s="32" t="s">
        <v>50</v>
      </c>
      <c r="B9" s="37">
        <f t="shared" si="0"/>
        <v>87.547359537407203</v>
      </c>
      <c r="C9" s="33"/>
      <c r="D9" s="37">
        <f>IF(ISERROR(TER_gezond_gas_kWh/1000),0,TER_gezond_gas_kWh/1000)*0.902</f>
        <v>244.40446807631602</v>
      </c>
      <c r="E9" s="33">
        <f>$C$29*'E Balans VL '!I10/100/3.6*1000000</f>
        <v>5.481329081058927E-3</v>
      </c>
      <c r="F9" s="33">
        <f>$C$29*('E Balans VL '!L10+'E Balans VL '!N10)/100/3.6*1000000</f>
        <v>13.00542681560615</v>
      </c>
      <c r="G9" s="34"/>
      <c r="H9" s="33"/>
      <c r="I9" s="33"/>
      <c r="J9" s="33">
        <f>$C$29*('E Balans VL '!D10+'E Balans VL '!E10)/100/3.6*1000000</f>
        <v>0</v>
      </c>
      <c r="K9" s="33"/>
      <c r="L9" s="33"/>
      <c r="M9" s="33"/>
      <c r="N9" s="33">
        <f>$C$29*'E Balans VL '!Y10/100/3.6*1000000</f>
        <v>1.3541910049227079</v>
      </c>
      <c r="O9" s="33"/>
      <c r="P9" s="33"/>
      <c r="R9" s="32"/>
    </row>
    <row r="10" spans="1:18">
      <c r="A10" s="32" t="s">
        <v>49</v>
      </c>
      <c r="B10" s="37">
        <f t="shared" si="0"/>
        <v>2842.4252298208198</v>
      </c>
      <c r="C10" s="33"/>
      <c r="D10" s="37">
        <f>IF(ISERROR(TER_ander_gas_kWh/1000),0,TER_ander_gas_kWh/1000)*0.902</f>
        <v>145.19097835969535</v>
      </c>
      <c r="E10" s="33">
        <f>$C$30*'E Balans VL '!I14/100/3.6*1000000</f>
        <v>3.3880693028312057</v>
      </c>
      <c r="F10" s="33">
        <f>$C$30*('E Balans VL '!L14+'E Balans VL '!N14)/100/3.6*1000000</f>
        <v>743.70480442179496</v>
      </c>
      <c r="G10" s="34"/>
      <c r="H10" s="33"/>
      <c r="I10" s="33"/>
      <c r="J10" s="33">
        <f>$C$30*('E Balans VL '!D14+'E Balans VL '!E14)/100/3.6*1000000</f>
        <v>6.1697909740161531E-2</v>
      </c>
      <c r="K10" s="33"/>
      <c r="L10" s="33"/>
      <c r="M10" s="33"/>
      <c r="N10" s="33">
        <f>$C$30*'E Balans VL '!Y14/100/3.6*1000000</f>
        <v>2413.717951997497</v>
      </c>
      <c r="O10" s="33"/>
      <c r="P10" s="33"/>
      <c r="R10" s="32"/>
    </row>
    <row r="11" spans="1:18">
      <c r="A11" s="32" t="s">
        <v>54</v>
      </c>
      <c r="B11" s="37">
        <f t="shared" si="0"/>
        <v>0</v>
      </c>
      <c r="C11" s="33"/>
      <c r="D11" s="37">
        <f>IF(ISERROR(TER_onderwijs_gas_kWh/1000),0,TER_onderwijs_gas_kWh/1000)*0.902</f>
        <v>641.57521438363574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2085.90299947635</v>
      </c>
      <c r="C12" s="33"/>
      <c r="D12" s="37">
        <f>IF(ISERROR(TER_rest_gas_kWh/1000),0,TER_rest_gas_kWh/1000)*0.902</f>
        <v>2460.9897161926306</v>
      </c>
      <c r="E12" s="33">
        <f>$C$32*'E Balans VL '!I8/100/3.6*1000000</f>
        <v>25.902706658859859</v>
      </c>
      <c r="F12" s="33">
        <f>$C$32*('E Balans VL '!L8+'E Balans VL '!N8)/100/3.6*1000000</f>
        <v>360.70414473855527</v>
      </c>
      <c r="G12" s="34"/>
      <c r="H12" s="33"/>
      <c r="I12" s="33"/>
      <c r="J12" s="33">
        <f>$C$32*('E Balans VL '!D8+'E Balans VL '!E8)/100/3.6*1000000</f>
        <v>5.0510667541608526E-3</v>
      </c>
      <c r="K12" s="33"/>
      <c r="L12" s="33"/>
      <c r="M12" s="33"/>
      <c r="N12" s="33">
        <f>$C$32*'E Balans VL '!Y8/100/3.6*1000000</f>
        <v>201.97935287597218</v>
      </c>
      <c r="O12" s="33"/>
      <c r="P12" s="33"/>
      <c r="R12" s="32"/>
    </row>
    <row r="13" spans="1:18">
      <c r="A13" s="16" t="s">
        <v>487</v>
      </c>
      <c r="B13" s="247">
        <f ca="1">'lokale energieproductie'!N38+'lokale energieproductie'!N31</f>
        <v>4918.5</v>
      </c>
      <c r="C13" s="247">
        <f ca="1">'lokale energieproductie'!O38+'lokale energieproductie'!O31</f>
        <v>60.75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-135</v>
      </c>
      <c r="M13" s="248"/>
      <c r="N13" s="308">
        <f ca="1">('lokale energieproductie'!Q31+'lokale energieproductie'!R31+'lokale energieproductie'!V31+'lokale energieproductie'!Q38+'lokale energieproductie'!R38+'lokale energieproductie'!V38)*(-1)</f>
        <v>-13898.571428571429</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13058.803358188443</v>
      </c>
      <c r="C16" s="21">
        <f t="shared" ca="1" si="1"/>
        <v>60.75</v>
      </c>
      <c r="D16" s="21">
        <f t="shared" ca="1" si="1"/>
        <v>7325.9004244195221</v>
      </c>
      <c r="E16" s="21">
        <f t="shared" si="1"/>
        <v>66.755769479623993</v>
      </c>
      <c r="F16" s="21">
        <f t="shared" ca="1" si="1"/>
        <v>1618.3011442302868</v>
      </c>
      <c r="G16" s="21">
        <f t="shared" si="1"/>
        <v>0</v>
      </c>
      <c r="H16" s="21">
        <f t="shared" si="1"/>
        <v>0</v>
      </c>
      <c r="I16" s="21">
        <f t="shared" si="1"/>
        <v>0</v>
      </c>
      <c r="J16" s="21">
        <f t="shared" si="1"/>
        <v>6.674897649432239E-2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0.17467023436931581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2280.9842431575835</v>
      </c>
      <c r="C20" s="23">
        <f t="shared" ref="C20:P20" ca="1" si="2">C16*C18</f>
        <v>0</v>
      </c>
      <c r="D20" s="23">
        <f t="shared" ca="1" si="2"/>
        <v>1479.8318857327436</v>
      </c>
      <c r="E20" s="23">
        <f t="shared" si="2"/>
        <v>15.153559671874646</v>
      </c>
      <c r="F20" s="23">
        <f t="shared" ca="1" si="2"/>
        <v>432.08640550948661</v>
      </c>
      <c r="G20" s="23">
        <f t="shared" si="2"/>
        <v>0</v>
      </c>
      <c r="H20" s="23">
        <f t="shared" si="2"/>
        <v>0</v>
      </c>
      <c r="I20" s="23">
        <f t="shared" si="2"/>
        <v>0</v>
      </c>
      <c r="J20" s="23">
        <f t="shared" si="2"/>
        <v>2.3629137678990126E-2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1906.8956476493502</v>
      </c>
      <c r="C26" s="39">
        <f>IF(ISERROR(B26*3.6/1000000/'E Balans VL '!Z12*100),0,B26*3.6/1000000/'E Balans VL '!Z12*100)</f>
        <v>4.0308753224598738E-2</v>
      </c>
      <c r="D26" s="237" t="s">
        <v>744</v>
      </c>
      <c r="F26" s="6"/>
    </row>
    <row r="27" spans="1:18">
      <c r="A27" s="231" t="s">
        <v>52</v>
      </c>
      <c r="B27" s="33">
        <f>IF(ISERROR(TER_horeca_ele_kWh/1000),0,TER_horeca_ele_kWh/1000)</f>
        <v>305.79345271186799</v>
      </c>
      <c r="C27" s="39">
        <f>IF(ISERROR(B27*3.6/1000000/'E Balans VL '!Z9*100),0,B27*3.6/1000000/'E Balans VL '!Z9*100)</f>
        <v>2.410558390223809E-2</v>
      </c>
      <c r="D27" s="237" t="s">
        <v>744</v>
      </c>
      <c r="F27" s="6"/>
    </row>
    <row r="28" spans="1:18">
      <c r="A28" s="171" t="s">
        <v>51</v>
      </c>
      <c r="B28" s="33">
        <f>IF(ISERROR(TER_handel_ele_kWh/1000),0,TER_handel_ele_kWh/1000)</f>
        <v>911.73866899264806</v>
      </c>
      <c r="C28" s="39">
        <f>IF(ISERROR(B28*3.6/1000000/'E Balans VL '!Z13*100),0,B28*3.6/1000000/'E Balans VL '!Z13*100)</f>
        <v>2.64623400111858E-2</v>
      </c>
      <c r="D28" s="237" t="s">
        <v>744</v>
      </c>
      <c r="F28" s="6"/>
    </row>
    <row r="29" spans="1:18">
      <c r="A29" s="231" t="s">
        <v>50</v>
      </c>
      <c r="B29" s="33">
        <f>IF(ISERROR(TER_gezond_ele_kWh/1000),0,TER_gezond_ele_kWh/1000)</f>
        <v>87.547359537407203</v>
      </c>
      <c r="C29" s="39">
        <f>IF(ISERROR(B29*3.6/1000000/'E Balans VL '!Z10*100),0,B29*3.6/1000000/'E Balans VL '!Z10*100)</f>
        <v>9.2201745248787579E-3</v>
      </c>
      <c r="D29" s="237" t="s">
        <v>744</v>
      </c>
      <c r="F29" s="6"/>
    </row>
    <row r="30" spans="1:18">
      <c r="A30" s="231" t="s">
        <v>49</v>
      </c>
      <c r="B30" s="33">
        <f>IF(ISERROR(TER_ander_ele_kWh/1000),0,TER_ander_ele_kWh/1000)</f>
        <v>2842.4252298208198</v>
      </c>
      <c r="C30" s="39">
        <f>IF(ISERROR(B30*3.6/1000000/'E Balans VL '!Z14*100),0,B30*3.6/1000000/'E Balans VL '!Z14*100)</f>
        <v>0.20965790232327255</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2085.90299947635</v>
      </c>
      <c r="C32" s="39">
        <f>IF(ISERROR(B32*3.6/1000000/'E Balans VL '!Z8*100),0,B32*3.6/1000000/'E Balans VL '!Z8*100)</f>
        <v>1.7164212930909785E-2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1075.0242834966382</v>
      </c>
      <c r="C5" s="17">
        <f>IF(ISERROR('Eigen informatie GS &amp; warmtenet'!B59),0,'Eigen informatie GS &amp; warmtenet'!B59)</f>
        <v>0</v>
      </c>
      <c r="D5" s="30">
        <f>SUM(D6:D15)</f>
        <v>658.46999511841886</v>
      </c>
      <c r="E5" s="17">
        <f>SUM(E6:E15)</f>
        <v>155.66292027965403</v>
      </c>
      <c r="F5" s="17">
        <f>SUM(F6:F15)</f>
        <v>459.24917329347602</v>
      </c>
      <c r="G5" s="18"/>
      <c r="H5" s="17"/>
      <c r="I5" s="17"/>
      <c r="J5" s="17">
        <f>SUM(J6:J15)</f>
        <v>1.6257553273528358</v>
      </c>
      <c r="K5" s="17"/>
      <c r="L5" s="17"/>
      <c r="M5" s="17"/>
      <c r="N5" s="17">
        <f>SUM(N6:N15)</f>
        <v>78.089082146210842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15.2140406403852</v>
      </c>
      <c r="C8" s="33"/>
      <c r="D8" s="37">
        <f>IF( ISERROR(IND_metaal_Gas_kWH/1000),0,IND_metaal_Gas_kWH/1000)*0.902</f>
        <v>0</v>
      </c>
      <c r="E8" s="33">
        <f>C30*'E Balans VL '!I18/100/3.6*1000000</f>
        <v>0.13987840982815242</v>
      </c>
      <c r="F8" s="33">
        <f>C30*'E Balans VL '!L18/100/3.6*1000000+C30*'E Balans VL '!N18/100/3.6*1000000</f>
        <v>1.4265704853822603</v>
      </c>
      <c r="G8" s="34"/>
      <c r="H8" s="33"/>
      <c r="I8" s="33"/>
      <c r="J8" s="40">
        <f>C30*'E Balans VL '!D18/100/3.6*1000000+C30*'E Balans VL '!E18/100/3.6*1000000</f>
        <v>0</v>
      </c>
      <c r="K8" s="33"/>
      <c r="L8" s="33"/>
      <c r="M8" s="33"/>
      <c r="N8" s="33">
        <f>C30*'E Balans VL '!Y18/100/3.6*1000000</f>
        <v>0.21705343199602009</v>
      </c>
      <c r="O8" s="33"/>
      <c r="P8" s="33"/>
      <c r="R8" s="32"/>
    </row>
    <row r="9" spans="1:18">
      <c r="A9" s="6" t="s">
        <v>32</v>
      </c>
      <c r="B9" s="37">
        <f t="shared" si="0"/>
        <v>445.08979808104704</v>
      </c>
      <c r="C9" s="33"/>
      <c r="D9" s="37">
        <f>IF( ISERROR(IND_andere_gas_kWh/1000),0,IND_andere_gas_kWh/1000)*0.902</f>
        <v>71.537169339473664</v>
      </c>
      <c r="E9" s="33">
        <f>C31*'E Balans VL '!I19/100/3.6*1000000</f>
        <v>130.10841285544242</v>
      </c>
      <c r="F9" s="33">
        <f>C31*'E Balans VL '!L19/100/3.6*1000000+C31*'E Balans VL '!N19/100/3.6*1000000</f>
        <v>357.66334296018067</v>
      </c>
      <c r="G9" s="34"/>
      <c r="H9" s="33"/>
      <c r="I9" s="33"/>
      <c r="J9" s="40">
        <f>C31*'E Balans VL '!D19/100/3.6*1000000+C31*'E Balans VL '!E19/100/3.6*1000000</f>
        <v>0</v>
      </c>
      <c r="K9" s="33"/>
      <c r="L9" s="33"/>
      <c r="M9" s="33"/>
      <c r="N9" s="33">
        <f>C31*'E Balans VL '!Y19/100/3.6*1000000</f>
        <v>34.912239254369155</v>
      </c>
      <c r="O9" s="33"/>
      <c r="P9" s="33"/>
      <c r="R9" s="32"/>
    </row>
    <row r="10" spans="1:18">
      <c r="A10" s="6" t="s">
        <v>40</v>
      </c>
      <c r="B10" s="37">
        <f t="shared" si="0"/>
        <v>160.59643281822099</v>
      </c>
      <c r="C10" s="33"/>
      <c r="D10" s="37">
        <f>IF( ISERROR(IND_voed_gas_kWh/1000),0,IND_voed_gas_kWh/1000)*0.902</f>
        <v>319.63144908033308</v>
      </c>
      <c r="E10" s="33">
        <f>C32*'E Balans VL '!I20/100/3.6*1000000</f>
        <v>0.33974424370412953</v>
      </c>
      <c r="F10" s="33">
        <f>C32*'E Balans VL '!L20/100/3.6*1000000+C32*'E Balans VL '!N20/100/3.6*1000000</f>
        <v>10.210885243028082</v>
      </c>
      <c r="G10" s="34"/>
      <c r="H10" s="33"/>
      <c r="I10" s="33"/>
      <c r="J10" s="40">
        <f>C32*'E Balans VL '!D20/100/3.6*1000000+C32*'E Balans VL '!E20/100/3.6*1000000</f>
        <v>0</v>
      </c>
      <c r="K10" s="33"/>
      <c r="L10" s="33"/>
      <c r="M10" s="33"/>
      <c r="N10" s="33">
        <f>C32*'E Balans VL '!Y20/100/3.6*1000000</f>
        <v>11.08273866878033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454.12401195698499</v>
      </c>
      <c r="C15" s="33"/>
      <c r="D15" s="37">
        <f>IF( ISERROR(IND_rest_gas_kWh/1000),0,IND_rest_gas_kWh/1000)*0.902</f>
        <v>267.3013766986121</v>
      </c>
      <c r="E15" s="33">
        <f>C37*'E Balans VL '!I15/100/3.6*1000000</f>
        <v>25.074884770679322</v>
      </c>
      <c r="F15" s="33">
        <f>C37*'E Balans VL '!L15/100/3.6*1000000+C37*'E Balans VL '!N15/100/3.6*1000000</f>
        <v>89.948374604884975</v>
      </c>
      <c r="G15" s="34"/>
      <c r="H15" s="33"/>
      <c r="I15" s="33"/>
      <c r="J15" s="40">
        <f>C37*'E Balans VL '!D15/100/3.6*1000000+C37*'E Balans VL '!E15/100/3.6*1000000</f>
        <v>1.6257553273528358</v>
      </c>
      <c r="K15" s="33"/>
      <c r="L15" s="33"/>
      <c r="M15" s="33"/>
      <c r="N15" s="33">
        <f>C37*'E Balans VL '!Y15/100/3.6*1000000</f>
        <v>31.877050791065336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1075.0242834966382</v>
      </c>
      <c r="C18" s="21">
        <f>C5+C16</f>
        <v>0</v>
      </c>
      <c r="D18" s="21">
        <f>MAX((D5+D16),0)</f>
        <v>658.46999511841886</v>
      </c>
      <c r="E18" s="21">
        <f>MAX((E5+E16),0)</f>
        <v>155.66292027965403</v>
      </c>
      <c r="F18" s="21">
        <f>MAX((F5+F16),0)</f>
        <v>459.24917329347602</v>
      </c>
      <c r="G18" s="21"/>
      <c r="H18" s="21"/>
      <c r="I18" s="21"/>
      <c r="J18" s="21">
        <f>MAX((J5+J16),0)</f>
        <v>1.6257553273528358</v>
      </c>
      <c r="K18" s="21"/>
      <c r="L18" s="21">
        <f>MAX((L5+L16),0)</f>
        <v>0</v>
      </c>
      <c r="M18" s="21"/>
      <c r="N18" s="21">
        <f>MAX((N5+N16),0)</f>
        <v>78.089082146210842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0.17467023436931581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187.77474355106358</v>
      </c>
      <c r="C22" s="23">
        <f ca="1">C18*C20</f>
        <v>0</v>
      </c>
      <c r="D22" s="23">
        <f>D18*D20</f>
        <v>133.01093901392062</v>
      </c>
      <c r="E22" s="23">
        <f>E18*E20</f>
        <v>35.335482903481463</v>
      </c>
      <c r="F22" s="23">
        <f>F18*F20</f>
        <v>122.61952926935811</v>
      </c>
      <c r="G22" s="23"/>
      <c r="H22" s="23"/>
      <c r="I22" s="23"/>
      <c r="J22" s="23">
        <f>J18*J20</f>
        <v>0.5755173858829038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15.2140406403852</v>
      </c>
      <c r="C30" s="39">
        <f>IF(ISERROR(B30*3.6/1000000/'E Balans VL '!Z18*100),0,B30*3.6/1000000/'E Balans VL '!Z18*100)</f>
        <v>8.6221869444236255E-4</v>
      </c>
      <c r="D30" s="237" t="s">
        <v>744</v>
      </c>
    </row>
    <row r="31" spans="1:18">
      <c r="A31" s="6" t="s">
        <v>32</v>
      </c>
      <c r="B31" s="37">
        <f>IF( ISERROR(IND_ander_ele_kWh/1000),0,IND_ander_ele_kWh/1000)</f>
        <v>445.08979808104704</v>
      </c>
      <c r="C31" s="39">
        <f>IF(ISERROR(B31*3.6/1000000/'E Balans VL '!Z19*100),0,B31*3.6/1000000/'E Balans VL '!Z19*100)</f>
        <v>2.018741991929358E-2</v>
      </c>
      <c r="D31" s="237" t="s">
        <v>744</v>
      </c>
    </row>
    <row r="32" spans="1:18">
      <c r="A32" s="171" t="s">
        <v>40</v>
      </c>
      <c r="B32" s="37">
        <f>IF( ISERROR(IND_voed_ele_kWh/1000),0,IND_voed_ele_kWh/1000)</f>
        <v>160.59643281822099</v>
      </c>
      <c r="C32" s="39">
        <f>IF(ISERROR(B32*3.6/1000000/'E Balans VL '!Z20*100),0,B32*3.6/1000000/'E Balans VL '!Z20*100)</f>
        <v>4.9679767133151897E-3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454.12401195698499</v>
      </c>
      <c r="C37" s="39">
        <f>IF(ISERROR(B37*3.6/1000000/'E Balans VL '!Z15*100),0,B37*3.6/1000000/'E Balans VL '!Z15*100)</f>
        <v>3.5994905120873915E-3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412.66492542997776</v>
      </c>
      <c r="C5" s="17">
        <f>'Eigen informatie GS &amp; warmtenet'!B60</f>
        <v>0</v>
      </c>
      <c r="D5" s="30">
        <f>IF(ISERROR(SUM(LB_lb_gas_kWh,LB_rest_gas_kWh)/1000),0,SUM(LB_lb_gas_kWh,LB_rest_gas_kWh)/1000)*0.902</f>
        <v>167.44995680533106</v>
      </c>
      <c r="E5" s="17">
        <f>B17*'E Balans VL '!I25/3.6*1000000/100</f>
        <v>12.129482582549358</v>
      </c>
      <c r="F5" s="17">
        <f>B17*('E Balans VL '!L25/3.6*1000000+'E Balans VL '!N25/3.6*1000000)/100</f>
        <v>1719.1397800991524</v>
      </c>
      <c r="G5" s="18"/>
      <c r="H5" s="17"/>
      <c r="I5" s="17"/>
      <c r="J5" s="17">
        <f>('E Balans VL '!D25+'E Balans VL '!E25)/3.6*1000000*landbouw!B17/100</f>
        <v>59.786285614086935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412.66492542997776</v>
      </c>
      <c r="C8" s="21">
        <f>C5+C6</f>
        <v>0</v>
      </c>
      <c r="D8" s="21">
        <f>MAX((D5+D6),0)</f>
        <v>167.44995680533106</v>
      </c>
      <c r="E8" s="21">
        <f>MAX((E5+E6),0)</f>
        <v>12.129482582549358</v>
      </c>
      <c r="F8" s="21">
        <f>MAX((F5+F6),0)</f>
        <v>1719.1397800991524</v>
      </c>
      <c r="G8" s="21"/>
      <c r="H8" s="21"/>
      <c r="I8" s="21"/>
      <c r="J8" s="21">
        <f>MAX((J5+J6),0)</f>
        <v>59.786285614086935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0.17467023436931581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72.080279240850444</v>
      </c>
      <c r="C12" s="23">
        <f ca="1">C8*C10</f>
        <v>0</v>
      </c>
      <c r="D12" s="23">
        <f>D8*D10</f>
        <v>33.824891274676872</v>
      </c>
      <c r="E12" s="23">
        <f>E8*E10</f>
        <v>2.7533925462387043</v>
      </c>
      <c r="F12" s="23">
        <f>F8*F10</f>
        <v>459.0103212864737</v>
      </c>
      <c r="G12" s="23"/>
      <c r="H12" s="23"/>
      <c r="I12" s="23"/>
      <c r="J12" s="23">
        <f>J8*J10</f>
        <v>21.164345107386772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5.8558447615233163E-2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157.99364964579567</v>
      </c>
      <c r="C26" s="247">
        <f>B26*'GWP N2O_CH4'!B5</f>
        <v>3317.8666425617089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24.706485736417456</v>
      </c>
      <c r="C27" s="247">
        <f>B27*'GWP N2O_CH4'!B5</f>
        <v>518.83620046476653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1.9724566494658369</v>
      </c>
      <c r="C28" s="247">
        <f>B28*'GWP N2O_CH4'!B4</f>
        <v>611.46156133440945</v>
      </c>
      <c r="D28" s="50"/>
    </row>
    <row r="29" spans="1:4">
      <c r="A29" s="41" t="s">
        <v>276</v>
      </c>
      <c r="B29" s="247">
        <f>B34*'ha_N2O bodem landbouw'!B4</f>
        <v>11.734069596786069</v>
      </c>
      <c r="C29" s="247">
        <f>B29*'GWP N2O_CH4'!B4</f>
        <v>3637.5615750036814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2.6776742445838086E-3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8.5472121621795193E-5</v>
      </c>
      <c r="C5" s="437" t="s">
        <v>210</v>
      </c>
      <c r="D5" s="422">
        <f>SUM(D6:D11)</f>
        <v>2.8320830578972331E-4</v>
      </c>
      <c r="E5" s="422">
        <f>SUM(E6:E11)</f>
        <v>4.7108929912795196E-4</v>
      </c>
      <c r="F5" s="435" t="s">
        <v>210</v>
      </c>
      <c r="G5" s="422">
        <f>SUM(G6:G11)</f>
        <v>0.16395016308862387</v>
      </c>
      <c r="H5" s="422">
        <f>SUM(H6:H11)</f>
        <v>4.7465452244785149E-2</v>
      </c>
      <c r="I5" s="437" t="s">
        <v>210</v>
      </c>
      <c r="J5" s="437" t="s">
        <v>210</v>
      </c>
      <c r="K5" s="437" t="s">
        <v>210</v>
      </c>
      <c r="L5" s="437" t="s">
        <v>210</v>
      </c>
      <c r="M5" s="422">
        <f>SUM(M6:M11)</f>
        <v>1.0976278548334325E-2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4.3737876108774197E-5</v>
      </c>
      <c r="C6" s="423"/>
      <c r="D6" s="865">
        <f>vkm_GW_PW*SUMIFS(TableVerdeelsleutelVkm[CNG],TableVerdeelsleutelVkm[Voertuigtype],"Lichte voertuigen")*SUMIFS(TableECFTransport[EnergieConsumptieFactor (PJ per km)],TableECFTransport[Index],CONCATENATE($A6,"_CNG_CNG"))</f>
        <v>1.0839313640799408E-4</v>
      </c>
      <c r="E6" s="865">
        <f>vkm_GW_PW*SUMIFS(TableVerdeelsleutelVkm[LPG],TableVerdeelsleutelVkm[Voertuigtype],"Lichte voertuigen")*SUMIFS(TableECFTransport[EnergieConsumptieFactor (PJ per km)],TableECFTransport[Index],CONCATENATE($A6,"_LPG_LPG"))</f>
        <v>1.8608394794881162E-4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5.7018823954814113E-2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1.8416446679398794E-2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3.8735462148009924E-3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1.4002304480019117E-2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2.3423308409647119E-7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8.1809242476891392E-4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4.1734245513020996E-5</v>
      </c>
      <c r="C8" s="423"/>
      <c r="D8" s="425">
        <f>vkm_NGW_PW*SUMIFS(TableVerdeelsleutelVkm[CNG],TableVerdeelsleutelVkm[Voertuigtype],"Lichte voertuigen")*SUMIFS(TableECFTransport[EnergieConsumptieFactor (PJ per km)],TableECFTransport[Index],CONCATENATE($A8,"_CNG_CNG"))</f>
        <v>1.7481516938172925E-4</v>
      </c>
      <c r="E8" s="425">
        <f>vkm_NGW_PW*SUMIFS(TableVerdeelsleutelVkm[LPG],TableVerdeelsleutelVkm[Voertuigtype],"Lichte voertuigen")*SUMIFS(TableECFTransport[EnergieConsumptieFactor (PJ per km)],TableECFTransport[Index],CONCATENATE($A8,"_LPG_LPG"))</f>
        <v>2.8500535117914031E-4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8.2145306522442119E-2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2.9048549112644068E-2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5.6545933652636902E-3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1.0783728131348549E-2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2.2221965819642182E-7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6.3004654350072857E-4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23.74225600605422</v>
      </c>
      <c r="C14" s="21"/>
      <c r="D14" s="21">
        <f t="shared" ref="D14:M14" si="0">((D5)*10^9/3600)+D12</f>
        <v>78.668973830478691</v>
      </c>
      <c r="E14" s="21">
        <f t="shared" si="0"/>
        <v>130.85813864665332</v>
      </c>
      <c r="F14" s="21"/>
      <c r="G14" s="21">
        <f t="shared" si="0"/>
        <v>45541.711969062191</v>
      </c>
      <c r="H14" s="21">
        <f t="shared" si="0"/>
        <v>13184.847845773653</v>
      </c>
      <c r="I14" s="21"/>
      <c r="J14" s="21"/>
      <c r="K14" s="21"/>
      <c r="L14" s="21"/>
      <c r="M14" s="21">
        <f t="shared" si="0"/>
        <v>3048.9662634262013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0.17467023436931581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4.1470654210337861</v>
      </c>
      <c r="C18" s="23"/>
      <c r="D18" s="23">
        <f t="shared" ref="D18:M18" si="1">D14*D16</f>
        <v>15.891132713756697</v>
      </c>
      <c r="E18" s="23">
        <f t="shared" si="1"/>
        <v>29.704797472790304</v>
      </c>
      <c r="F18" s="23"/>
      <c r="G18" s="23">
        <f t="shared" si="1"/>
        <v>12159.637095739607</v>
      </c>
      <c r="H18" s="23">
        <f t="shared" si="1"/>
        <v>3283.0271135976395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8.2195321291022982E-3</v>
      </c>
      <c r="H50" s="319">
        <f t="shared" si="2"/>
        <v>0</v>
      </c>
      <c r="I50" s="319">
        <f t="shared" si="2"/>
        <v>0</v>
      </c>
      <c r="J50" s="319">
        <f t="shared" si="2"/>
        <v>0</v>
      </c>
      <c r="K50" s="319">
        <f t="shared" si="2"/>
        <v>0</v>
      </c>
      <c r="L50" s="319">
        <f t="shared" si="2"/>
        <v>0</v>
      </c>
      <c r="M50" s="319">
        <f t="shared" si="2"/>
        <v>4.6679787500421559E-4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8.2195321291022982E-3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4.6679787500421559E-4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2283.2033691950828</v>
      </c>
      <c r="H54" s="21">
        <f t="shared" si="3"/>
        <v>0</v>
      </c>
      <c r="I54" s="21">
        <f t="shared" si="3"/>
        <v>0</v>
      </c>
      <c r="J54" s="21">
        <f t="shared" si="3"/>
        <v>0</v>
      </c>
      <c r="K54" s="21">
        <f t="shared" si="3"/>
        <v>0</v>
      </c>
      <c r="L54" s="21">
        <f t="shared" si="3"/>
        <v>0</v>
      </c>
      <c r="M54" s="21">
        <f t="shared" si="3"/>
        <v>129.66607639005989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0.17467023436931581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609.61529957508719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13583.621358188442</v>
      </c>
      <c r="D10" s="979">
        <f ca="1">tertiair!C16</f>
        <v>60.75</v>
      </c>
      <c r="E10" s="979">
        <f ca="1">tertiair!D16</f>
        <v>7325.9004244195221</v>
      </c>
      <c r="F10" s="979">
        <f>tertiair!E16</f>
        <v>66.755769479623993</v>
      </c>
      <c r="G10" s="979">
        <f ca="1">tertiair!F16</f>
        <v>1618.3011442302868</v>
      </c>
      <c r="H10" s="979">
        <f>tertiair!G16</f>
        <v>0</v>
      </c>
      <c r="I10" s="979">
        <f>tertiair!H16</f>
        <v>0</v>
      </c>
      <c r="J10" s="979">
        <f>tertiair!I16</f>
        <v>0</v>
      </c>
      <c r="K10" s="979">
        <f>tertiair!J16</f>
        <v>6.674897649432239E-2</v>
      </c>
      <c r="L10" s="979">
        <f>tertiair!K16</f>
        <v>0</v>
      </c>
      <c r="M10" s="979">
        <f ca="1">tertiair!L16</f>
        <v>0</v>
      </c>
      <c r="N10" s="979">
        <f>tertiair!M16</f>
        <v>0</v>
      </c>
      <c r="O10" s="979">
        <f ca="1">tertiair!N16</f>
        <v>0</v>
      </c>
      <c r="P10" s="979">
        <f>tertiair!O16</f>
        <v>4.6900000000000004</v>
      </c>
      <c r="Q10" s="980">
        <f>tertiair!P16</f>
        <v>0</v>
      </c>
      <c r="R10" s="674">
        <f ca="1">SUM(C10:Q10)</f>
        <v>22660.085445294368</v>
      </c>
      <c r="S10" s="67"/>
    </row>
    <row r="11" spans="1:19" s="447" customFormat="1">
      <c r="A11" s="783" t="s">
        <v>224</v>
      </c>
      <c r="B11" s="788"/>
      <c r="C11" s="979">
        <f>huishoudens!B8</f>
        <v>17359.245592980187</v>
      </c>
      <c r="D11" s="979">
        <f>huishoudens!C8</f>
        <v>0</v>
      </c>
      <c r="E11" s="979">
        <f>huishoudens!D8</f>
        <v>28654.489035288567</v>
      </c>
      <c r="F11" s="979">
        <f>huishoudens!E8</f>
        <v>11010.980463109599</v>
      </c>
      <c r="G11" s="979">
        <f>huishoudens!F8</f>
        <v>26575.043174509214</v>
      </c>
      <c r="H11" s="979">
        <f>huishoudens!G8</f>
        <v>0</v>
      </c>
      <c r="I11" s="979">
        <f>huishoudens!H8</f>
        <v>0</v>
      </c>
      <c r="J11" s="979">
        <f>huishoudens!I8</f>
        <v>0</v>
      </c>
      <c r="K11" s="979">
        <f>huishoudens!J8</f>
        <v>0</v>
      </c>
      <c r="L11" s="979">
        <f>huishoudens!K8</f>
        <v>0</v>
      </c>
      <c r="M11" s="979">
        <f>huishoudens!L8</f>
        <v>0</v>
      </c>
      <c r="N11" s="979">
        <f>huishoudens!M8</f>
        <v>0</v>
      </c>
      <c r="O11" s="979">
        <f>huishoudens!N8</f>
        <v>9364.0197216523047</v>
      </c>
      <c r="P11" s="979">
        <f>huishoudens!O8</f>
        <v>175.09333333333336</v>
      </c>
      <c r="Q11" s="980">
        <f>huishoudens!P8</f>
        <v>629.20000000000005</v>
      </c>
      <c r="R11" s="674">
        <f>SUM(C11:Q11)</f>
        <v>93768.071320873205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1075.0242834966382</v>
      </c>
      <c r="D13" s="979">
        <f>industrie!C18</f>
        <v>0</v>
      </c>
      <c r="E13" s="979">
        <f>industrie!D18</f>
        <v>658.46999511841886</v>
      </c>
      <c r="F13" s="979">
        <f>industrie!E18</f>
        <v>155.66292027965403</v>
      </c>
      <c r="G13" s="979">
        <f>industrie!F18</f>
        <v>459.24917329347602</v>
      </c>
      <c r="H13" s="979">
        <f>industrie!G18</f>
        <v>0</v>
      </c>
      <c r="I13" s="979">
        <f>industrie!H18</f>
        <v>0</v>
      </c>
      <c r="J13" s="979">
        <f>industrie!I18</f>
        <v>0</v>
      </c>
      <c r="K13" s="979">
        <f>industrie!J18</f>
        <v>1.6257553273528358</v>
      </c>
      <c r="L13" s="979">
        <f>industrie!K18</f>
        <v>0</v>
      </c>
      <c r="M13" s="979">
        <f>industrie!L18</f>
        <v>0</v>
      </c>
      <c r="N13" s="979">
        <f>industrie!M18</f>
        <v>0</v>
      </c>
      <c r="O13" s="979">
        <f>industrie!N18</f>
        <v>78.089082146210842</v>
      </c>
      <c r="P13" s="979">
        <f>industrie!O18</f>
        <v>0</v>
      </c>
      <c r="Q13" s="980">
        <f>industrie!P18</f>
        <v>0</v>
      </c>
      <c r="R13" s="674">
        <f>SUM(C13:Q13)</f>
        <v>2428.1212096617505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32017.891234665269</v>
      </c>
      <c r="D16" s="706">
        <f t="shared" ref="D16:R16" ca="1" si="0">SUM(D9:D15)</f>
        <v>60.75</v>
      </c>
      <c r="E16" s="706">
        <f t="shared" ca="1" si="0"/>
        <v>36638.859454826503</v>
      </c>
      <c r="F16" s="706">
        <f t="shared" si="0"/>
        <v>11233.399152868877</v>
      </c>
      <c r="G16" s="706">
        <f t="shared" ca="1" si="0"/>
        <v>28652.593492032978</v>
      </c>
      <c r="H16" s="706">
        <f t="shared" si="0"/>
        <v>0</v>
      </c>
      <c r="I16" s="706">
        <f t="shared" si="0"/>
        <v>0</v>
      </c>
      <c r="J16" s="706">
        <f t="shared" si="0"/>
        <v>0</v>
      </c>
      <c r="K16" s="706">
        <f t="shared" si="0"/>
        <v>1.6925043038471581</v>
      </c>
      <c r="L16" s="706">
        <f t="shared" si="0"/>
        <v>0</v>
      </c>
      <c r="M16" s="706">
        <f t="shared" ca="1" si="0"/>
        <v>0</v>
      </c>
      <c r="N16" s="706">
        <f t="shared" si="0"/>
        <v>0</v>
      </c>
      <c r="O16" s="706">
        <f t="shared" ca="1" si="0"/>
        <v>9442.1088037985155</v>
      </c>
      <c r="P16" s="706">
        <f t="shared" si="0"/>
        <v>179.78333333333336</v>
      </c>
      <c r="Q16" s="706">
        <f t="shared" si="0"/>
        <v>629.20000000000005</v>
      </c>
      <c r="R16" s="706">
        <f t="shared" ca="1" si="0"/>
        <v>118856.27797582933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2283.2033691950828</v>
      </c>
      <c r="I19" s="979">
        <f>transport!H54</f>
        <v>0</v>
      </c>
      <c r="J19" s="979">
        <f>transport!I54</f>
        <v>0</v>
      </c>
      <c r="K19" s="979">
        <f>transport!J54</f>
        <v>0</v>
      </c>
      <c r="L19" s="979">
        <f>transport!K54</f>
        <v>0</v>
      </c>
      <c r="M19" s="979">
        <f>transport!L54</f>
        <v>0</v>
      </c>
      <c r="N19" s="979">
        <f>transport!M54</f>
        <v>129.66607639005989</v>
      </c>
      <c r="O19" s="979">
        <f>transport!N54</f>
        <v>0</v>
      </c>
      <c r="P19" s="979">
        <f>transport!O54</f>
        <v>0</v>
      </c>
      <c r="Q19" s="980">
        <f>transport!P54</f>
        <v>0</v>
      </c>
      <c r="R19" s="674">
        <f>SUM(C19:Q19)</f>
        <v>2412.8694455851428</v>
      </c>
      <c r="S19" s="67"/>
    </row>
    <row r="20" spans="1:19" s="447" customFormat="1">
      <c r="A20" s="783" t="s">
        <v>306</v>
      </c>
      <c r="B20" s="788"/>
      <c r="C20" s="979">
        <f>transport!B14</f>
        <v>23.74225600605422</v>
      </c>
      <c r="D20" s="979">
        <f>transport!C14</f>
        <v>0</v>
      </c>
      <c r="E20" s="979">
        <f>transport!D14</f>
        <v>78.668973830478691</v>
      </c>
      <c r="F20" s="979">
        <f>transport!E14</f>
        <v>130.85813864665332</v>
      </c>
      <c r="G20" s="979">
        <f>transport!F14</f>
        <v>0</v>
      </c>
      <c r="H20" s="979">
        <f>transport!G14</f>
        <v>45541.711969062191</v>
      </c>
      <c r="I20" s="979">
        <f>transport!H14</f>
        <v>13184.847845773653</v>
      </c>
      <c r="J20" s="979">
        <f>transport!I14</f>
        <v>0</v>
      </c>
      <c r="K20" s="979">
        <f>transport!J14</f>
        <v>0</v>
      </c>
      <c r="L20" s="979">
        <f>transport!K14</f>
        <v>0</v>
      </c>
      <c r="M20" s="979">
        <f>transport!L14</f>
        <v>0</v>
      </c>
      <c r="N20" s="979">
        <f>transport!M14</f>
        <v>3048.9662634262013</v>
      </c>
      <c r="O20" s="979">
        <f>transport!N14</f>
        <v>0</v>
      </c>
      <c r="P20" s="979">
        <f>transport!O14</f>
        <v>0</v>
      </c>
      <c r="Q20" s="980">
        <f>transport!P14</f>
        <v>0</v>
      </c>
      <c r="R20" s="674">
        <f>SUM(C20:Q20)</f>
        <v>62008.795446745229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23.74225600605422</v>
      </c>
      <c r="D22" s="786">
        <f t="shared" ref="D22:R22" si="1">SUM(D18:D21)</f>
        <v>0</v>
      </c>
      <c r="E22" s="786">
        <f t="shared" si="1"/>
        <v>78.668973830478691</v>
      </c>
      <c r="F22" s="786">
        <f t="shared" si="1"/>
        <v>130.85813864665332</v>
      </c>
      <c r="G22" s="786">
        <f t="shared" si="1"/>
        <v>0</v>
      </c>
      <c r="H22" s="786">
        <f t="shared" si="1"/>
        <v>47824.915338257277</v>
      </c>
      <c r="I22" s="786">
        <f t="shared" si="1"/>
        <v>13184.847845773653</v>
      </c>
      <c r="J22" s="786">
        <f t="shared" si="1"/>
        <v>0</v>
      </c>
      <c r="K22" s="786">
        <f t="shared" si="1"/>
        <v>0</v>
      </c>
      <c r="L22" s="786">
        <f t="shared" si="1"/>
        <v>0</v>
      </c>
      <c r="M22" s="786">
        <f t="shared" si="1"/>
        <v>0</v>
      </c>
      <c r="N22" s="786">
        <f t="shared" si="1"/>
        <v>3178.6323398162613</v>
      </c>
      <c r="O22" s="786">
        <f t="shared" si="1"/>
        <v>0</v>
      </c>
      <c r="P22" s="786">
        <f t="shared" si="1"/>
        <v>0</v>
      </c>
      <c r="Q22" s="786">
        <f t="shared" si="1"/>
        <v>0</v>
      </c>
      <c r="R22" s="786">
        <f t="shared" si="1"/>
        <v>64421.664892330373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412.66492542997776</v>
      </c>
      <c r="D24" s="979">
        <f>+landbouw!C8</f>
        <v>0</v>
      </c>
      <c r="E24" s="979">
        <f>+landbouw!D8</f>
        <v>167.44995680533106</v>
      </c>
      <c r="F24" s="979">
        <f>+landbouw!E8</f>
        <v>12.129482582549358</v>
      </c>
      <c r="G24" s="979">
        <f>+landbouw!F8</f>
        <v>1719.1397800991524</v>
      </c>
      <c r="H24" s="979">
        <f>+landbouw!G8</f>
        <v>0</v>
      </c>
      <c r="I24" s="979">
        <f>+landbouw!H8</f>
        <v>0</v>
      </c>
      <c r="J24" s="979">
        <f>+landbouw!I8</f>
        <v>0</v>
      </c>
      <c r="K24" s="979">
        <f>+landbouw!J8</f>
        <v>59.786285614086935</v>
      </c>
      <c r="L24" s="979">
        <f>+landbouw!K8</f>
        <v>0</v>
      </c>
      <c r="M24" s="979">
        <f>+landbouw!L8</f>
        <v>0</v>
      </c>
      <c r="N24" s="979">
        <f>+landbouw!M8</f>
        <v>0</v>
      </c>
      <c r="O24" s="979">
        <f>+landbouw!N8</f>
        <v>0</v>
      </c>
      <c r="P24" s="979">
        <f>+landbouw!O8</f>
        <v>0</v>
      </c>
      <c r="Q24" s="980">
        <f>+landbouw!P8</f>
        <v>0</v>
      </c>
      <c r="R24" s="674">
        <f>SUM(C24:Q24)</f>
        <v>2371.1704305310973</v>
      </c>
      <c r="S24" s="67"/>
    </row>
    <row r="25" spans="1:19" s="447" customFormat="1" ht="15" thickBot="1">
      <c r="A25" s="805" t="s">
        <v>823</v>
      </c>
      <c r="B25" s="982"/>
      <c r="C25" s="983">
        <f>IF(Onbekend_ele_kWh="---",0,Onbekend_ele_kWh)/1000+IF(REST_rest_ele_kWh="---",0,REST_rest_ele_kWh)/1000</f>
        <v>988.55791197401595</v>
      </c>
      <c r="D25" s="983"/>
      <c r="E25" s="983">
        <f>IF(onbekend_gas_kWh="---",0,onbekend_gas_kWh)/1000+IF(REST_rest_gas_kWh="---",0,REST_rest_gas_kWh)/1000</f>
        <v>2611.8703891958903</v>
      </c>
      <c r="F25" s="983"/>
      <c r="G25" s="983"/>
      <c r="H25" s="983"/>
      <c r="I25" s="983"/>
      <c r="J25" s="983"/>
      <c r="K25" s="983"/>
      <c r="L25" s="983"/>
      <c r="M25" s="983"/>
      <c r="N25" s="983"/>
      <c r="O25" s="983"/>
      <c r="P25" s="983"/>
      <c r="Q25" s="984"/>
      <c r="R25" s="674">
        <f>SUM(C25:Q25)</f>
        <v>3600.4283011699063</v>
      </c>
      <c r="S25" s="67"/>
    </row>
    <row r="26" spans="1:19" s="447" customFormat="1" ht="15.75" thickBot="1">
      <c r="A26" s="679" t="s">
        <v>824</v>
      </c>
      <c r="B26" s="791"/>
      <c r="C26" s="786">
        <f>SUM(C24:C25)</f>
        <v>1401.2228374039937</v>
      </c>
      <c r="D26" s="786">
        <f t="shared" ref="D26:R26" si="2">SUM(D24:D25)</f>
        <v>0</v>
      </c>
      <c r="E26" s="786">
        <f t="shared" si="2"/>
        <v>2779.3203460012214</v>
      </c>
      <c r="F26" s="786">
        <f t="shared" si="2"/>
        <v>12.129482582549358</v>
      </c>
      <c r="G26" s="786">
        <f t="shared" si="2"/>
        <v>1719.1397800991524</v>
      </c>
      <c r="H26" s="786">
        <f t="shared" si="2"/>
        <v>0</v>
      </c>
      <c r="I26" s="786">
        <f t="shared" si="2"/>
        <v>0</v>
      </c>
      <c r="J26" s="786">
        <f t="shared" si="2"/>
        <v>0</v>
      </c>
      <c r="K26" s="786">
        <f t="shared" si="2"/>
        <v>59.786285614086935</v>
      </c>
      <c r="L26" s="786">
        <f t="shared" si="2"/>
        <v>0</v>
      </c>
      <c r="M26" s="786">
        <f t="shared" si="2"/>
        <v>0</v>
      </c>
      <c r="N26" s="786">
        <f t="shared" si="2"/>
        <v>0</v>
      </c>
      <c r="O26" s="786">
        <f t="shared" si="2"/>
        <v>0</v>
      </c>
      <c r="P26" s="786">
        <f t="shared" si="2"/>
        <v>0</v>
      </c>
      <c r="Q26" s="786">
        <f t="shared" si="2"/>
        <v>0</v>
      </c>
      <c r="R26" s="786">
        <f t="shared" si="2"/>
        <v>5971.598731701004</v>
      </c>
      <c r="S26" s="67"/>
    </row>
    <row r="27" spans="1:19" s="447" customFormat="1" ht="17.25" thickTop="1" thickBot="1">
      <c r="A27" s="680" t="s">
        <v>115</v>
      </c>
      <c r="B27" s="779"/>
      <c r="C27" s="681">
        <f ca="1">C22+C16+C26</f>
        <v>33442.856328075315</v>
      </c>
      <c r="D27" s="681">
        <f t="shared" ref="D27:R27" ca="1" si="3">D22+D16+D26</f>
        <v>60.75</v>
      </c>
      <c r="E27" s="681">
        <f t="shared" ca="1" si="3"/>
        <v>39496.848774658203</v>
      </c>
      <c r="F27" s="681">
        <f t="shared" si="3"/>
        <v>11376.38677409808</v>
      </c>
      <c r="G27" s="681">
        <f t="shared" ca="1" si="3"/>
        <v>30371.733272132129</v>
      </c>
      <c r="H27" s="681">
        <f t="shared" si="3"/>
        <v>47824.915338257277</v>
      </c>
      <c r="I27" s="681">
        <f t="shared" si="3"/>
        <v>13184.847845773653</v>
      </c>
      <c r="J27" s="681">
        <f t="shared" si="3"/>
        <v>0</v>
      </c>
      <c r="K27" s="681">
        <f t="shared" si="3"/>
        <v>61.478789917934094</v>
      </c>
      <c r="L27" s="681">
        <f t="shared" si="3"/>
        <v>0</v>
      </c>
      <c r="M27" s="681">
        <f t="shared" ca="1" si="3"/>
        <v>0</v>
      </c>
      <c r="N27" s="681">
        <f t="shared" si="3"/>
        <v>3178.6323398162613</v>
      </c>
      <c r="O27" s="681">
        <f t="shared" ca="1" si="3"/>
        <v>9442.1088037985155</v>
      </c>
      <c r="P27" s="681">
        <f t="shared" si="3"/>
        <v>179.78333333333336</v>
      </c>
      <c r="Q27" s="681">
        <f t="shared" si="3"/>
        <v>629.20000000000005</v>
      </c>
      <c r="R27" s="681">
        <f t="shared" ca="1" si="3"/>
        <v>189249.54159986071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2372.6543262188193</v>
      </c>
      <c r="D40" s="979">
        <f ca="1">tertiair!C20</f>
        <v>0</v>
      </c>
      <c r="E40" s="979">
        <f ca="1">tertiair!D20</f>
        <v>1479.8318857327436</v>
      </c>
      <c r="F40" s="979">
        <f>tertiair!E20</f>
        <v>15.153559671874646</v>
      </c>
      <c r="G40" s="979">
        <f ca="1">tertiair!F20</f>
        <v>432.08640550948661</v>
      </c>
      <c r="H40" s="979">
        <f>tertiair!G20</f>
        <v>0</v>
      </c>
      <c r="I40" s="979">
        <f>tertiair!H20</f>
        <v>0</v>
      </c>
      <c r="J40" s="979">
        <f>tertiair!I20</f>
        <v>0</v>
      </c>
      <c r="K40" s="979">
        <f>tertiair!J20</f>
        <v>2.3629137678990126E-2</v>
      </c>
      <c r="L40" s="979">
        <f>tertiair!K20</f>
        <v>0</v>
      </c>
      <c r="M40" s="979">
        <f ca="1">tertiair!L20</f>
        <v>0</v>
      </c>
      <c r="N40" s="979">
        <f>tertiair!M20</f>
        <v>0</v>
      </c>
      <c r="O40" s="979">
        <f ca="1">tertiair!N20</f>
        <v>0</v>
      </c>
      <c r="P40" s="979">
        <f>tertiair!O20</f>
        <v>0</v>
      </c>
      <c r="Q40" s="748">
        <f>tertiair!P20</f>
        <v>0</v>
      </c>
      <c r="R40" s="824">
        <f t="shared" ca="1" si="4"/>
        <v>4299.7498062706027</v>
      </c>
    </row>
    <row r="41" spans="1:18">
      <c r="A41" s="796" t="s">
        <v>224</v>
      </c>
      <c r="B41" s="803"/>
      <c r="C41" s="979">
        <f ca="1">huishoudens!B12</f>
        <v>3032.1434962003618</v>
      </c>
      <c r="D41" s="979">
        <f ca="1">huishoudens!C12</f>
        <v>0</v>
      </c>
      <c r="E41" s="979">
        <f>huishoudens!D12</f>
        <v>5788.2067851282909</v>
      </c>
      <c r="F41" s="979">
        <f>huishoudens!E12</f>
        <v>2499.4925651258791</v>
      </c>
      <c r="G41" s="979">
        <f>huishoudens!F12</f>
        <v>7095.5365275939603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18415.379374048491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187.77474355106358</v>
      </c>
      <c r="D43" s="979">
        <f ca="1">industrie!C22</f>
        <v>0</v>
      </c>
      <c r="E43" s="979">
        <f>industrie!D22</f>
        <v>133.01093901392062</v>
      </c>
      <c r="F43" s="979">
        <f>industrie!E22</f>
        <v>35.335482903481463</v>
      </c>
      <c r="G43" s="979">
        <f>industrie!F22</f>
        <v>122.61952926935811</v>
      </c>
      <c r="H43" s="979">
        <f>industrie!G22</f>
        <v>0</v>
      </c>
      <c r="I43" s="979">
        <f>industrie!H22</f>
        <v>0</v>
      </c>
      <c r="J43" s="979">
        <f>industrie!I22</f>
        <v>0</v>
      </c>
      <c r="K43" s="979">
        <f>industrie!J22</f>
        <v>0.5755173858829038</v>
      </c>
      <c r="L43" s="979">
        <f>industrie!K22</f>
        <v>0</v>
      </c>
      <c r="M43" s="979">
        <f>industrie!L22</f>
        <v>0</v>
      </c>
      <c r="N43" s="979">
        <f>industrie!M22</f>
        <v>0</v>
      </c>
      <c r="O43" s="979">
        <f>industrie!N22</f>
        <v>0</v>
      </c>
      <c r="P43" s="979">
        <f>industrie!O22</f>
        <v>0</v>
      </c>
      <c r="Q43" s="748">
        <f>industrie!P22</f>
        <v>0</v>
      </c>
      <c r="R43" s="823">
        <f t="shared" ca="1" si="4"/>
        <v>479.31621212370669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5592.5725659702448</v>
      </c>
      <c r="D46" s="706">
        <f t="shared" ref="D46:Q46" ca="1" si="5">SUM(D39:D45)</f>
        <v>0</v>
      </c>
      <c r="E46" s="706">
        <f t="shared" ca="1" si="5"/>
        <v>7401.0496098749554</v>
      </c>
      <c r="F46" s="706">
        <f t="shared" si="5"/>
        <v>2549.9816077012351</v>
      </c>
      <c r="G46" s="706">
        <f t="shared" ca="1" si="5"/>
        <v>7650.2424623728048</v>
      </c>
      <c r="H46" s="706">
        <f t="shared" si="5"/>
        <v>0</v>
      </c>
      <c r="I46" s="706">
        <f t="shared" si="5"/>
        <v>0</v>
      </c>
      <c r="J46" s="706">
        <f t="shared" si="5"/>
        <v>0</v>
      </c>
      <c r="K46" s="706">
        <f t="shared" si="5"/>
        <v>0.59914652356189391</v>
      </c>
      <c r="L46" s="706">
        <f t="shared" si="5"/>
        <v>0</v>
      </c>
      <c r="M46" s="706">
        <f t="shared" ca="1" si="5"/>
        <v>0</v>
      </c>
      <c r="N46" s="706">
        <f t="shared" si="5"/>
        <v>0</v>
      </c>
      <c r="O46" s="706">
        <f t="shared" ca="1" si="5"/>
        <v>0</v>
      </c>
      <c r="P46" s="706">
        <f t="shared" si="5"/>
        <v>0</v>
      </c>
      <c r="Q46" s="706">
        <f t="shared" si="5"/>
        <v>0</v>
      </c>
      <c r="R46" s="706">
        <f ca="1">SUM(R39:R45)</f>
        <v>23194.445392442802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609.61529957508719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609.61529957508719</v>
      </c>
    </row>
    <row r="50" spans="1:18">
      <c r="A50" s="799" t="s">
        <v>306</v>
      </c>
      <c r="B50" s="809"/>
      <c r="C50" s="677">
        <f ca="1">transport!B18</f>
        <v>4.1470654210337861</v>
      </c>
      <c r="D50" s="677">
        <f>transport!C18</f>
        <v>0</v>
      </c>
      <c r="E50" s="677">
        <f>transport!D18</f>
        <v>15.891132713756697</v>
      </c>
      <c r="F50" s="677">
        <f>transport!E18</f>
        <v>29.704797472790304</v>
      </c>
      <c r="G50" s="677">
        <f>transport!F18</f>
        <v>0</v>
      </c>
      <c r="H50" s="677">
        <f>transport!G18</f>
        <v>12159.637095739607</v>
      </c>
      <c r="I50" s="677">
        <f>transport!H18</f>
        <v>3283.0271135976395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15492.407204944828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4.1470654210337861</v>
      </c>
      <c r="D52" s="706">
        <f t="shared" ref="D52:Q52" ca="1" si="6">SUM(D48:D51)</f>
        <v>0</v>
      </c>
      <c r="E52" s="706">
        <f t="shared" si="6"/>
        <v>15.891132713756697</v>
      </c>
      <c r="F52" s="706">
        <f t="shared" si="6"/>
        <v>29.704797472790304</v>
      </c>
      <c r="G52" s="706">
        <f t="shared" si="6"/>
        <v>0</v>
      </c>
      <c r="H52" s="706">
        <f t="shared" si="6"/>
        <v>12769.252395314694</v>
      </c>
      <c r="I52" s="706">
        <f t="shared" si="6"/>
        <v>3283.0271135976395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16102.022504519915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72.080279240850444</v>
      </c>
      <c r="D54" s="677">
        <f ca="1">+landbouw!C12</f>
        <v>0</v>
      </c>
      <c r="E54" s="677">
        <f>+landbouw!D12</f>
        <v>33.824891274676872</v>
      </c>
      <c r="F54" s="677">
        <f>+landbouw!E12</f>
        <v>2.7533925462387043</v>
      </c>
      <c r="G54" s="677">
        <f>+landbouw!F12</f>
        <v>459.0103212864737</v>
      </c>
      <c r="H54" s="677">
        <f>+landbouw!G12</f>
        <v>0</v>
      </c>
      <c r="I54" s="677">
        <f>+landbouw!H12</f>
        <v>0</v>
      </c>
      <c r="J54" s="677">
        <f>+landbouw!I12</f>
        <v>0</v>
      </c>
      <c r="K54" s="677">
        <f>+landbouw!J12</f>
        <v>21.164345107386772</v>
      </c>
      <c r="L54" s="677">
        <f>+landbouw!K12</f>
        <v>0</v>
      </c>
      <c r="M54" s="677">
        <f>+landbouw!L12</f>
        <v>0</v>
      </c>
      <c r="N54" s="677">
        <f>+landbouw!M12</f>
        <v>0</v>
      </c>
      <c r="O54" s="677">
        <f>+landbouw!N12</f>
        <v>0</v>
      </c>
      <c r="P54" s="677">
        <f>+landbouw!O12</f>
        <v>0</v>
      </c>
      <c r="Q54" s="678">
        <f>+landbouw!P12</f>
        <v>0</v>
      </c>
      <c r="R54" s="705">
        <f ca="1">SUM(C54:Q54)</f>
        <v>588.83322945562657</v>
      </c>
    </row>
    <row r="55" spans="1:18" ht="15" thickBot="1">
      <c r="A55" s="799" t="s">
        <v>823</v>
      </c>
      <c r="B55" s="809"/>
      <c r="C55" s="677">
        <f ca="1">C25*'EF ele_warmte'!B12</f>
        <v>172.67164217214284</v>
      </c>
      <c r="D55" s="677"/>
      <c r="E55" s="677">
        <f>E25*EF_CO2_aardgas</f>
        <v>527.59781861756983</v>
      </c>
      <c r="F55" s="677"/>
      <c r="G55" s="677"/>
      <c r="H55" s="677"/>
      <c r="I55" s="677"/>
      <c r="J55" s="677"/>
      <c r="K55" s="677"/>
      <c r="L55" s="677"/>
      <c r="M55" s="677"/>
      <c r="N55" s="677"/>
      <c r="O55" s="677"/>
      <c r="P55" s="677"/>
      <c r="Q55" s="678"/>
      <c r="R55" s="705">
        <f ca="1">SUM(C55:Q55)</f>
        <v>700.26946078971264</v>
      </c>
    </row>
    <row r="56" spans="1:18" ht="15.75" thickBot="1">
      <c r="A56" s="797" t="s">
        <v>824</v>
      </c>
      <c r="B56" s="810"/>
      <c r="C56" s="706">
        <f ca="1">SUM(C54:C55)</f>
        <v>244.75192141299328</v>
      </c>
      <c r="D56" s="706">
        <f t="shared" ref="D56:Q56" ca="1" si="7">SUM(D54:D55)</f>
        <v>0</v>
      </c>
      <c r="E56" s="706">
        <f t="shared" si="7"/>
        <v>561.42270989224676</v>
      </c>
      <c r="F56" s="706">
        <f t="shared" si="7"/>
        <v>2.7533925462387043</v>
      </c>
      <c r="G56" s="706">
        <f t="shared" si="7"/>
        <v>459.0103212864737</v>
      </c>
      <c r="H56" s="706">
        <f t="shared" si="7"/>
        <v>0</v>
      </c>
      <c r="I56" s="706">
        <f t="shared" si="7"/>
        <v>0</v>
      </c>
      <c r="J56" s="706">
        <f t="shared" si="7"/>
        <v>0</v>
      </c>
      <c r="K56" s="706">
        <f t="shared" si="7"/>
        <v>21.164345107386772</v>
      </c>
      <c r="L56" s="706">
        <f t="shared" si="7"/>
        <v>0</v>
      </c>
      <c r="M56" s="706">
        <f t="shared" si="7"/>
        <v>0</v>
      </c>
      <c r="N56" s="706">
        <f t="shared" si="7"/>
        <v>0</v>
      </c>
      <c r="O56" s="706">
        <f t="shared" si="7"/>
        <v>0</v>
      </c>
      <c r="P56" s="706">
        <f t="shared" si="7"/>
        <v>0</v>
      </c>
      <c r="Q56" s="707">
        <f t="shared" si="7"/>
        <v>0</v>
      </c>
      <c r="R56" s="708">
        <f ca="1">SUM(R54:R55)</f>
        <v>1289.1026902453391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5841.4715528042716</v>
      </c>
      <c r="D61" s="714">
        <f t="shared" ref="D61:Q61" ca="1" si="8">D46+D52+D56</f>
        <v>0</v>
      </c>
      <c r="E61" s="714">
        <f t="shared" ca="1" si="8"/>
        <v>7978.3634524809586</v>
      </c>
      <c r="F61" s="714">
        <f t="shared" si="8"/>
        <v>2582.4397977202639</v>
      </c>
      <c r="G61" s="714">
        <f t="shared" ca="1" si="8"/>
        <v>8109.2527836592781</v>
      </c>
      <c r="H61" s="714">
        <f t="shared" si="8"/>
        <v>12769.252395314694</v>
      </c>
      <c r="I61" s="714">
        <f t="shared" si="8"/>
        <v>3283.0271135976395</v>
      </c>
      <c r="J61" s="714">
        <f t="shared" si="8"/>
        <v>0</v>
      </c>
      <c r="K61" s="714">
        <f t="shared" si="8"/>
        <v>21.763491630948668</v>
      </c>
      <c r="L61" s="714">
        <f t="shared" si="8"/>
        <v>0</v>
      </c>
      <c r="M61" s="714">
        <f t="shared" ca="1" si="8"/>
        <v>0</v>
      </c>
      <c r="N61" s="714">
        <f t="shared" si="8"/>
        <v>0</v>
      </c>
      <c r="O61" s="714">
        <f t="shared" ca="1" si="8"/>
        <v>0</v>
      </c>
      <c r="P61" s="714">
        <f t="shared" si="8"/>
        <v>0</v>
      </c>
      <c r="Q61" s="714">
        <f t="shared" si="8"/>
        <v>0</v>
      </c>
      <c r="R61" s="714">
        <f ca="1">R46+R52+R56</f>
        <v>40585.570587208051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0.17467023436931581</v>
      </c>
      <c r="D63" s="755">
        <f t="shared" ca="1" si="9"/>
        <v>0</v>
      </c>
      <c r="E63" s="990">
        <f t="shared" ca="1" si="9"/>
        <v>0.20200000000000004</v>
      </c>
      <c r="F63" s="755">
        <f t="shared" si="9"/>
        <v>0.22699999999999998</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2092.3583515854016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54</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63.529411764705884</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4864.5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13898.571428571429</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7010.8583515854016</v>
      </c>
      <c r="C78" s="729">
        <f>SUM(C72:C77)</f>
        <v>0</v>
      </c>
      <c r="D78" s="730">
        <f t="shared" ref="D78:H78" si="10">SUM(D76:D77)</f>
        <v>0</v>
      </c>
      <c r="E78" s="730">
        <f t="shared" si="10"/>
        <v>0</v>
      </c>
      <c r="F78" s="730">
        <f t="shared" si="10"/>
        <v>0</v>
      </c>
      <c r="G78" s="730">
        <f t="shared" si="10"/>
        <v>0</v>
      </c>
      <c r="H78" s="730">
        <f t="shared" si="10"/>
        <v>0</v>
      </c>
      <c r="I78" s="730">
        <f>SUM(I76:I77)</f>
        <v>63.529411764705884</v>
      </c>
      <c r="J78" s="730">
        <f>SUM(J76:J77)</f>
        <v>13898.571428571429</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60.75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71.470588235294116</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60.75</v>
      </c>
      <c r="C90" s="729">
        <f>SUM(C87:C89)</f>
        <v>0</v>
      </c>
      <c r="D90" s="729">
        <f t="shared" ref="D90:H90" si="12">SUM(D87:D89)</f>
        <v>0</v>
      </c>
      <c r="E90" s="729">
        <f t="shared" si="12"/>
        <v>0</v>
      </c>
      <c r="F90" s="729">
        <f t="shared" si="12"/>
        <v>0</v>
      </c>
      <c r="G90" s="729">
        <f t="shared" si="12"/>
        <v>0</v>
      </c>
      <c r="H90" s="729">
        <f t="shared" si="12"/>
        <v>0</v>
      </c>
      <c r="I90" s="729">
        <f>SUM(I87:I89)</f>
        <v>71.470588235294116</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2092.3583515854016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54</v>
      </c>
      <c r="C8" s="544">
        <f>B48</f>
        <v>0</v>
      </c>
      <c r="D8" s="1010"/>
      <c r="E8" s="1010">
        <f>E48</f>
        <v>0</v>
      </c>
      <c r="F8" s="1011"/>
      <c r="G8" s="545"/>
      <c r="H8" s="1010">
        <f>I48</f>
        <v>0</v>
      </c>
      <c r="I8" s="1010">
        <f>G48+F48</f>
        <v>63.529411764705884</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4864.5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7010.8583515854016</v>
      </c>
      <c r="C10" s="557">
        <f t="shared" ref="C10:L10" si="0">SUM(C8:C9)</f>
        <v>0</v>
      </c>
      <c r="D10" s="557">
        <f t="shared" si="0"/>
        <v>0</v>
      </c>
      <c r="E10" s="557">
        <f t="shared" si="0"/>
        <v>0</v>
      </c>
      <c r="F10" s="557">
        <f t="shared" si="0"/>
        <v>0</v>
      </c>
      <c r="G10" s="557">
        <f t="shared" si="0"/>
        <v>0</v>
      </c>
      <c r="H10" s="557">
        <f t="shared" si="0"/>
        <v>0</v>
      </c>
      <c r="I10" s="557">
        <f t="shared" si="0"/>
        <v>63.529411764705884</v>
      </c>
      <c r="J10" s="557">
        <f t="shared" si="0"/>
        <v>13898.571428571429</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60.75</v>
      </c>
      <c r="C17" s="569">
        <f>B49</f>
        <v>0</v>
      </c>
      <c r="D17" s="570"/>
      <c r="E17" s="570">
        <f>E49</f>
        <v>0</v>
      </c>
      <c r="F17" s="1016"/>
      <c r="G17" s="571"/>
      <c r="H17" s="569">
        <f>I49</f>
        <v>0</v>
      </c>
      <c r="I17" s="570">
        <f>G49+F49</f>
        <v>71.470588235294116</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60.75</v>
      </c>
      <c r="C20" s="556">
        <f>SUM(C17:C19)</f>
        <v>0</v>
      </c>
      <c r="D20" s="556">
        <f t="shared" ref="D20:L20" si="1">SUM(D17:D19)</f>
        <v>0</v>
      </c>
      <c r="E20" s="556">
        <f t="shared" si="1"/>
        <v>0</v>
      </c>
      <c r="F20" s="556">
        <f t="shared" si="1"/>
        <v>0</v>
      </c>
      <c r="G20" s="556">
        <f t="shared" si="1"/>
        <v>0</v>
      </c>
      <c r="H20" s="556">
        <f t="shared" si="1"/>
        <v>0</v>
      </c>
      <c r="I20" s="556">
        <f t="shared" si="1"/>
        <v>71.470588235294116</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24045</v>
      </c>
      <c r="C28" s="770">
        <v>3040</v>
      </c>
      <c r="D28" s="627" t="s">
        <v>887</v>
      </c>
      <c r="E28" s="626" t="s">
        <v>888</v>
      </c>
      <c r="F28" s="626" t="s">
        <v>889</v>
      </c>
      <c r="G28" s="626" t="s">
        <v>890</v>
      </c>
      <c r="H28" s="626" t="s">
        <v>891</v>
      </c>
      <c r="I28" s="626" t="s">
        <v>888</v>
      </c>
      <c r="J28" s="769">
        <v>40026</v>
      </c>
      <c r="K28" s="769">
        <v>40891</v>
      </c>
      <c r="L28" s="626" t="s">
        <v>892</v>
      </c>
      <c r="M28" s="626">
        <v>12</v>
      </c>
      <c r="N28" s="626">
        <v>54</v>
      </c>
      <c r="O28" s="626">
        <v>60.75</v>
      </c>
      <c r="P28" s="626">
        <v>0</v>
      </c>
      <c r="Q28" s="626">
        <v>0</v>
      </c>
      <c r="R28" s="626">
        <v>0</v>
      </c>
      <c r="S28" s="626">
        <v>0</v>
      </c>
      <c r="T28" s="626">
        <v>0</v>
      </c>
      <c r="U28" s="626">
        <v>135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12</v>
      </c>
      <c r="N29" s="584">
        <f>SUM(N28:N28)</f>
        <v>54</v>
      </c>
      <c r="O29" s="584">
        <f>SUM(O28:O28)</f>
        <v>60.75</v>
      </c>
      <c r="P29" s="584">
        <f>SUM(P28:P28)</f>
        <v>0</v>
      </c>
      <c r="Q29" s="584">
        <f>SUM(Q28:Q28)</f>
        <v>0</v>
      </c>
      <c r="R29" s="584">
        <f>SUM(R28:R28)</f>
        <v>0</v>
      </c>
      <c r="S29" s="584">
        <f>SUM(S28:S28)</f>
        <v>0</v>
      </c>
      <c r="T29" s="584">
        <f>SUM(T28:T28)</f>
        <v>0</v>
      </c>
      <c r="U29" s="584">
        <f>SUM(U28:U28)</f>
        <v>135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12</v>
      </c>
      <c r="N31" s="584">
        <f ca="1">SUMIF($Z$28:AD28,"tertiair",N28:N28)</f>
        <v>54</v>
      </c>
      <c r="O31" s="584">
        <f ca="1">SUMIF($Z$28:AE28,"tertiair",O28:O28)</f>
        <v>60.75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135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24045</v>
      </c>
      <c r="C35" s="770">
        <v>3040</v>
      </c>
      <c r="D35" s="629" t="s">
        <v>893</v>
      </c>
      <c r="E35" s="629" t="s">
        <v>894</v>
      </c>
      <c r="F35" s="629" t="s">
        <v>895</v>
      </c>
      <c r="G35" s="629" t="s">
        <v>896</v>
      </c>
      <c r="H35" s="629" t="s">
        <v>897</v>
      </c>
      <c r="I35" s="629" t="s">
        <v>898</v>
      </c>
      <c r="J35" s="769">
        <v>37659</v>
      </c>
      <c r="K35" s="769">
        <v>37712</v>
      </c>
      <c r="L35" s="629" t="s">
        <v>899</v>
      </c>
      <c r="M35" s="629">
        <v>1081</v>
      </c>
      <c r="N35" s="629">
        <v>4864.5</v>
      </c>
      <c r="O35" s="629">
        <v>0</v>
      </c>
      <c r="P35" s="629">
        <v>0</v>
      </c>
      <c r="Q35" s="629">
        <v>0</v>
      </c>
      <c r="R35" s="629">
        <v>13898.571428571429</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1081</v>
      </c>
      <c r="N36" s="584">
        <f>SUM(N35:N35)</f>
        <v>4864.5</v>
      </c>
      <c r="O36" s="584">
        <f>SUM(O35:O35)</f>
        <v>0</v>
      </c>
      <c r="P36" s="584">
        <f>SUM(P35:P35)</f>
        <v>0</v>
      </c>
      <c r="Q36" s="584">
        <f>SUM(Q35:Q35)</f>
        <v>0</v>
      </c>
      <c r="R36" s="584">
        <f>SUM(R35:R35)</f>
        <v>13898.571428571429</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1081</v>
      </c>
      <c r="N38" s="584">
        <f>SUMIF($Z$35:$Z$36,"tertiair",N35:N36)</f>
        <v>4864.5</v>
      </c>
      <c r="O38" s="584">
        <f>SUMIF($Z$35:$Z$36,"tertiair",O35:O36)</f>
        <v>0</v>
      </c>
      <c r="P38" s="584">
        <f>SUMIF($Z$35:$Z$36,"tertiair",P35:P36)</f>
        <v>0</v>
      </c>
      <c r="Q38" s="584">
        <f>SUMIF($Z$35:$Z$36,"tertiair",Q35:Q36)</f>
        <v>0</v>
      </c>
      <c r="R38" s="584">
        <f>SUMIF($Z$35:$Z$36,"tertiair",R35:R36)</f>
        <v>13898.571428571429</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63.529411764705884</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71.470588235294116</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17359.245592980187</v>
      </c>
      <c r="C4" s="451">
        <f>huishoudens!C8</f>
        <v>0</v>
      </c>
      <c r="D4" s="451">
        <f>huishoudens!D8</f>
        <v>28654.489035288567</v>
      </c>
      <c r="E4" s="451">
        <f>huishoudens!E8</f>
        <v>11010.980463109599</v>
      </c>
      <c r="F4" s="451">
        <f>huishoudens!F8</f>
        <v>26575.043174509214</v>
      </c>
      <c r="G4" s="451">
        <f>huishoudens!G8</f>
        <v>0</v>
      </c>
      <c r="H4" s="451">
        <f>huishoudens!H8</f>
        <v>0</v>
      </c>
      <c r="I4" s="451">
        <f>huishoudens!I8</f>
        <v>0</v>
      </c>
      <c r="J4" s="451">
        <f>huishoudens!J8</f>
        <v>0</v>
      </c>
      <c r="K4" s="451">
        <f>huishoudens!K8</f>
        <v>0</v>
      </c>
      <c r="L4" s="451">
        <f>huishoudens!L8</f>
        <v>0</v>
      </c>
      <c r="M4" s="451">
        <f>huishoudens!M8</f>
        <v>0</v>
      </c>
      <c r="N4" s="451">
        <f>huishoudens!N8</f>
        <v>9364.0197216523047</v>
      </c>
      <c r="O4" s="451">
        <f>huishoudens!O8</f>
        <v>175.09333333333336</v>
      </c>
      <c r="P4" s="452">
        <f>huishoudens!P8</f>
        <v>629.20000000000005</v>
      </c>
      <c r="Q4" s="453">
        <f>SUM(B4:P4)</f>
        <v>93768.071320873205</v>
      </c>
    </row>
    <row r="5" spans="1:17">
      <c r="A5" s="450" t="s">
        <v>155</v>
      </c>
      <c r="B5" s="451">
        <f ca="1">tertiair!B16</f>
        <v>13058.803358188443</v>
      </c>
      <c r="C5" s="451">
        <f ca="1">tertiair!C16</f>
        <v>60.75</v>
      </c>
      <c r="D5" s="451">
        <f ca="1">tertiair!D16</f>
        <v>7325.9004244195221</v>
      </c>
      <c r="E5" s="451">
        <f>tertiair!E16</f>
        <v>66.755769479623993</v>
      </c>
      <c r="F5" s="451">
        <f ca="1">tertiair!F16</f>
        <v>1618.3011442302868</v>
      </c>
      <c r="G5" s="451">
        <f>tertiair!G16</f>
        <v>0</v>
      </c>
      <c r="H5" s="451">
        <f>tertiair!H16</f>
        <v>0</v>
      </c>
      <c r="I5" s="451">
        <f>tertiair!I16</f>
        <v>0</v>
      </c>
      <c r="J5" s="451">
        <f>tertiair!J16</f>
        <v>6.674897649432239E-2</v>
      </c>
      <c r="K5" s="451">
        <f>tertiair!K16</f>
        <v>0</v>
      </c>
      <c r="L5" s="451">
        <f ca="1">tertiair!L16</f>
        <v>0</v>
      </c>
      <c r="M5" s="451">
        <f>tertiair!M16</f>
        <v>0</v>
      </c>
      <c r="N5" s="451">
        <f ca="1">tertiair!N16</f>
        <v>0</v>
      </c>
      <c r="O5" s="451">
        <f>tertiair!O16</f>
        <v>4.6900000000000004</v>
      </c>
      <c r="P5" s="452">
        <f>tertiair!P16</f>
        <v>0</v>
      </c>
      <c r="Q5" s="450">
        <f t="shared" ref="Q5:Q14" ca="1" si="0">SUM(B5:P5)</f>
        <v>22135.267445294368</v>
      </c>
    </row>
    <row r="6" spans="1:17">
      <c r="A6" s="450" t="s">
        <v>193</v>
      </c>
      <c r="B6" s="451">
        <f>'openbare verlichting'!B8</f>
        <v>524.81799999999998</v>
      </c>
      <c r="C6" s="451"/>
      <c r="D6" s="451"/>
      <c r="E6" s="451"/>
      <c r="F6" s="451"/>
      <c r="G6" s="451"/>
      <c r="H6" s="451"/>
      <c r="I6" s="451"/>
      <c r="J6" s="451"/>
      <c r="K6" s="451"/>
      <c r="L6" s="451"/>
      <c r="M6" s="451"/>
      <c r="N6" s="451"/>
      <c r="O6" s="451"/>
      <c r="P6" s="452"/>
      <c r="Q6" s="450">
        <f t="shared" si="0"/>
        <v>524.81799999999998</v>
      </c>
    </row>
    <row r="7" spans="1:17">
      <c r="A7" s="450" t="s">
        <v>111</v>
      </c>
      <c r="B7" s="451">
        <f>landbouw!B8</f>
        <v>412.66492542997776</v>
      </c>
      <c r="C7" s="451">
        <f>landbouw!C8</f>
        <v>0</v>
      </c>
      <c r="D7" s="451">
        <f>landbouw!D8</f>
        <v>167.44995680533106</v>
      </c>
      <c r="E7" s="451">
        <f>landbouw!E8</f>
        <v>12.129482582549358</v>
      </c>
      <c r="F7" s="451">
        <f>landbouw!F8</f>
        <v>1719.1397800991524</v>
      </c>
      <c r="G7" s="451">
        <f>landbouw!G8</f>
        <v>0</v>
      </c>
      <c r="H7" s="451">
        <f>landbouw!H8</f>
        <v>0</v>
      </c>
      <c r="I7" s="451">
        <f>landbouw!I8</f>
        <v>0</v>
      </c>
      <c r="J7" s="451">
        <f>landbouw!J8</f>
        <v>59.786285614086935</v>
      </c>
      <c r="K7" s="451">
        <f>landbouw!K8</f>
        <v>0</v>
      </c>
      <c r="L7" s="451">
        <f>landbouw!L8</f>
        <v>0</v>
      </c>
      <c r="M7" s="451">
        <f>landbouw!M8</f>
        <v>0</v>
      </c>
      <c r="N7" s="451">
        <f>landbouw!N8</f>
        <v>0</v>
      </c>
      <c r="O7" s="451">
        <f>landbouw!O8</f>
        <v>0</v>
      </c>
      <c r="P7" s="452">
        <f>landbouw!P8</f>
        <v>0</v>
      </c>
      <c r="Q7" s="450">
        <f t="shared" si="0"/>
        <v>2371.1704305310973</v>
      </c>
    </row>
    <row r="8" spans="1:17">
      <c r="A8" s="450" t="s">
        <v>634</v>
      </c>
      <c r="B8" s="451">
        <f>industrie!B18</f>
        <v>1075.0242834966382</v>
      </c>
      <c r="C8" s="451">
        <f>industrie!C18</f>
        <v>0</v>
      </c>
      <c r="D8" s="451">
        <f>industrie!D18</f>
        <v>658.46999511841886</v>
      </c>
      <c r="E8" s="451">
        <f>industrie!E18</f>
        <v>155.66292027965403</v>
      </c>
      <c r="F8" s="451">
        <f>industrie!F18</f>
        <v>459.24917329347602</v>
      </c>
      <c r="G8" s="451">
        <f>industrie!G18</f>
        <v>0</v>
      </c>
      <c r="H8" s="451">
        <f>industrie!H18</f>
        <v>0</v>
      </c>
      <c r="I8" s="451">
        <f>industrie!I18</f>
        <v>0</v>
      </c>
      <c r="J8" s="451">
        <f>industrie!J18</f>
        <v>1.6257553273528358</v>
      </c>
      <c r="K8" s="451">
        <f>industrie!K18</f>
        <v>0</v>
      </c>
      <c r="L8" s="451">
        <f>industrie!L18</f>
        <v>0</v>
      </c>
      <c r="M8" s="451">
        <f>industrie!M18</f>
        <v>0</v>
      </c>
      <c r="N8" s="451">
        <f>industrie!N18</f>
        <v>78.089082146210842</v>
      </c>
      <c r="O8" s="451">
        <f>industrie!O18</f>
        <v>0</v>
      </c>
      <c r="P8" s="452">
        <f>industrie!P18</f>
        <v>0</v>
      </c>
      <c r="Q8" s="450">
        <f t="shared" si="0"/>
        <v>2428.1212096617505</v>
      </c>
    </row>
    <row r="9" spans="1:17" s="456" customFormat="1">
      <c r="A9" s="454" t="s">
        <v>560</v>
      </c>
      <c r="B9" s="455">
        <f>transport!B14</f>
        <v>23.74225600605422</v>
      </c>
      <c r="C9" s="455">
        <f>transport!C14</f>
        <v>0</v>
      </c>
      <c r="D9" s="455">
        <f>transport!D14</f>
        <v>78.668973830478691</v>
      </c>
      <c r="E9" s="455">
        <f>transport!E14</f>
        <v>130.85813864665332</v>
      </c>
      <c r="F9" s="455">
        <f>transport!F14</f>
        <v>0</v>
      </c>
      <c r="G9" s="455">
        <f>transport!G14</f>
        <v>45541.711969062191</v>
      </c>
      <c r="H9" s="455">
        <f>transport!H14</f>
        <v>13184.847845773653</v>
      </c>
      <c r="I9" s="455">
        <f>transport!I14</f>
        <v>0</v>
      </c>
      <c r="J9" s="455">
        <f>transport!J14</f>
        <v>0</v>
      </c>
      <c r="K9" s="455">
        <f>transport!K14</f>
        <v>0</v>
      </c>
      <c r="L9" s="455">
        <f>transport!L14</f>
        <v>0</v>
      </c>
      <c r="M9" s="455">
        <f>transport!M14</f>
        <v>3048.9662634262013</v>
      </c>
      <c r="N9" s="455">
        <f>transport!N14</f>
        <v>0</v>
      </c>
      <c r="O9" s="455">
        <f>transport!O14</f>
        <v>0</v>
      </c>
      <c r="P9" s="455">
        <f>transport!P14</f>
        <v>0</v>
      </c>
      <c r="Q9" s="454">
        <f>SUM(B9:P9)</f>
        <v>62008.795446745229</v>
      </c>
    </row>
    <row r="10" spans="1:17">
      <c r="A10" s="450" t="s">
        <v>550</v>
      </c>
      <c r="B10" s="451">
        <f>transport!B54</f>
        <v>0</v>
      </c>
      <c r="C10" s="451">
        <f>transport!C54</f>
        <v>0</v>
      </c>
      <c r="D10" s="451">
        <f>transport!D54</f>
        <v>0</v>
      </c>
      <c r="E10" s="451">
        <f>transport!E54</f>
        <v>0</v>
      </c>
      <c r="F10" s="451">
        <f>transport!F54</f>
        <v>0</v>
      </c>
      <c r="G10" s="451">
        <f>transport!G54</f>
        <v>2283.2033691950828</v>
      </c>
      <c r="H10" s="451">
        <f>transport!H54</f>
        <v>0</v>
      </c>
      <c r="I10" s="451">
        <f>transport!I54</f>
        <v>0</v>
      </c>
      <c r="J10" s="451">
        <f>transport!J54</f>
        <v>0</v>
      </c>
      <c r="K10" s="451">
        <f>transport!K54</f>
        <v>0</v>
      </c>
      <c r="L10" s="451">
        <f>transport!L54</f>
        <v>0</v>
      </c>
      <c r="M10" s="451">
        <f>transport!M54</f>
        <v>129.66607639005989</v>
      </c>
      <c r="N10" s="451">
        <f>transport!N54</f>
        <v>0</v>
      </c>
      <c r="O10" s="451">
        <f>transport!O54</f>
        <v>0</v>
      </c>
      <c r="P10" s="452">
        <f>transport!P54</f>
        <v>0</v>
      </c>
      <c r="Q10" s="450">
        <f t="shared" si="0"/>
        <v>2412.8694455851428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988.55791197401595</v>
      </c>
      <c r="C14" s="458"/>
      <c r="D14" s="458">
        <f>'SEAP template'!E25</f>
        <v>2611.8703891958903</v>
      </c>
      <c r="E14" s="458"/>
      <c r="F14" s="458"/>
      <c r="G14" s="458"/>
      <c r="H14" s="458"/>
      <c r="I14" s="458"/>
      <c r="J14" s="458"/>
      <c r="K14" s="458"/>
      <c r="L14" s="458"/>
      <c r="M14" s="458"/>
      <c r="N14" s="458"/>
      <c r="O14" s="458"/>
      <c r="P14" s="459"/>
      <c r="Q14" s="450">
        <f t="shared" si="0"/>
        <v>3600.4283011699063</v>
      </c>
    </row>
    <row r="15" spans="1:17" s="460" customFormat="1">
      <c r="A15" s="1005" t="s">
        <v>554</v>
      </c>
      <c r="B15" s="953">
        <f ca="1">SUM(B4:B14)</f>
        <v>33442.856328075315</v>
      </c>
      <c r="C15" s="953">
        <f t="shared" ref="C15:Q15" ca="1" si="1">SUM(C4:C14)</f>
        <v>60.75</v>
      </c>
      <c r="D15" s="953">
        <f t="shared" ca="1" si="1"/>
        <v>39496.848774658196</v>
      </c>
      <c r="E15" s="953">
        <f t="shared" si="1"/>
        <v>11376.38677409808</v>
      </c>
      <c r="F15" s="953">
        <f t="shared" ca="1" si="1"/>
        <v>30371.733272132129</v>
      </c>
      <c r="G15" s="953">
        <f t="shared" si="1"/>
        <v>47824.915338257277</v>
      </c>
      <c r="H15" s="953">
        <f t="shared" si="1"/>
        <v>13184.847845773653</v>
      </c>
      <c r="I15" s="953">
        <f t="shared" si="1"/>
        <v>0</v>
      </c>
      <c r="J15" s="953">
        <f t="shared" si="1"/>
        <v>61.478789917934094</v>
      </c>
      <c r="K15" s="953">
        <f t="shared" si="1"/>
        <v>0</v>
      </c>
      <c r="L15" s="953">
        <f t="shared" ca="1" si="1"/>
        <v>0</v>
      </c>
      <c r="M15" s="953">
        <f t="shared" si="1"/>
        <v>3178.6323398162613</v>
      </c>
      <c r="N15" s="953">
        <f t="shared" ca="1" si="1"/>
        <v>9442.1088037985155</v>
      </c>
      <c r="O15" s="953">
        <f t="shared" si="1"/>
        <v>179.78333333333336</v>
      </c>
      <c r="P15" s="953">
        <f t="shared" si="1"/>
        <v>629.20000000000005</v>
      </c>
      <c r="Q15" s="953">
        <f t="shared" ca="1" si="1"/>
        <v>189249.54159986074</v>
      </c>
    </row>
    <row r="17" spans="1:17">
      <c r="A17" s="461" t="s">
        <v>555</v>
      </c>
      <c r="B17" s="760">
        <f ca="1">huishoudens!B10</f>
        <v>0.17467023436931581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3032.1434962003618</v>
      </c>
      <c r="C22" s="451">
        <f t="shared" ref="C22:C32" ca="1" si="3">C4*$C$17</f>
        <v>0</v>
      </c>
      <c r="D22" s="451">
        <f t="shared" ref="D22:D32" si="4">D4*$D$17</f>
        <v>5788.2067851282909</v>
      </c>
      <c r="E22" s="451">
        <f t="shared" ref="E22:E32" si="5">E4*$E$17</f>
        <v>2499.4925651258791</v>
      </c>
      <c r="F22" s="451">
        <f t="shared" ref="F22:F32" si="6">F4*$F$17</f>
        <v>7095.5365275939603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18415.379374048491</v>
      </c>
    </row>
    <row r="23" spans="1:17">
      <c r="A23" s="450" t="s">
        <v>155</v>
      </c>
      <c r="B23" s="451">
        <f t="shared" ca="1" si="2"/>
        <v>2280.9842431575835</v>
      </c>
      <c r="C23" s="451">
        <f t="shared" ca="1" si="3"/>
        <v>0</v>
      </c>
      <c r="D23" s="451">
        <f t="shared" ca="1" si="4"/>
        <v>1479.8318857327436</v>
      </c>
      <c r="E23" s="451">
        <f t="shared" si="5"/>
        <v>15.153559671874646</v>
      </c>
      <c r="F23" s="451">
        <f t="shared" ca="1" si="6"/>
        <v>432.08640550948661</v>
      </c>
      <c r="G23" s="451">
        <f t="shared" si="7"/>
        <v>0</v>
      </c>
      <c r="H23" s="451">
        <f t="shared" si="8"/>
        <v>0</v>
      </c>
      <c r="I23" s="451">
        <f t="shared" si="9"/>
        <v>0</v>
      </c>
      <c r="J23" s="451">
        <f t="shared" si="10"/>
        <v>2.3629137678990126E-2</v>
      </c>
      <c r="K23" s="451">
        <f t="shared" si="11"/>
        <v>0</v>
      </c>
      <c r="L23" s="451">
        <f t="shared" ca="1" si="12"/>
        <v>0</v>
      </c>
      <c r="M23" s="451">
        <f t="shared" si="13"/>
        <v>0</v>
      </c>
      <c r="N23" s="451">
        <f t="shared" ca="1" si="14"/>
        <v>0</v>
      </c>
      <c r="O23" s="451">
        <f t="shared" si="15"/>
        <v>0</v>
      </c>
      <c r="P23" s="452">
        <f t="shared" si="16"/>
        <v>0</v>
      </c>
      <c r="Q23" s="450">
        <f t="shared" ref="Q23:Q32" ca="1" si="17">SUM(B23:P23)</f>
        <v>4208.0797232093664</v>
      </c>
    </row>
    <row r="24" spans="1:17">
      <c r="A24" s="450" t="s">
        <v>193</v>
      </c>
      <c r="B24" s="451">
        <f t="shared" ca="1" si="2"/>
        <v>91.670083061235587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91.670083061235587</v>
      </c>
    </row>
    <row r="25" spans="1:17">
      <c r="A25" s="450" t="s">
        <v>111</v>
      </c>
      <c r="B25" s="451">
        <f t="shared" ca="1" si="2"/>
        <v>72.080279240850444</v>
      </c>
      <c r="C25" s="451">
        <f t="shared" ca="1" si="3"/>
        <v>0</v>
      </c>
      <c r="D25" s="451">
        <f t="shared" si="4"/>
        <v>33.824891274676872</v>
      </c>
      <c r="E25" s="451">
        <f t="shared" si="5"/>
        <v>2.7533925462387043</v>
      </c>
      <c r="F25" s="451">
        <f t="shared" si="6"/>
        <v>459.0103212864737</v>
      </c>
      <c r="G25" s="451">
        <f t="shared" si="7"/>
        <v>0</v>
      </c>
      <c r="H25" s="451">
        <f t="shared" si="8"/>
        <v>0</v>
      </c>
      <c r="I25" s="451">
        <f t="shared" si="9"/>
        <v>0</v>
      </c>
      <c r="J25" s="451">
        <f t="shared" si="10"/>
        <v>21.164345107386772</v>
      </c>
      <c r="K25" s="451">
        <f t="shared" si="11"/>
        <v>0</v>
      </c>
      <c r="L25" s="451">
        <f t="shared" si="12"/>
        <v>0</v>
      </c>
      <c r="M25" s="451">
        <f t="shared" si="13"/>
        <v>0</v>
      </c>
      <c r="N25" s="451">
        <f t="shared" si="14"/>
        <v>0</v>
      </c>
      <c r="O25" s="451">
        <f t="shared" si="15"/>
        <v>0</v>
      </c>
      <c r="P25" s="452">
        <f t="shared" si="16"/>
        <v>0</v>
      </c>
      <c r="Q25" s="450">
        <f t="shared" ca="1" si="17"/>
        <v>588.83322945562657</v>
      </c>
    </row>
    <row r="26" spans="1:17">
      <c r="A26" s="450" t="s">
        <v>634</v>
      </c>
      <c r="B26" s="451">
        <f t="shared" ca="1" si="2"/>
        <v>187.77474355106358</v>
      </c>
      <c r="C26" s="451">
        <f t="shared" ca="1" si="3"/>
        <v>0</v>
      </c>
      <c r="D26" s="451">
        <f t="shared" si="4"/>
        <v>133.01093901392062</v>
      </c>
      <c r="E26" s="451">
        <f t="shared" si="5"/>
        <v>35.335482903481463</v>
      </c>
      <c r="F26" s="451">
        <f t="shared" si="6"/>
        <v>122.61952926935811</v>
      </c>
      <c r="G26" s="451">
        <f t="shared" si="7"/>
        <v>0</v>
      </c>
      <c r="H26" s="451">
        <f t="shared" si="8"/>
        <v>0</v>
      </c>
      <c r="I26" s="451">
        <f t="shared" si="9"/>
        <v>0</v>
      </c>
      <c r="J26" s="451">
        <f t="shared" si="10"/>
        <v>0.5755173858829038</v>
      </c>
      <c r="K26" s="451">
        <f t="shared" si="11"/>
        <v>0</v>
      </c>
      <c r="L26" s="451">
        <f t="shared" si="12"/>
        <v>0</v>
      </c>
      <c r="M26" s="451">
        <f t="shared" si="13"/>
        <v>0</v>
      </c>
      <c r="N26" s="451">
        <f t="shared" si="14"/>
        <v>0</v>
      </c>
      <c r="O26" s="451">
        <f t="shared" si="15"/>
        <v>0</v>
      </c>
      <c r="P26" s="452">
        <f t="shared" si="16"/>
        <v>0</v>
      </c>
      <c r="Q26" s="450">
        <f t="shared" ca="1" si="17"/>
        <v>479.31621212370669</v>
      </c>
    </row>
    <row r="27" spans="1:17" s="456" customFormat="1">
      <c r="A27" s="454" t="s">
        <v>560</v>
      </c>
      <c r="B27" s="754">
        <f t="shared" ca="1" si="2"/>
        <v>4.1470654210337861</v>
      </c>
      <c r="C27" s="455">
        <f t="shared" ca="1" si="3"/>
        <v>0</v>
      </c>
      <c r="D27" s="455">
        <f t="shared" si="4"/>
        <v>15.891132713756697</v>
      </c>
      <c r="E27" s="455">
        <f t="shared" si="5"/>
        <v>29.704797472790304</v>
      </c>
      <c r="F27" s="455">
        <f t="shared" si="6"/>
        <v>0</v>
      </c>
      <c r="G27" s="455">
        <f t="shared" si="7"/>
        <v>12159.637095739607</v>
      </c>
      <c r="H27" s="455">
        <f t="shared" si="8"/>
        <v>3283.0271135976395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15492.407204944828</v>
      </c>
    </row>
    <row r="28" spans="1:17">
      <c r="A28" s="450" t="s">
        <v>550</v>
      </c>
      <c r="B28" s="451">
        <f t="shared" ca="1" si="2"/>
        <v>0</v>
      </c>
      <c r="C28" s="451">
        <f t="shared" ca="1" si="3"/>
        <v>0</v>
      </c>
      <c r="D28" s="451">
        <f t="shared" si="4"/>
        <v>0</v>
      </c>
      <c r="E28" s="451">
        <f t="shared" si="5"/>
        <v>0</v>
      </c>
      <c r="F28" s="451">
        <f t="shared" si="6"/>
        <v>0</v>
      </c>
      <c r="G28" s="451">
        <f t="shared" si="7"/>
        <v>609.61529957508719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609.61529957508719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172.67164217214284</v>
      </c>
      <c r="C32" s="451">
        <f t="shared" ca="1" si="3"/>
        <v>0</v>
      </c>
      <c r="D32" s="451">
        <f t="shared" si="4"/>
        <v>527.59781861756983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700.26946078971264</v>
      </c>
    </row>
    <row r="33" spans="1:17" s="460" customFormat="1">
      <c r="A33" s="1005" t="s">
        <v>554</v>
      </c>
      <c r="B33" s="953">
        <f ca="1">SUM(B22:B32)</f>
        <v>5841.4715528042716</v>
      </c>
      <c r="C33" s="953">
        <f t="shared" ref="C33:Q33" ca="1" si="18">SUM(C22:C32)</f>
        <v>0</v>
      </c>
      <c r="D33" s="953">
        <f t="shared" ca="1" si="18"/>
        <v>7978.3634524809586</v>
      </c>
      <c r="E33" s="953">
        <f t="shared" si="18"/>
        <v>2582.4397977202639</v>
      </c>
      <c r="F33" s="953">
        <f t="shared" ca="1" si="18"/>
        <v>8109.2527836592781</v>
      </c>
      <c r="G33" s="953">
        <f t="shared" si="18"/>
        <v>12769.252395314694</v>
      </c>
      <c r="H33" s="953">
        <f t="shared" si="18"/>
        <v>3283.0271135976395</v>
      </c>
      <c r="I33" s="953">
        <f t="shared" si="18"/>
        <v>0</v>
      </c>
      <c r="J33" s="953">
        <f t="shared" si="18"/>
        <v>21.763491630948668</v>
      </c>
      <c r="K33" s="953">
        <f t="shared" si="18"/>
        <v>0</v>
      </c>
      <c r="L33" s="953">
        <f t="shared" ca="1" si="18"/>
        <v>0</v>
      </c>
      <c r="M33" s="953">
        <f t="shared" si="18"/>
        <v>0</v>
      </c>
      <c r="N33" s="953">
        <f t="shared" ca="1" si="18"/>
        <v>0</v>
      </c>
      <c r="O33" s="953">
        <f t="shared" si="18"/>
        <v>0</v>
      </c>
      <c r="P33" s="953">
        <f t="shared" si="18"/>
        <v>0</v>
      </c>
      <c r="Q33" s="953">
        <f t="shared" ca="1" si="18"/>
        <v>40585.570587208058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2092.3583515854016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54</v>
      </c>
      <c r="C8" s="1022">
        <f>'SEAP template'!C76</f>
        <v>0</v>
      </c>
      <c r="D8" s="1022">
        <f>'SEAP template'!D76</f>
        <v>0</v>
      </c>
      <c r="E8" s="1022">
        <f>'SEAP template'!E76</f>
        <v>0</v>
      </c>
      <c r="F8" s="1022">
        <f>'SEAP template'!F76</f>
        <v>0</v>
      </c>
      <c r="G8" s="1022">
        <f>'SEAP template'!G76</f>
        <v>0</v>
      </c>
      <c r="H8" s="1022">
        <f>'SEAP template'!H76</f>
        <v>0</v>
      </c>
      <c r="I8" s="1022">
        <f>'SEAP template'!I76</f>
        <v>63.529411764705884</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4864.5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13898.571428571429</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7010.8583515854016</v>
      </c>
      <c r="C10" s="1026">
        <f>SUM(C4:C9)</f>
        <v>0</v>
      </c>
      <c r="D10" s="1026">
        <f t="shared" ref="D10:H10" si="0">SUM(D8:D9)</f>
        <v>0</v>
      </c>
      <c r="E10" s="1026">
        <f t="shared" si="0"/>
        <v>0</v>
      </c>
      <c r="F10" s="1026">
        <f t="shared" si="0"/>
        <v>0</v>
      </c>
      <c r="G10" s="1026">
        <f t="shared" si="0"/>
        <v>0</v>
      </c>
      <c r="H10" s="1026">
        <f t="shared" si="0"/>
        <v>0</v>
      </c>
      <c r="I10" s="1026">
        <f>SUM(I8:I9)</f>
        <v>63.529411764705884</v>
      </c>
      <c r="J10" s="1026">
        <f>SUM(J8:J9)</f>
        <v>13898.571428571429</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0.17467023436931581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60.75</v>
      </c>
      <c r="C17" s="1028">
        <f>'SEAP template'!C87</f>
        <v>0</v>
      </c>
      <c r="D17" s="1023">
        <f>'SEAP template'!D87</f>
        <v>0</v>
      </c>
      <c r="E17" s="1023">
        <f>'SEAP template'!E87</f>
        <v>0</v>
      </c>
      <c r="F17" s="1023">
        <f>'SEAP template'!F87</f>
        <v>0</v>
      </c>
      <c r="G17" s="1023">
        <f>'SEAP template'!G87</f>
        <v>0</v>
      </c>
      <c r="H17" s="1023">
        <f>'SEAP template'!H87</f>
        <v>0</v>
      </c>
      <c r="I17" s="1023">
        <f>'SEAP template'!I87</f>
        <v>71.470588235294116</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60.75</v>
      </c>
      <c r="C20" s="1026">
        <f>SUM(C17:C19)</f>
        <v>0</v>
      </c>
      <c r="D20" s="1026">
        <f t="shared" ref="D20:H20" si="2">SUM(D17:D19)</f>
        <v>0</v>
      </c>
      <c r="E20" s="1026">
        <f t="shared" si="2"/>
        <v>0</v>
      </c>
      <c r="F20" s="1026">
        <f t="shared" si="2"/>
        <v>0</v>
      </c>
      <c r="G20" s="1026">
        <f t="shared" si="2"/>
        <v>0</v>
      </c>
      <c r="H20" s="1026">
        <f t="shared" si="2"/>
        <v>0</v>
      </c>
      <c r="I20" s="1026">
        <f>SUM(I17:I19)</f>
        <v>71.470588235294116</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0.17467023436931581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2020-06-20T15:42:44Z</dcterms:modified>
</cp:coreProperties>
</file>