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B8" i="18" l="1"/>
  <c r="B45" i="18"/>
  <c r="D49" i="18" s="1"/>
  <c r="H9" i="18"/>
  <c r="O9" i="18" s="1"/>
  <c r="F6" i="17"/>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M77" i="14" l="1"/>
  <c r="M9" i="61" s="1"/>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F10" i="14"/>
  <c r="N52" i="14"/>
  <c r="N61" i="14" s="1"/>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J8" i="48"/>
  <c r="J26" i="48" s="1"/>
  <c r="J33" i="48" s="1"/>
  <c r="K13" i="14"/>
  <c r="K16" i="14" s="1"/>
  <c r="K27" i="14" s="1"/>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<sst xmlns="http://schemas.openxmlformats.org/spreadsheetml/2006/main" count="2407" uniqueCount="893">
  <si>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</si>
  <si>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</si>
  <si>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</si>
  <si>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</si>
  <si>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</si>
  <si>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</si>
  <si>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</si>
  <si>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</si>
  <si>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</si>
  <si>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</si>
  <si>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</si>
  <si>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</si>
  <si>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</si>
  <si>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</si>
  <si>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</si>
  <si>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</si>
  <si>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</si>
  <si>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</si>
  <si>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</si>
  <si>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</si>
  <si>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</si>
  <si>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</si>
  <si>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</si>
  <si>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</si>
  <si>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</si>
  <si>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</si>
  <si>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</si>
  <si>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</si>
  <si>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</si>
  <si>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</si>
  <si>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</si>
  <si>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</si>
  <si>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</si>
  <si>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</si>
  <si>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</si>
  <si>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</si>
  <si>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</si>
  <si>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</si>
  <si>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</si>
  <si>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</si>
  <si>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</si>
  <si>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</si>
  <si>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</si>
  <si>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</si>
  <si>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</si>
  <si>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</si>
  <si>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</si>
  <si>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</si>
  <si>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</si>
  <si>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</si>
  <si>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</si>
  <si>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</si>
  <si>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</si>
  <si>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</si>
  <si>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</si>
  <si>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</si>
  <si>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</si>
  <si>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</si>
  <si>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</si>
  <si>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</si>
  <si>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</si>
  <si>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</si>
  <si>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</si>
  <si>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</si>
  <si>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</si>
  <si>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</si>
  <si>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</si>
  <si>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</si>
  <si>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</si>
  <si>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</si>
  <si>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</si>
  <si>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</si>
  <si>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</si>
  <si>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</si>
  <si>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</si>
  <si>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</si>
  <si>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</si>
  <si>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</si>
  <si>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</si>
  <si>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</si>
  <si>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</si>
  <si>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</si>
  <si>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</si>
  <si>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</si>
  <si>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</si>
  <si>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</si>
  <si>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</si>
  <si>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</si>
  <si>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</si>
  <si>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</si>
  <si>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</si>
  <si>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</si>
  <si>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</si>
  <si>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</si>
  <si>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</si>
  <si>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</si>
  <si>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</si>
  <si>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</si>
  <si>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</si>
  <si>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</si>
  <si>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</si>
  <si>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</si>
  <si>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</si>
  <si>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</si>
  <si>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</si>
  <si>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</si>
  <si>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</si>
  <si>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</si>
  <si>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</si>
  <si>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</si>
  <si>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</si>
  <si>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</si>
  <si>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</si>
  <si>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</si>
  <si>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</si>
  <si>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</si>
  <si>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</si>
  <si>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</si>
  <si>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</si>
  <si>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</si>
  <si>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</si>
  <si>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</si>
  <si>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</si>
  <si>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</si>
  <si>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</si>
  <si>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</si>
  <si>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</si>
  <si>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</si>
  <si>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</si>
  <si>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</si>
  <si>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</si>
  <si>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</si>
  <si>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</si>
  <si>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</si>
  <si>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</si>
  <si>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</si>
  <si>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</si>
  <si>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</si>
  <si>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</si>
  <si>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</si>
  <si>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</si>
  <si>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</si>
  <si>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</si>
  <si>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</si>
  <si>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</si>
  <si>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</si>
  <si>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</si>
  <si>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</si>
  <si>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</si>
  <si>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</si>
  <si>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</si>
  <si>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</si>
  <si>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</si>
  <si>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</si>
  <si>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</si>
  <si>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</si>
  <si>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</si>
  <si>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</si>
  <si>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</si>
  <si>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</si>
  <si>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</si>
  <si>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</si>
  <si>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</si>
  <si>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</si>
  <si>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</si>
  <si>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</si>
  <si>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</si>
  <si>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</si>
  <si>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</si>
  <si>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</si>
  <si>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</si>
  <si>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</si>
  <si>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</si>
  <si>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</si>
  <si>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</si>
  <si>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</si>
  <si>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</si>
  <si>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</si>
  <si>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</si>
  <si>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</si>
  <si>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</si>
  <si>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</si>
  <si>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</si>
  <si>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</si>
  <si>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</si>
  <si>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</si>
  <si>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</si>
  <si>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</si>
  <si>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</si>
  <si>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</si>
  <si>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</si>
  <si>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</si>
  <si>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</si>
  <si>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</si>
  <si>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</si>
  <si>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</si>
  <si>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</si>
  <si>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</si>
  <si>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</si>
  <si>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</si>
  <si>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</si>
  <si>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</si>
  <si>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</si>
  <si>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</si>
  <si>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</si>
  <si>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</si>
  <si>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</si>
  <si>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</si>
  <si>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</si>
  <si>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</si>
  <si>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</si>
  <si>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</si>
  <si>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</si>
  <si>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</si>
  <si>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</si>
  <si>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</si>
  <si>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</si>
  <si>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</si>
  <si>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</si>
  <si>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</si>
  <si>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</si>
  <si>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</si>
  <si>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</si>
  <si>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</si>
  <si>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</si>
  <si>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</si>
  <si>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</si>
  <si>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</si>
  <si>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</si>
  <si>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</si>
  <si>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</si>
  <si>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</si>
  <si>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</si>
  <si>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</si>
  <si>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</si>
  <si>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</si>
  <si>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</si>
  <si>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</si>
  <si>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</si>
  <si>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</si>
  <si>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</si>
  <si>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</si>
  <si>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</si>
  <si>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</si>
  <si>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</si>
  <si>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</si>
  <si>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</si>
  <si>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</si>
  <si>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</si>
  <si>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</si>
  <si>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</si>
  <si>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</si>
  <si>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</si>
  <si>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</si>
  <si>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</si>
  <si>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</si>
  <si>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</si>
  <si>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</si>
  <si>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</si>
  <si>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</si>
  <si>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</si>
  <si>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</si>
  <si>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</si>
  <si>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</si>
  <si>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</si>
  <si>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</si>
  <si>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</si>
  <si>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</si>
  <si>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</si>
  <si>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</si>
  <si>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</si>
  <si>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</si>
  <si>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</si>
  <si>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</si>
  <si>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</si>
  <si>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</si>
  <si>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</si>
  <si>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</si>
  <si>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</si>
  <si>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</si>
  <si>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</si>
  <si>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</si>
  <si>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</si>
  <si>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</si>
  <si>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</si>
  <si>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</si>
  <si>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</si>
  <si>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</si>
  <si>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</si>
  <si>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</si>
  <si>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</si>
  <si>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</si>
  <si>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</si>
  <si>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</si>
  <si>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</si>
  <si>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</si>
  <si>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</si>
  <si>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</si>
  <si>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</si>
  <si>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</si>
  <si>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</si>
  <si>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</si>
  <si>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</si>
  <si>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</si>
  <si>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</si>
  <si>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</si>
  <si>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</si>
  <si>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</si>
  <si>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</si>
  <si>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</si>
  <si>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</si>
  <si>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</si>
  <si>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</si>
  <si>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</si>
  <si>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</si>
  <si>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</si>
  <si>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</si>
  <si>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</si>
  <si>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</si>
  <si>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</si>
  <si>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</si>
  <si>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</si>
  <si>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</si>
  <si>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</si>
  <si>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</si>
  <si>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</si>
  <si>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</si>
  <si>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</si>
  <si>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</si>
  <si>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</si>
  <si>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</si>
  <si>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</si>
  <si>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</si>
  <si>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</si>
  <si>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</si>
  <si>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</si>
  <si>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</si>
  <si>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</si>
  <si>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</si>
  <si>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</si>
  <si>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</si>
  <si>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</si>
  <si>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</si>
  <si>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</si>
  <si>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</si>
  <si>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</si>
  <si>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</si>
  <si>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</si>
  <si>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</si>
  <si>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</si>
  <si>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</si>
  <si>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</si>
  <si>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</si>
  <si>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</si>
  <si>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</si>
  <si>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</si>
  <si>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</si>
  <si>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</si>
  <si>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</si>
  <si>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</si>
  <si>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</si>
  <si>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</si>
  <si>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</si>
  <si>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</si>
  <si>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</si>
  <si>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</si>
  <si>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</si>
  <si>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</si>
  <si>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</si>
  <si>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</si>
  <si>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</si>
  <si>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</si>
  <si>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</si>
  <si>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</si>
  <si>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</si>
  <si>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</si>
  <si>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</si>
  <si>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</si>
  <si>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</si>
  <si>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</si>
  <si>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</si>
  <si>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</si>
  <si>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</si>
  <si>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</si>
  <si>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</si>
  <si>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</si>
  <si>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</si>
  <si>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</si>
  <si>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</si>
  <si>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</si>
  <si>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</si>
  <si>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</si>
  <si>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</si>
  <si>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</si>
  <si>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</si>
  <si>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</si>
  <si>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</si>
  <si>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</si>
  <si>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</si>
  <si>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</si>
  <si>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</si>
  <si>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</si>
  <si>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</si>
  <si>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</si>
  <si>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</si>
  <si>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</si>
  <si>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</si>
  <si>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</si>
  <si>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</si>
  <si>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</si>
  <si>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</si>
  <si>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</si>
  <si>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</si>
  <si>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</si>
  <si>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</si>
  <si>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</si>
  <si>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</si>
  <si>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</si>
  <si>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</si>
  <si>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</si>
  <si>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</si>
  <si>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</si>
  <si>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</si>
  <si>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</si>
  <si>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</si>
  <si>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</si>
  <si>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</si>
  <si>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</si>
  <si>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</si>
  <si>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</si>
  <si>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</si>
  <si>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</si>
  <si>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</si>
  <si>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</si>
  <si>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</si>
  <si>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</si>
  <si>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</si>
  <si>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</si>
  <si>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</si>
  <si>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</si>
  <si>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</si>
  <si>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</si>
  <si>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</si>
  <si>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</si>
  <si>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</si>
  <si>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</si>
  <si>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</si>
  <si>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</si>
  <si>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</si>
  <si>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</si>
  <si>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</si>
  <si>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</si>
  <si>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</si>
  <si>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</si>
  <si>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</si>
  <si>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</si>
  <si>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</si>
  <si>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</si>
  <si>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</si>
  <si>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</si>
  <si>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</si>
  <si>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</si>
  <si>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</si>
  <si>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</si>
  <si>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</si>
  <si>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</si>
  <si>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</si>
  <si>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</si>
  <si>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</si>
  <si>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</si>
  <si>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</si>
  <si>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</si>
  <si>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</si>
  <si>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</si>
  <si>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</si>
  <si>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</si>
  <si>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</si>
  <si>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</si>
  <si>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</si>
  <si>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</si>
  <si>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</si>
  <si>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</si>
  <si>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</si>
  <si>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</si>
  <si>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</si>
  <si>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</si>
  <si>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</si>
  <si>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</si>
  <si>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</si>
  <si>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</si>
  <si>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</si>
  <si>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</si>
  <si>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</si>
  <si>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</si>
  <si>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</si>
  <si>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</si>
  <si>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</si>
  <si>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</si>
  <si>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</si>
  <si>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</si>
  <si>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</si>
  <si>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</si>
  <si>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</si>
  <si>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</si>
  <si>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</si>
  <si>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</si>
  <si>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</si>
  <si>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</si>
  <si>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</si>
  <si>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</si>
  <si>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</si>
  <si>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</si>
  <si>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</si>
  <si>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</si>
  <si>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</si>
  <si>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</si>
  <si>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</si>
  <si>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</si>
  <si>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</si>
  <si>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</si>
  <si>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</si>
  <si>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</si>
  <si>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</si>
  <si>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</si>
  <si>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</si>
  <si>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</si>
  <si>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</si>
  <si>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</si>
  <si>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</si>
  <si>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</si>
  <si>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</si>
  <si>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</si>
  <si>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</si>
  <si>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</si>
  <si>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</si>
  <si>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</si>
  <si>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</si>
  <si>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</si>
  <si>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</si>
  <si>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</si>
  <si>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</si>
  <si>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</si>
  <si>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</si>
  <si>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</si>
  <si>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</si>
  <si>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</si>
  <si>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</si>
  <si>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</si>
  <si>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</si>
  <si>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</si>
  <si>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</si>
  <si>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</si>
  <si>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</si>
  <si>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</si>
  <si>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</si>
  <si>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</si>
  <si>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</si>
  <si>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</si>
  <si>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</si>
  <si>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</si>
  <si>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</si>
  <si>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</si>
  <si>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</si>
  <si>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</si>
  <si>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</si>
  <si>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</si>
  <si>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</si>
  <si>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</si>
  <si>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</si>
  <si>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</si>
  <si>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</si>
  <si>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</si>
  <si>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</si>
  <si>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</si>
  <si>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</si>
  <si>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</si>
  <si>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</si>
  <si>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</si>
  <si>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</si>
  <si>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</si>
  <si>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</si>
  <si>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</si>
  <si>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</si>
  <si>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</si>
  <si>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</si>
  <si>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</si>
  <si>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</si>
  <si>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</si>
  <si>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</si>
  <si>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</si>
  <si>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</si>
  <si>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</si>
  <si>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</si>
  <si>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</si>
  <si>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</si>
  <si>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</si>
  <si>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</si>
  <si>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</si>
  <si>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</si>
  <si>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</si>
  <si>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</si>
  <si>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</si>
  <si>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</si>
  <si>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</si>
  <si>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</si>
  <si>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</si>
  <si>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</si>
  <si>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</si>
  <si>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</si>
  <si>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</si>
  <si>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</si>
  <si>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</si>
  <si>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</si>
  <si>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</si>
  <si>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</si>
  <si>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</si>
  <si>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</si>
  <si>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</si>
  <si>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</si>
  <si>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</si>
  <si>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</si>
  <si>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</si>
  <si>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</si>
  <si>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</si>
  <si>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</si>
  <si>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</si>
  <si>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</si>
  <si>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</si>
  <si>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</si>
  <si>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</si>
  <si>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</si>
  <si>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</si>
  <si>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</si>
  <si>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</si>
  <si>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</si>
  <si>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</si>
  <si>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</si>
  <si>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</si>
  <si>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</si>
  <si>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</si>
  <si>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</si>
  <si>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</si>
  <si>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</si>
  <si>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</si>
  <si>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</si>
  <si>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</si>
  <si>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</si>
  <si>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</si>
  <si>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</si>
  <si>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</si>
  <si>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</si>
  <si>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</si>
  <si>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</si>
  <si>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</si>
  <si>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</si>
  <si>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</si>
  <si>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</si>
  <si>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</si>
  <si>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</si>
  <si>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</si>
  <si>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</si>
  <si>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</si>
  <si>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</si>
  <si>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</si>
  <si>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</si>
  <si>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</si>
  <si>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</si>
  <si>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</si>
  <si>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</si>
  <si>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</si>
  <si>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</si>
  <si>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</si>
  <si>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</si>
  <si>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</si>
  <si>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</si>
  <si>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</si>
  <si>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</si>
  <si>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</si>
  <si>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</si>
  <si>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</si>
  <si>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</si>
  <si>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</si>
  <si>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</si>
  <si>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</si>
  <si>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</si>
  <si>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</si>
  <si>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</si>
  <si>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</si>
  <si>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</si>
  <si>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</si>
  <si>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</si>
  <si>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</si>
  <si>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</si>
  <si>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</si>
  <si>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</si>
  <si>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</si>
  <si>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</si>
  <si>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</si>
  <si>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</si>
  <si>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</si>
  <si>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</si>
  <si>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</si>
  <si>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</si>
  <si>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</si>
  <si>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</si>
  <si>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</si>
  <si>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</si>
  <si>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</si>
  <si>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</si>
  <si>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</si>
  <si>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</si>
  <si>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</si>
  <si>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</si>
  <si>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</si>
  <si>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</si>
  <si>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</si>
  <si>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</si>
  <si>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</si>
  <si>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</si>
  <si>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</si>
  <si>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</si>
  <si>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</si>
  <si>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</si>
  <si>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</si>
  <si>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</si>
  <si>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</si>
  <si>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</si>
  <si>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</si>
  <si>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</si>
  <si>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</si>
  <si>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</si>
  <si>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</si>
  <si>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</si>
  <si>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</si>
  <si>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</si>
  <si>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</si>
  <si>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</si>
  <si>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</si>
  <si>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</si>
  <si>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</si>
  <si>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</si>
  <si>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</si>
  <si>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</si>
  <si>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</si>
  <si>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</si>
  <si>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</si>
  <si>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</si>
  <si>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</si>
  <si>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</si>
  <si>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</si>
  <si>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</si>
  <si>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</si>
  <si>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</si>
  <si>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</si>
  <si>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</si>
  <si>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</si>
  <si>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</si>
  <si>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</si>
  <si>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</si>
  <si>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</si>
  <si>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</si>
  <si>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</si>
  <si>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</si>
  <si>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</si>
  <si>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</si>
  <si>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</si>
  <si>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</si>
  <si>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</si>
  <si>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</si>
  <si>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</si>
  <si>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</si>
  <si>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</si>
  <si>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</si>
  <si>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</si>
  <si>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</si>
  <si>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</si>
  <si>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</si>
  <si>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</si>
  <si>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</si>
  <si>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</si>
  <si>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</si>
  <si>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</si>
  <si>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</si>
  <si>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</si>
  <si>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</si>
  <si>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</si>
  <si>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</si>
  <si>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</si>
  <si>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</si>
  <si>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</si>
  <si>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</si>
  <si>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</si>
  <si>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</si>
  <si>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</si>
  <si>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</si>
  <si>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</si>
  <si>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</si>
  <si>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</si>
  <si>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</si>
  <si>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</si>
  <si>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</si>
  <si>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</si>
  <si>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</si>
  <si>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</si>
  <si>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</si>
  <si>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</si>
  <si>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</si>
  <si>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</si>
  <si>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</si>
  <si>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</si>
  <si>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</si>
  <si>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</si>
  <si>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</si>
  <si>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</si>
  <si>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</si>
  <si>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</si>
  <si>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</si>
  <si>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</si>
  <si>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</si>
  <si>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</si>
  <si>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</si>
  <si>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</si>
  <si>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</si>
  <si>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</si>
  <si>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</si>
  <si>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</si>
  <si>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</si>
  <si>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</si>
  <si>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</si>
  <si>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</si>
  <si>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</si>
  <si>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</si>
  <si>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</si>
  <si>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</si>
  <si>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</si>
  <si>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</si>
  <si>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</si>
  <si>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</si>
  <si>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</si>
  <si>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</si>
  <si>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</si>
  <si>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</si>
  <si>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</si>
  <si>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</si>
  <si>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</si>
  <si>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</si>
  <si>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</si>
  <si>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</si>
  <si>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</si>
  <si>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</si>
  <si>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</si>
  <si>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</si>
  <si>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</si>
  <si>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</si>
  <si>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</si>
  <si>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</si>
  <si>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</si>
  <si>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</si>
  <si>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</si>
  <si>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</si>
  <si>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</si>
  <si>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</si>
  <si>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</si>
  <si>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</si>
  <si>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</si>
  <si>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</si>
  <si>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</si>
  <si>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</si>
  <si>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</si>
  <si>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</si>
  <si>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</si>
  <si>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</si>
  <si>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</si>
  <si>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</si>
  <si>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</si>
  <si>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</si>
  <si>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</si>
  <si>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</si>
  <si>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</si>
  <si>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</si>
  <si>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</si>
  <si>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</si>
  <si>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</si>
  <si>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24038</t>
  </si>
  <si>
    <t>HERENT</t>
  </si>
  <si>
    <t>Fluvius</t>
  </si>
  <si>
    <t>referentietaak LNE (2017); Jaarverslag De Lijn</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</si>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</sst>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163878.17488723985</c:v>
                </c:pt>
                <c:pt idx="1">
                  <c:v>50305.939449171769</c:v>
                </c:pt>
                <c:pt idx="2">
                  <c:v>1555.194</c:v>
                </c:pt>
                <c:pt idx="3">
                  <c:v>15951.721004201634</c:v>
                </c:pt>
                <c:pt idx="4">
                  <c:v>19202.431871020621</c:v>
                </c:pt>
                <c:pt idx="5">
                  <c:v>100997.67353441707</c:v>
                </c:pt>
                <c:pt idx="6">
                  <c:v>4852.4281240047039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163878.17488723985</c:v>
                </c:pt>
                <c:pt idx="1">
                  <c:v>50305.939449171769</c:v>
                </c:pt>
                <c:pt idx="2">
                  <c:v>1555.194</c:v>
                </c:pt>
                <c:pt idx="3">
                  <c:v>15951.721004201634</c:v>
                </c:pt>
                <c:pt idx="4">
                  <c:v>19202.431871020621</c:v>
                </c:pt>
                <c:pt idx="5">
                  <c:v>100997.67353441707</c:v>
                </c:pt>
                <c:pt idx="6">
                  <c:v>4852.4281240047039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31741.170264543729</c:v>
                </c:pt>
                <c:pt idx="2">
                  <c:v>9962.025890213401</c:v>
                </c:pt>
                <c:pt idx="3">
                  <c:v>322.9359146383502</c:v>
                </c:pt>
                <c:pt idx="4">
                  <c:v>3852.1106828701963</c:v>
                </c:pt>
                <c:pt idx="5">
                  <c:v>3919.6863090745783</c:v>
                </c:pt>
                <c:pt idx="6">
                  <c:v>25257.914546913977</c:v>
                </c:pt>
                <c:pt idx="7">
                  <c:v>1225.9736762360701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31741.170264543729</c:v>
                </c:pt>
                <c:pt idx="2">
                  <c:v>9962.025890213401</c:v>
                </c:pt>
                <c:pt idx="3">
                  <c:v>322.9359146383502</c:v>
                </c:pt>
                <c:pt idx="4">
                  <c:v>3852.1106828701963</c:v>
                </c:pt>
                <c:pt idx="5">
                  <c:v>3919.6863090745783</c:v>
                </c:pt>
                <c:pt idx="6">
                  <c:v>25257.914546913977</c:v>
                </c:pt>
                <c:pt idx="7">
                  <c:v>1225.9736762360701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24038</v>
      </c>
      <c r="B6" s="390"/>
      <c r="C6" s="391"/>
    </row>
    <row r="7" spans="1:7" s="388" customFormat="1" ht="15.75" customHeight="1">
      <c r="A7" s="392" t="str">
        <f>txtMunicipality</f>
        <v>HERENT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0.2076499231853712</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0.2076499231853712</v>
      </c>
      <c r="C29" s="499">
        <f ca="1">'EF ele_warmte'!B22</f>
        <v>0.23764705882352938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8479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1483.92</v>
      </c>
      <c r="C14" s="330"/>
      <c r="D14" s="330"/>
      <c r="E14" s="330"/>
      <c r="F14" s="330"/>
    </row>
    <row r="15" spans="1:6">
      <c r="A15" s="1293" t="s">
        <v>183</v>
      </c>
      <c r="B15" s="1294">
        <v>8</v>
      </c>
      <c r="C15" s="330"/>
      <c r="D15" s="330"/>
      <c r="E15" s="330"/>
      <c r="F15" s="330"/>
    </row>
    <row r="16" spans="1:6">
      <c r="A16" s="1293" t="s">
        <v>6</v>
      </c>
      <c r="B16" s="1294">
        <v>78</v>
      </c>
      <c r="C16" s="330"/>
      <c r="D16" s="330"/>
      <c r="E16" s="330"/>
      <c r="F16" s="330"/>
    </row>
    <row r="17" spans="1:6">
      <c r="A17" s="1293" t="s">
        <v>7</v>
      </c>
      <c r="B17" s="1294">
        <v>423</v>
      </c>
      <c r="C17" s="330"/>
      <c r="D17" s="330"/>
      <c r="E17" s="330"/>
      <c r="F17" s="330"/>
    </row>
    <row r="18" spans="1:6">
      <c r="A18" s="1293" t="s">
        <v>8</v>
      </c>
      <c r="B18" s="1294">
        <v>350</v>
      </c>
      <c r="C18" s="330"/>
      <c r="D18" s="330"/>
      <c r="E18" s="330"/>
      <c r="F18" s="330"/>
    </row>
    <row r="19" spans="1:6">
      <c r="A19" s="1293" t="s">
        <v>9</v>
      </c>
      <c r="B19" s="1294">
        <v>361</v>
      </c>
      <c r="C19" s="330"/>
      <c r="D19" s="330"/>
      <c r="E19" s="330"/>
      <c r="F19" s="330"/>
    </row>
    <row r="20" spans="1:6">
      <c r="A20" s="1293" t="s">
        <v>10</v>
      </c>
      <c r="B20" s="1294">
        <v>152</v>
      </c>
      <c r="C20" s="330"/>
      <c r="D20" s="330"/>
      <c r="E20" s="330"/>
      <c r="F20" s="330"/>
    </row>
    <row r="21" spans="1:6">
      <c r="A21" s="1293" t="s">
        <v>11</v>
      </c>
      <c r="B21" s="1294">
        <v>0</v>
      </c>
      <c r="C21" s="330"/>
      <c r="D21" s="330"/>
      <c r="E21" s="330"/>
      <c r="F21" s="330"/>
    </row>
    <row r="22" spans="1:6">
      <c r="A22" s="1293" t="s">
        <v>12</v>
      </c>
      <c r="B22" s="1294">
        <v>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2</v>
      </c>
      <c r="C25" s="330"/>
      <c r="D25" s="330"/>
      <c r="E25" s="330"/>
      <c r="F25" s="330"/>
    </row>
    <row r="26" spans="1:6">
      <c r="A26" s="1293" t="s">
        <v>16</v>
      </c>
      <c r="B26" s="1294">
        <v>203</v>
      </c>
      <c r="C26" s="330"/>
      <c r="D26" s="330"/>
      <c r="E26" s="330"/>
      <c r="F26" s="330"/>
    </row>
    <row r="27" spans="1:6">
      <c r="A27" s="1293" t="s">
        <v>17</v>
      </c>
      <c r="B27" s="1294">
        <v>12</v>
      </c>
      <c r="C27" s="330"/>
      <c r="D27" s="330"/>
      <c r="E27" s="330"/>
      <c r="F27" s="330"/>
    </row>
    <row r="28" spans="1:6" s="43" customFormat="1">
      <c r="A28" s="1295" t="s">
        <v>18</v>
      </c>
      <c r="B28" s="1296">
        <v>0</v>
      </c>
      <c r="C28" s="336"/>
      <c r="D28" s="336"/>
      <c r="E28" s="336"/>
      <c r="F28" s="336"/>
    </row>
    <row r="29" spans="1:6">
      <c r="A29" s="1295" t="s">
        <v>734</v>
      </c>
      <c r="B29" s="1296">
        <v>89</v>
      </c>
      <c r="C29" s="336"/>
      <c r="D29" s="336"/>
      <c r="E29" s="336"/>
      <c r="F29" s="336"/>
    </row>
    <row r="30" spans="1:6">
      <c r="A30" s="1288" t="s">
        <v>735</v>
      </c>
      <c r="B30" s="1297">
        <v>48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510410</v>
      </c>
    </row>
    <row r="36" spans="1:6">
      <c r="A36" s="1293" t="s">
        <v>24</v>
      </c>
      <c r="B36" s="1293" t="s">
        <v>26</v>
      </c>
      <c r="C36" s="1294">
        <v>0</v>
      </c>
      <c r="D36" s="1294">
        <v>0</v>
      </c>
      <c r="E36" s="1294">
        <v>3</v>
      </c>
      <c r="F36" s="1294">
        <v>5336.5683931785998</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5729</v>
      </c>
      <c r="D39" s="1294">
        <v>96625629.607386306</v>
      </c>
      <c r="E39" s="1294">
        <v>8275</v>
      </c>
      <c r="F39" s="1294">
        <v>30590624.043574698</v>
      </c>
    </row>
    <row r="40" spans="1:6">
      <c r="A40" s="1293" t="s">
        <v>29</v>
      </c>
      <c r="B40" s="1293" t="s">
        <v>28</v>
      </c>
      <c r="C40" s="1294">
        <v>0</v>
      </c>
      <c r="D40" s="1294">
        <v>0</v>
      </c>
      <c r="E40" s="1294">
        <v>0</v>
      </c>
      <c r="F40" s="1294">
        <v>0</v>
      </c>
    </row>
    <row r="41" spans="1:6">
      <c r="A41" s="1293" t="s">
        <v>31</v>
      </c>
      <c r="B41" s="1293" t="s">
        <v>32</v>
      </c>
      <c r="C41" s="1294">
        <v>66</v>
      </c>
      <c r="D41" s="1294">
        <v>880571.266519867</v>
      </c>
      <c r="E41" s="1294">
        <v>128</v>
      </c>
      <c r="F41" s="1294">
        <v>985781.60001748696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59145.401085765101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113958.986469184</v>
      </c>
      <c r="E47" s="1294">
        <v>10</v>
      </c>
      <c r="F47" s="1294">
        <v>696159.98983007204</v>
      </c>
    </row>
    <row r="48" spans="1:6">
      <c r="A48" s="1293" t="s">
        <v>31</v>
      </c>
      <c r="B48" s="1293" t="s">
        <v>28</v>
      </c>
      <c r="C48" s="1294">
        <v>22</v>
      </c>
      <c r="D48" s="1294">
        <v>6112902.94065837</v>
      </c>
      <c r="E48" s="1294">
        <v>32</v>
      </c>
      <c r="F48" s="1294">
        <v>7105352.4828992104</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135810.172358059</v>
      </c>
    </row>
    <row r="51" spans="1:6">
      <c r="A51" s="1293" t="s">
        <v>41</v>
      </c>
      <c r="B51" s="1293" t="s">
        <v>42</v>
      </c>
      <c r="C51" s="1294">
        <v>0</v>
      </c>
      <c r="D51" s="1294">
        <v>0</v>
      </c>
      <c r="E51" s="1294">
        <v>32</v>
      </c>
      <c r="F51" s="1294">
        <v>463418.67253331799</v>
      </c>
    </row>
    <row r="52" spans="1:6">
      <c r="A52" s="1293" t="s">
        <v>41</v>
      </c>
      <c r="B52" s="1293" t="s">
        <v>28</v>
      </c>
      <c r="C52" s="1294">
        <v>6</v>
      </c>
      <c r="D52" s="1294">
        <v>22672087.443245199</v>
      </c>
      <c r="E52" s="1294">
        <v>8</v>
      </c>
      <c r="F52" s="1294">
        <v>99213.490568709007</v>
      </c>
    </row>
    <row r="53" spans="1:6">
      <c r="A53" s="1293" t="s">
        <v>43</v>
      </c>
      <c r="B53" s="1293" t="s">
        <v>44</v>
      </c>
      <c r="C53" s="1294">
        <v>144</v>
      </c>
      <c r="D53" s="1294">
        <v>2513848.5859472202</v>
      </c>
      <c r="E53" s="1294">
        <v>281</v>
      </c>
      <c r="F53" s="1294">
        <v>1045468.72977045</v>
      </c>
    </row>
    <row r="54" spans="1:6">
      <c r="A54" s="1293" t="s">
        <v>45</v>
      </c>
      <c r="B54" s="1293" t="s">
        <v>46</v>
      </c>
      <c r="C54" s="1294">
        <v>0</v>
      </c>
      <c r="D54" s="1294">
        <v>0</v>
      </c>
      <c r="E54" s="1294">
        <v>1</v>
      </c>
      <c r="F54" s="1294">
        <v>1555194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50</v>
      </c>
      <c r="D57" s="1294">
        <v>2762177.1077765599</v>
      </c>
      <c r="E57" s="1294">
        <v>144</v>
      </c>
      <c r="F57" s="1294">
        <v>2894704.8503512698</v>
      </c>
    </row>
    <row r="58" spans="1:6">
      <c r="A58" s="1293" t="s">
        <v>48</v>
      </c>
      <c r="B58" s="1293" t="s">
        <v>50</v>
      </c>
      <c r="C58" s="1294">
        <v>40</v>
      </c>
      <c r="D58" s="1294">
        <v>1203804.56085934</v>
      </c>
      <c r="E58" s="1294">
        <v>56</v>
      </c>
      <c r="F58" s="1294">
        <v>797269.437177427</v>
      </c>
    </row>
    <row r="59" spans="1:6">
      <c r="A59" s="1293" t="s">
        <v>48</v>
      </c>
      <c r="B59" s="1293" t="s">
        <v>51</v>
      </c>
      <c r="C59" s="1294">
        <v>68</v>
      </c>
      <c r="D59" s="1294">
        <v>5091871.7228817996</v>
      </c>
      <c r="E59" s="1294">
        <v>173</v>
      </c>
      <c r="F59" s="1294">
        <v>7991952.0121855997</v>
      </c>
    </row>
    <row r="60" spans="1:6">
      <c r="A60" s="1293" t="s">
        <v>48</v>
      </c>
      <c r="B60" s="1293" t="s">
        <v>52</v>
      </c>
      <c r="C60" s="1294">
        <v>32</v>
      </c>
      <c r="D60" s="1294">
        <v>1114965.6299700099</v>
      </c>
      <c r="E60" s="1294">
        <v>54</v>
      </c>
      <c r="F60" s="1294">
        <v>1095364.8706871299</v>
      </c>
    </row>
    <row r="61" spans="1:6">
      <c r="A61" s="1293" t="s">
        <v>48</v>
      </c>
      <c r="B61" s="1293" t="s">
        <v>53</v>
      </c>
      <c r="C61" s="1294">
        <v>196</v>
      </c>
      <c r="D61" s="1294">
        <v>6709883.4432126097</v>
      </c>
      <c r="E61" s="1294">
        <v>378</v>
      </c>
      <c r="F61" s="1294">
        <v>4831964.09472265</v>
      </c>
    </row>
    <row r="62" spans="1:6">
      <c r="A62" s="1293" t="s">
        <v>48</v>
      </c>
      <c r="B62" s="1293" t="s">
        <v>54</v>
      </c>
      <c r="C62" s="1294">
        <v>12</v>
      </c>
      <c r="D62" s="1294">
        <v>684864.52248428005</v>
      </c>
      <c r="E62" s="1294">
        <v>21</v>
      </c>
      <c r="F62" s="1294">
        <v>230734.01495554901</v>
      </c>
    </row>
    <row r="63" spans="1:6">
      <c r="A63" s="1293" t="s">
        <v>48</v>
      </c>
      <c r="B63" s="1293" t="s">
        <v>28</v>
      </c>
      <c r="C63" s="1294">
        <v>93</v>
      </c>
      <c r="D63" s="1294">
        <v>7679791.9394274596</v>
      </c>
      <c r="E63" s="1294">
        <v>73</v>
      </c>
      <c r="F63" s="1294">
        <v>2725398.3630778599</v>
      </c>
    </row>
    <row r="64" spans="1:6">
      <c r="A64" s="1293" t="s">
        <v>55</v>
      </c>
      <c r="B64" s="1293" t="s">
        <v>56</v>
      </c>
      <c r="C64" s="1294">
        <v>0</v>
      </c>
      <c r="D64" s="1294">
        <v>0</v>
      </c>
      <c r="E64" s="1294">
        <v>0</v>
      </c>
      <c r="F64" s="1294">
        <v>0</v>
      </c>
    </row>
    <row r="65" spans="1:6">
      <c r="A65" s="1293" t="s">
        <v>55</v>
      </c>
      <c r="B65" s="1293" t="s">
        <v>28</v>
      </c>
      <c r="C65" s="1294">
        <v>3</v>
      </c>
      <c r="D65" s="1294">
        <v>77048.968576802596</v>
      </c>
      <c r="E65" s="1294">
        <v>2</v>
      </c>
      <c r="F65" s="1294">
        <v>7558.1788564919998</v>
      </c>
    </row>
    <row r="66" spans="1:6">
      <c r="A66" s="1293" t="s">
        <v>55</v>
      </c>
      <c r="B66" s="1293" t="s">
        <v>57</v>
      </c>
      <c r="C66" s="1294">
        <v>0</v>
      </c>
      <c r="D66" s="1294">
        <v>0</v>
      </c>
      <c r="E66" s="1294">
        <v>17</v>
      </c>
      <c r="F66" s="1294">
        <v>684002.73292582296</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153601.78335796701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67345298</v>
      </c>
      <c r="E73" s="449"/>
      <c r="F73" s="330"/>
    </row>
    <row r="74" spans="1:6">
      <c r="A74" s="1293" t="s">
        <v>63</v>
      </c>
      <c r="B74" s="1293" t="s">
        <v>656</v>
      </c>
      <c r="C74" s="1307" t="s">
        <v>658</v>
      </c>
      <c r="D74" s="1308">
        <v>4679565.5</v>
      </c>
      <c r="E74" s="449"/>
      <c r="F74" s="330"/>
    </row>
    <row r="75" spans="1:6">
      <c r="A75" s="1293" t="s">
        <v>64</v>
      </c>
      <c r="B75" s="1293" t="s">
        <v>655</v>
      </c>
      <c r="C75" s="1307" t="s">
        <v>659</v>
      </c>
      <c r="D75" s="1308">
        <v>34985180</v>
      </c>
      <c r="E75" s="449"/>
      <c r="F75" s="330"/>
    </row>
    <row r="76" spans="1:6">
      <c r="A76" s="1293" t="s">
        <v>64</v>
      </c>
      <c r="B76" s="1293" t="s">
        <v>656</v>
      </c>
      <c r="C76" s="1307" t="s">
        <v>660</v>
      </c>
      <c r="D76" s="1308">
        <v>856519.5</v>
      </c>
      <c r="E76" s="449"/>
      <c r="F76" s="330"/>
    </row>
    <row r="77" spans="1:6">
      <c r="A77" s="1293" t="s">
        <v>65</v>
      </c>
      <c r="B77" s="1293" t="s">
        <v>655</v>
      </c>
      <c r="C77" s="1307" t="s">
        <v>661</v>
      </c>
      <c r="D77" s="1308">
        <v>12125233</v>
      </c>
      <c r="E77" s="449"/>
      <c r="F77" s="330"/>
    </row>
    <row r="78" spans="1:6">
      <c r="A78" s="1288" t="s">
        <v>65</v>
      </c>
      <c r="B78" s="1288" t="s">
        <v>656</v>
      </c>
      <c r="C78" s="1288" t="s">
        <v>662</v>
      </c>
      <c r="D78" s="1309">
        <v>1142356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1323411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4130.5390215418111</v>
      </c>
      <c r="C91" s="330"/>
      <c r="D91" s="330"/>
      <c r="E91" s="330"/>
      <c r="F91" s="330"/>
    </row>
    <row r="92" spans="1:6">
      <c r="A92" s="1288" t="s">
        <v>68</v>
      </c>
      <c r="B92" s="1289">
        <v>627.98433143777902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3149</v>
      </c>
      <c r="C97" s="330"/>
      <c r="D97" s="330"/>
      <c r="E97" s="330"/>
      <c r="F97" s="330"/>
    </row>
    <row r="98" spans="1:6">
      <c r="A98" s="1293" t="s">
        <v>71</v>
      </c>
      <c r="B98" s="1294">
        <v>2</v>
      </c>
      <c r="C98" s="330"/>
      <c r="D98" s="330"/>
      <c r="E98" s="330"/>
      <c r="F98" s="330"/>
    </row>
    <row r="99" spans="1:6">
      <c r="A99" s="1293" t="s">
        <v>72</v>
      </c>
      <c r="B99" s="1294">
        <v>74</v>
      </c>
      <c r="C99" s="330"/>
      <c r="D99" s="330"/>
      <c r="E99" s="330"/>
      <c r="F99" s="330"/>
    </row>
    <row r="100" spans="1:6">
      <c r="A100" s="1293" t="s">
        <v>73</v>
      </c>
      <c r="B100" s="1294">
        <v>495</v>
      </c>
      <c r="C100" s="330"/>
      <c r="D100" s="330"/>
      <c r="E100" s="330"/>
      <c r="F100" s="330"/>
    </row>
    <row r="101" spans="1:6">
      <c r="A101" s="1293" t="s">
        <v>74</v>
      </c>
      <c r="B101" s="1294">
        <v>56</v>
      </c>
      <c r="C101" s="330"/>
      <c r="D101" s="330"/>
      <c r="E101" s="330"/>
      <c r="F101" s="330"/>
    </row>
    <row r="102" spans="1:6">
      <c r="A102" s="1293" t="s">
        <v>75</v>
      </c>
      <c r="B102" s="1294">
        <v>86</v>
      </c>
      <c r="C102" s="330"/>
      <c r="D102" s="330"/>
      <c r="E102" s="330"/>
      <c r="F102" s="330"/>
    </row>
    <row r="103" spans="1:6">
      <c r="A103" s="1293" t="s">
        <v>76</v>
      </c>
      <c r="B103" s="1294">
        <v>107</v>
      </c>
      <c r="C103" s="330"/>
      <c r="D103" s="330"/>
      <c r="E103" s="330"/>
      <c r="F103" s="330"/>
    </row>
    <row r="104" spans="1:6">
      <c r="A104" s="1293" t="s">
        <v>77</v>
      </c>
      <c r="B104" s="1294">
        <v>3071</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37</v>
      </c>
      <c r="C123" s="1294">
        <v>45</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203</v>
      </c>
      <c r="C129" s="330"/>
      <c r="D129" s="330"/>
      <c r="E129" s="330"/>
      <c r="F129" s="330"/>
    </row>
    <row r="130" spans="1:6">
      <c r="A130" s="1293" t="s">
        <v>294</v>
      </c>
      <c r="B130" s="1294">
        <v>0</v>
      </c>
      <c r="C130" s="330"/>
      <c r="D130" s="330"/>
      <c r="E130" s="330"/>
      <c r="F130" s="330"/>
    </row>
    <row r="131" spans="1:6">
      <c r="A131" s="1293" t="s">
        <v>295</v>
      </c>
      <c r="B131" s="1294">
        <v>4</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67472.373335245793</v>
      </c>
      <c r="C3" s="43" t="s">
        <v>169</v>
      </c>
      <c r="D3" s="43"/>
      <c r="E3" s="154"/>
      <c r="F3" s="43"/>
      <c r="G3" s="43"/>
      <c r="H3" s="43"/>
      <c r="I3" s="43"/>
      <c r="J3" s="43"/>
      <c r="K3" s="96"/>
    </row>
    <row r="4" spans="1:11">
      <c r="A4" s="358" t="s">
        <v>170</v>
      </c>
      <c r="B4" s="49">
        <f>IF(ISERROR('SEAP template'!B78+'SEAP template'!C78),0,'SEAP template'!B78+'SEAP template'!C78)</f>
        <v>13821.523352979588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2153.7952941176468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0.2076499231853712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3076.8504201680662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12947.142857142855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1555.194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1555.194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0.2076499231853712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322.9359146383502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30590.624043574699</v>
      </c>
      <c r="C5" s="17">
        <f>IF(ISERROR('Eigen informatie GS &amp; warmtenet'!B57),0,'Eigen informatie GS &amp; warmtenet'!B57)</f>
        <v>0</v>
      </c>
      <c r="D5" s="30">
        <f>(SUM(HH_hh_gas_kWh,HH_rest_gas_kWh)/1000)*0.902</f>
        <v>87156.317905862452</v>
      </c>
      <c r="E5" s="17">
        <f>B46*B57</f>
        <v>12133.019865141272</v>
      </c>
      <c r="F5" s="17">
        <f>B51*B62</f>
        <v>15623.789119079594</v>
      </c>
      <c r="G5" s="18"/>
      <c r="H5" s="17"/>
      <c r="I5" s="17"/>
      <c r="J5" s="17">
        <f>B50*B61+C50*C61</f>
        <v>0</v>
      </c>
      <c r="K5" s="17"/>
      <c r="L5" s="17"/>
      <c r="M5" s="17"/>
      <c r="N5" s="17">
        <f>B48*B59+C48*C59</f>
        <v>12654.978265373325</v>
      </c>
      <c r="O5" s="17">
        <f>B69*B70*B71</f>
        <v>387.70666666666671</v>
      </c>
      <c r="P5" s="17">
        <f>B77*B78*B79/1000-B77*B78*B79/1000/B80</f>
        <v>1201.2</v>
      </c>
    </row>
    <row r="6" spans="1:16">
      <c r="A6" s="16" t="s">
        <v>620</v>
      </c>
      <c r="B6" s="762">
        <f>kWh_PV_kleiner_dan_10kW</f>
        <v>4130.5390215418111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34721.163065116511</v>
      </c>
      <c r="C8" s="21">
        <f>C5</f>
        <v>0</v>
      </c>
      <c r="D8" s="21">
        <f>D5</f>
        <v>87156.317905862452</v>
      </c>
      <c r="E8" s="21">
        <f>E5</f>
        <v>12133.019865141272</v>
      </c>
      <c r="F8" s="21">
        <f>F5</f>
        <v>15623.789119079594</v>
      </c>
      <c r="G8" s="21"/>
      <c r="H8" s="21"/>
      <c r="I8" s="21"/>
      <c r="J8" s="21">
        <f>J5</f>
        <v>0</v>
      </c>
      <c r="K8" s="21"/>
      <c r="L8" s="21">
        <f>L5</f>
        <v>0</v>
      </c>
      <c r="M8" s="21">
        <f>M5</f>
        <v>0</v>
      </c>
      <c r="N8" s="21">
        <f>N5</f>
        <v>12654.978265373325</v>
      </c>
      <c r="O8" s="21">
        <f>O5</f>
        <v>387.70666666666671</v>
      </c>
      <c r="P8" s="21">
        <f>P5</f>
        <v>1201.2</v>
      </c>
    </row>
    <row r="9" spans="1:16">
      <c r="B9" s="19"/>
      <c r="C9" s="19"/>
      <c r="D9" s="258"/>
      <c r="E9" s="19"/>
      <c r="F9" s="19"/>
      <c r="G9" s="19"/>
      <c r="H9" s="19"/>
      <c r="I9" s="19"/>
      <c r="J9" s="19"/>
      <c r="K9" s="19"/>
      <c r="L9" s="19"/>
      <c r="M9" s="19"/>
      <c r="N9" s="19"/>
      <c r="O9" s="19"/>
      <c r="P9" s="19"/>
    </row>
    <row r="10" spans="1:16">
      <c r="A10" s="24" t="s">
        <v>213</v>
      </c>
      <c r="B10" s="25">
        <f ca="1">'EF ele_warmte'!B12</f>
        <v>0.2076499231853712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7209.8468433781909</v>
      </c>
      <c r="C12" s="23">
        <f ca="1">C10*C8</f>
        <v>0</v>
      </c>
      <c r="D12" s="23">
        <f>D8*D10</f>
        <v>17605.576216984216</v>
      </c>
      <c r="E12" s="23">
        <f>E10*E8</f>
        <v>2754.1955093870688</v>
      </c>
      <c r="F12" s="23">
        <f>F10*F8</f>
        <v>4171.5516947942524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3149</v>
      </c>
      <c r="C18" s="166" t="s">
        <v>110</v>
      </c>
      <c r="D18" s="228"/>
      <c r="E18" s="15"/>
    </row>
    <row r="19" spans="1:7">
      <c r="A19" s="171" t="s">
        <v>71</v>
      </c>
      <c r="B19" s="37">
        <f>aantalw2001_ander</f>
        <v>2</v>
      </c>
      <c r="C19" s="166" t="s">
        <v>110</v>
      </c>
      <c r="D19" s="229"/>
      <c r="E19" s="15"/>
    </row>
    <row r="20" spans="1:7">
      <c r="A20" s="171" t="s">
        <v>72</v>
      </c>
      <c r="B20" s="37">
        <f>aantalw2001_propaan</f>
        <v>74</v>
      </c>
      <c r="C20" s="167">
        <f>IF(ISERROR(B20/SUM($B$20,$B$21,$B$22)*100),0,B20/SUM($B$20,$B$21,$B$22)*100)</f>
        <v>11.84</v>
      </c>
      <c r="D20" s="229"/>
      <c r="E20" s="15"/>
    </row>
    <row r="21" spans="1:7">
      <c r="A21" s="171" t="s">
        <v>73</v>
      </c>
      <c r="B21" s="37">
        <f>aantalw2001_elektriciteit</f>
        <v>495</v>
      </c>
      <c r="C21" s="167">
        <f>IF(ISERROR(B21/SUM($B$20,$B$21,$B$22)*100),0,B21/SUM($B$20,$B$21,$B$22)*100)</f>
        <v>79.2</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86</v>
      </c>
      <c r="C23" s="166" t="s">
        <v>110</v>
      </c>
      <c r="D23" s="228"/>
      <c r="E23" s="15"/>
    </row>
    <row r="24" spans="1:7">
      <c r="A24" s="171" t="s">
        <v>76</v>
      </c>
      <c r="B24" s="37">
        <f>aantalw2001_steenkool</f>
        <v>107</v>
      </c>
      <c r="C24" s="166" t="s">
        <v>110</v>
      </c>
      <c r="D24" s="229"/>
      <c r="E24" s="15"/>
    </row>
    <row r="25" spans="1:7">
      <c r="A25" s="171" t="s">
        <v>77</v>
      </c>
      <c r="B25" s="37">
        <f>aantalw2001_stookolie</f>
        <v>3071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8479</v>
      </c>
      <c r="C28" s="36"/>
      <c r="D28" s="228"/>
    </row>
    <row r="29" spans="1:7" s="15" customFormat="1">
      <c r="A29" s="230" t="s">
        <v>781</v>
      </c>
      <c r="B29" s="37">
        <f>SUM(HH_hh_gas_aantal,HH_rest_gas_aantal)</f>
        <v>5729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5729</v>
      </c>
      <c r="C32" s="167">
        <f>IF(ISERROR(B32/SUM($B$32,$B$34,$B$35,$B$36,$B$38,$B$39)*100),0,B32/SUM($B$32,$B$34,$B$35,$B$36,$B$38,$B$39)*100)</f>
        <v>68.072718631178702</v>
      </c>
      <c r="D32" s="233"/>
      <c r="G32" s="15"/>
    </row>
    <row r="33" spans="1:7">
      <c r="A33" s="171" t="s">
        <v>71</v>
      </c>
      <c r="B33" s="34" t="s">
        <v>110</v>
      </c>
      <c r="C33" s="167"/>
      <c r="D33" s="233"/>
      <c r="G33" s="15"/>
    </row>
    <row r="34" spans="1:7">
      <c r="A34" s="171" t="s">
        <v>72</v>
      </c>
      <c r="B34" s="33">
        <f>IF((($B$28-$B$32-$B$39-$B$77-$B$38)*C20/100)&lt;0,0,($B$28-$B$32-$B$39-$B$77-$B$38)*C20/100)</f>
        <v>229.45919999999998</v>
      </c>
      <c r="C34" s="167">
        <f>IF(ISERROR(B34/SUM($B$32,$B$34,$B$35,$B$36,$B$38,$B$39)*100),0,B34/SUM($B$32,$B$34,$B$35,$B$36,$B$38,$B$39)*100)</f>
        <v>2.7264638783269959</v>
      </c>
      <c r="D34" s="233"/>
      <c r="G34" s="15"/>
    </row>
    <row r="35" spans="1:7">
      <c r="A35" s="171" t="s">
        <v>73</v>
      </c>
      <c r="B35" s="33">
        <f>IF((($B$28-$B$32-$B$39-$B$77-$B$38)*C21/100)&lt;0,0,($B$28-$B$32-$B$39-$B$77-$B$38)*C21/100)</f>
        <v>1534.896</v>
      </c>
      <c r="C35" s="167">
        <f>IF(ISERROR(B35/SUM($B$32,$B$34,$B$35,$B$36,$B$38,$B$39)*100),0,B35/SUM($B$32,$B$34,$B$35,$B$36,$B$38,$B$39)*100)</f>
        <v>18.237832699619773</v>
      </c>
      <c r="D35" s="233"/>
      <c r="G35" s="15"/>
    </row>
    <row r="36" spans="1:7">
      <c r="A36" s="171" t="s">
        <v>74</v>
      </c>
      <c r="B36" s="33">
        <f>IF((($B$28-$B$32-$B$39-$B$77-$B$38)*C22/100)&lt;0,0,($B$28-$B$32-$B$39-$B$77-$B$38)*C22/100)</f>
        <v>173.6448</v>
      </c>
      <c r="C36" s="167">
        <f>IF(ISERROR(B36/SUM($B$32,$B$34,$B$35,$B$36,$B$38,$B$39)*100),0,B36/SUM($B$32,$B$34,$B$35,$B$36,$B$38,$B$39)*100)</f>
        <v>2.0632699619771864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749</v>
      </c>
      <c r="C39" s="167">
        <f>IF(ISERROR(B39/SUM($B$32,$B$34,$B$35,$B$36,$B$38,$B$39)*100),0,B39/SUM($B$32,$B$34,$B$35,$B$36,$B$38,$B$39)*100)</f>
        <v>8.8997148288973378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5729</v>
      </c>
      <c r="C44" s="34" t="s">
        <v>110</v>
      </c>
      <c r="D44" s="174"/>
    </row>
    <row r="45" spans="1:7">
      <c r="A45" s="171" t="s">
        <v>71</v>
      </c>
      <c r="B45" s="33" t="str">
        <f t="shared" si="0"/>
        <v>-</v>
      </c>
      <c r="C45" s="34" t="s">
        <v>110</v>
      </c>
      <c r="D45" s="174"/>
    </row>
    <row r="46" spans="1:7">
      <c r="A46" s="171" t="s">
        <v>72</v>
      </c>
      <c r="B46" s="33">
        <f t="shared" si="0"/>
        <v>229.45919999999998</v>
      </c>
      <c r="C46" s="34" t="s">
        <v>110</v>
      </c>
      <c r="D46" s="174"/>
    </row>
    <row r="47" spans="1:7">
      <c r="A47" s="171" t="s">
        <v>73</v>
      </c>
      <c r="B47" s="33">
        <f t="shared" si="0"/>
        <v>1534.896</v>
      </c>
      <c r="C47" s="34" t="s">
        <v>110</v>
      </c>
      <c r="D47" s="174"/>
    </row>
    <row r="48" spans="1:7">
      <c r="A48" s="171" t="s">
        <v>74</v>
      </c>
      <c r="B48" s="33">
        <f t="shared" si="0"/>
        <v>173.6448</v>
      </c>
      <c r="C48" s="33">
        <f>B48*10</f>
        <v>1736.4480000000001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749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20567.387643157486</v>
      </c>
      <c r="C5" s="17">
        <f>IF(ISERROR('Eigen informatie GS &amp; warmtenet'!B58),0,'Eigen informatie GS &amp; warmtenet'!B58)</f>
        <v>0</v>
      </c>
      <c r="D5" s="30">
        <f>SUM(D6:D12)</f>
        <v>22773.117751804075</v>
      </c>
      <c r="E5" s="17">
        <f>SUM(E6:E12)</f>
        <v>346.40849673709715</v>
      </c>
      <c r="F5" s="17">
        <f>SUM(F6:F12)</f>
        <v>3791.6866379186717</v>
      </c>
      <c r="G5" s="18"/>
      <c r="H5" s="17"/>
      <c r="I5" s="17"/>
      <c r="J5" s="17">
        <f>SUM(J6:J12)</f>
        <v>6.9432316287181883E-2</v>
      </c>
      <c r="K5" s="17"/>
      <c r="L5" s="17"/>
      <c r="M5" s="17"/>
      <c r="N5" s="17">
        <f>SUM(N6:N12)</f>
        <v>2751.0028205714857</v>
      </c>
      <c r="O5" s="17">
        <f>B38*B39*B40</f>
        <v>0</v>
      </c>
      <c r="P5" s="17">
        <f>B46*B47*B48/1000-B46*B47*B48/1000/B49</f>
        <v>76.266666666666666</v>
      </c>
      <c r="R5" s="32"/>
    </row>
    <row r="6" spans="1:18">
      <c r="A6" s="32" t="s">
        <v>53</v>
      </c>
      <c r="B6" s="37">
        <f>B26</f>
        <v>4831.9640947226499</v>
      </c>
      <c r="C6" s="33"/>
      <c r="D6" s="37">
        <f>IF(ISERROR(TER_kantoor_gas_kWh/1000),0,TER_kantoor_gas_kWh/1000)*0.902</f>
        <v>6052.3148657777738</v>
      </c>
      <c r="E6" s="33">
        <f>$C$26*'E Balans VL '!I12/100/3.6*1000000</f>
        <v>3.0285143859640932E-2</v>
      </c>
      <c r="F6" s="33">
        <f>$C$26*('E Balans VL '!L12+'E Balans VL '!N12)/100/3.6*1000000</f>
        <v>726.10918548283735</v>
      </c>
      <c r="G6" s="34"/>
      <c r="H6" s="33"/>
      <c r="I6" s="33"/>
      <c r="J6" s="33">
        <f>$C$26*('E Balans VL '!D12+'E Balans VL '!E12)/100/3.6*1000000</f>
        <v>0</v>
      </c>
      <c r="K6" s="33"/>
      <c r="L6" s="33"/>
      <c r="M6" s="33"/>
      <c r="N6" s="33">
        <f>$C$26*'E Balans VL '!Y12/100/3.6*1000000</f>
        <v>4.6210572393025533</v>
      </c>
      <c r="O6" s="33"/>
      <c r="P6" s="33"/>
      <c r="R6" s="32"/>
    </row>
    <row r="7" spans="1:18">
      <c r="A7" s="32" t="s">
        <v>52</v>
      </c>
      <c r="B7" s="37">
        <f t="shared" ref="B7:B12" si="0">B27</f>
        <v>1095.36487068713</v>
      </c>
      <c r="C7" s="33"/>
      <c r="D7" s="37">
        <f>IF(ISERROR(TER_horeca_gas_kWh/1000),0,TER_horeca_gas_kWh/1000)*0.902</f>
        <v>1005.6989982329491</v>
      </c>
      <c r="E7" s="33">
        <f>$C$27*'E Balans VL '!I9/100/3.6*1000000</f>
        <v>15.685442495282173</v>
      </c>
      <c r="F7" s="33">
        <f>$C$27*('E Balans VL '!L9+'E Balans VL '!N9)/100/3.6*1000000</f>
        <v>138.70931915423151</v>
      </c>
      <c r="G7" s="34"/>
      <c r="H7" s="33"/>
      <c r="I7" s="33"/>
      <c r="J7" s="33">
        <f>$C$27*('E Balans VL '!D9+'E Balans VL '!E9)/100/3.6*1000000</f>
        <v>0</v>
      </c>
      <c r="K7" s="33"/>
      <c r="L7" s="33"/>
      <c r="M7" s="33"/>
      <c r="N7" s="33">
        <f>$C$27*'E Balans VL '!Y9/100/3.6*1000000</f>
        <v>0.31489324960024118</v>
      </c>
      <c r="O7" s="33"/>
      <c r="P7" s="33"/>
      <c r="R7" s="32"/>
    </row>
    <row r="8" spans="1:18">
      <c r="A8" s="6" t="s">
        <v>51</v>
      </c>
      <c r="B8" s="37">
        <f t="shared" si="0"/>
        <v>7991.9520121855994</v>
      </c>
      <c r="C8" s="33"/>
      <c r="D8" s="37">
        <f>IF(ISERROR(TER_handel_gas_kWh/1000),0,TER_handel_gas_kWh/1000)*0.902</f>
        <v>4592.8682940393837</v>
      </c>
      <c r="E8" s="33">
        <f>$C$28*'E Balans VL '!I13/100/3.6*1000000</f>
        <v>289.86711395860249</v>
      </c>
      <c r="F8" s="33">
        <f>$C$28*('E Balans VL '!L13+'E Balans VL '!N13)/100/3.6*1000000</f>
        <v>1539.330881206035</v>
      </c>
      <c r="G8" s="34"/>
      <c r="H8" s="33"/>
      <c r="I8" s="33"/>
      <c r="J8" s="33">
        <f>$C$28*('E Balans VL '!D13+'E Balans VL '!E13)/100/3.6*1000000</f>
        <v>0</v>
      </c>
      <c r="K8" s="33"/>
      <c r="L8" s="33"/>
      <c r="M8" s="33"/>
      <c r="N8" s="33">
        <f>$C$28*'E Balans VL '!Y13/100/3.6*1000000</f>
        <v>11.070692403024086</v>
      </c>
      <c r="O8" s="33"/>
      <c r="P8" s="33"/>
      <c r="R8" s="32"/>
    </row>
    <row r="9" spans="1:18">
      <c r="A9" s="32" t="s">
        <v>50</v>
      </c>
      <c r="B9" s="37">
        <f t="shared" si="0"/>
        <v>797.26943717742699</v>
      </c>
      <c r="C9" s="33"/>
      <c r="D9" s="37">
        <f>IF(ISERROR(TER_gezond_gas_kWh/1000),0,TER_gezond_gas_kWh/1000)*0.902</f>
        <v>1085.8317138951247</v>
      </c>
      <c r="E9" s="33">
        <f>$C$29*'E Balans VL '!I10/100/3.6*1000000</f>
        <v>4.9916938380909832E-2</v>
      </c>
      <c r="F9" s="33">
        <f>$C$29*('E Balans VL '!L10+'E Balans VL '!N10)/100/3.6*1000000</f>
        <v>118.43680234696448</v>
      </c>
      <c r="G9" s="34"/>
      <c r="H9" s="33"/>
      <c r="I9" s="33"/>
      <c r="J9" s="33">
        <f>$C$29*('E Balans VL '!D10+'E Balans VL '!E10)/100/3.6*1000000</f>
        <v>0</v>
      </c>
      <c r="K9" s="33"/>
      <c r="L9" s="33"/>
      <c r="M9" s="33"/>
      <c r="N9" s="33">
        <f>$C$29*'E Balans VL '!Y10/100/3.6*1000000</f>
        <v>12.332240584185147</v>
      </c>
      <c r="O9" s="33"/>
      <c r="P9" s="33"/>
      <c r="R9" s="32"/>
    </row>
    <row r="10" spans="1:18">
      <c r="A10" s="32" t="s">
        <v>49</v>
      </c>
      <c r="B10" s="37">
        <f t="shared" si="0"/>
        <v>2894.7048503512697</v>
      </c>
      <c r="C10" s="33"/>
      <c r="D10" s="37">
        <f>IF(ISERROR(TER_ander_gas_kWh/1000),0,TER_ander_gas_kWh/1000)*0.902</f>
        <v>2491.4837512144568</v>
      </c>
      <c r="E10" s="33">
        <f>$C$30*'E Balans VL '!I14/100/3.6*1000000</f>
        <v>3.4503847423455278</v>
      </c>
      <c r="F10" s="33">
        <f>$C$30*('E Balans VL '!L14+'E Balans VL '!N14)/100/3.6*1000000</f>
        <v>757.38347732194188</v>
      </c>
      <c r="G10" s="34"/>
      <c r="H10" s="33"/>
      <c r="I10" s="33"/>
      <c r="J10" s="33">
        <f>$C$30*('E Balans VL '!D14+'E Balans VL '!E14)/100/3.6*1000000</f>
        <v>6.2832695371423636E-2</v>
      </c>
      <c r="K10" s="33"/>
      <c r="L10" s="33"/>
      <c r="M10" s="33"/>
      <c r="N10" s="33">
        <f>$C$30*'E Balans VL '!Y14/100/3.6*1000000</f>
        <v>2458.1125264876473</v>
      </c>
      <c r="O10" s="33"/>
      <c r="P10" s="33"/>
      <c r="R10" s="32"/>
    </row>
    <row r="11" spans="1:18">
      <c r="A11" s="32" t="s">
        <v>54</v>
      </c>
      <c r="B11" s="37">
        <f t="shared" si="0"/>
        <v>230.73401495554901</v>
      </c>
      <c r="C11" s="33"/>
      <c r="D11" s="37">
        <f>IF(ISERROR(TER_onderwijs_gas_kWh/1000),0,TER_onderwijs_gas_kWh/1000)*0.902</f>
        <v>617.74779928082069</v>
      </c>
      <c r="E11" s="33">
        <f>$C$31*'E Balans VL '!I11/100/3.6*1000000</f>
        <v>3.4814046532097307</v>
      </c>
      <c r="F11" s="33">
        <f>$C$31*('E Balans VL '!L11+'E Balans VL '!N11)/100/3.6*1000000</f>
        <v>40.428285505760911</v>
      </c>
      <c r="G11" s="34"/>
      <c r="H11" s="33"/>
      <c r="I11" s="33"/>
      <c r="J11" s="33">
        <f>$C$31*('E Balans VL '!D11+'E Balans VL '!E11)/100/3.6*1000000</f>
        <v>0</v>
      </c>
      <c r="K11" s="33"/>
      <c r="L11" s="33"/>
      <c r="M11" s="33"/>
      <c r="N11" s="33">
        <f>$C$31*'E Balans VL '!Y11/100/3.6*1000000</f>
        <v>0.64930305915272857</v>
      </c>
      <c r="O11" s="33"/>
      <c r="P11" s="33"/>
      <c r="R11" s="32"/>
    </row>
    <row r="12" spans="1:18">
      <c r="A12" s="32" t="s">
        <v>259</v>
      </c>
      <c r="B12" s="37">
        <f t="shared" si="0"/>
        <v>2725.3983630778598</v>
      </c>
      <c r="C12" s="33"/>
      <c r="D12" s="37">
        <f>IF(ISERROR(TER_rest_gas_kWh/1000),0,TER_rest_gas_kWh/1000)*0.902</f>
        <v>6927.1723293635687</v>
      </c>
      <c r="E12" s="33">
        <f>$C$32*'E Balans VL '!I8/100/3.6*1000000</f>
        <v>33.843948805416659</v>
      </c>
      <c r="F12" s="33">
        <f>$C$32*('E Balans VL '!L8+'E Balans VL '!N8)/100/3.6*1000000</f>
        <v>471.28868690090013</v>
      </c>
      <c r="G12" s="34"/>
      <c r="H12" s="33"/>
      <c r="I12" s="33"/>
      <c r="J12" s="33">
        <f>$C$32*('E Balans VL '!D8+'E Balans VL '!E8)/100/3.6*1000000</f>
        <v>6.5996209157582484E-3</v>
      </c>
      <c r="K12" s="33"/>
      <c r="L12" s="33"/>
      <c r="M12" s="33"/>
      <c r="N12" s="33">
        <f>$C$32*'E Balans VL '!Y8/100/3.6*1000000</f>
        <v>263.90210754857355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20567.387643157486</v>
      </c>
      <c r="C16" s="21">
        <f t="shared" ca="1" si="1"/>
        <v>0</v>
      </c>
      <c r="D16" s="21">
        <f t="shared" ca="1" si="1"/>
        <v>22773.117751804075</v>
      </c>
      <c r="E16" s="21">
        <f t="shared" si="1"/>
        <v>346.40849673709715</v>
      </c>
      <c r="F16" s="21">
        <f t="shared" ca="1" si="1"/>
        <v>3791.6866379186717</v>
      </c>
      <c r="G16" s="21">
        <f t="shared" si="1"/>
        <v>0</v>
      </c>
      <c r="H16" s="21">
        <f t="shared" si="1"/>
        <v>0</v>
      </c>
      <c r="I16" s="21">
        <f t="shared" si="1"/>
        <v>0</v>
      </c>
      <c r="J16" s="21">
        <f t="shared" si="1"/>
        <v>6.9432316287181883E-2</v>
      </c>
      <c r="K16" s="21">
        <f t="shared" si="1"/>
        <v>0</v>
      </c>
      <c r="L16" s="21">
        <f t="shared" ca="1" si="1"/>
        <v>0</v>
      </c>
      <c r="M16" s="21">
        <f t="shared" si="1"/>
        <v>0</v>
      </c>
      <c r="N16" s="21">
        <f t="shared" ca="1" si="1"/>
        <v>2751.0028205714857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0.2076499231853712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4270.8164642254051</v>
      </c>
      <c r="C20" s="23">
        <f t="shared" ref="C20:P20" ca="1" si="2">C16*C18</f>
        <v>0</v>
      </c>
      <c r="D20" s="23">
        <f t="shared" ca="1" si="2"/>
        <v>4600.1697858644238</v>
      </c>
      <c r="E20" s="23">
        <f t="shared" si="2"/>
        <v>78.63472875932105</v>
      </c>
      <c r="F20" s="23">
        <f t="shared" ca="1" si="2"/>
        <v>1012.3803323242854</v>
      </c>
      <c r="G20" s="23">
        <f t="shared" si="2"/>
        <v>0</v>
      </c>
      <c r="H20" s="23">
        <f t="shared" si="2"/>
        <v>0</v>
      </c>
      <c r="I20" s="23">
        <f t="shared" si="2"/>
        <v>0</v>
      </c>
      <c r="J20" s="23">
        <f t="shared" si="2"/>
        <v>2.4579039965662384E-2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4831.9640947226499</v>
      </c>
      <c r="C26" s="39">
        <f>IF(ISERROR(B26*3.6/1000000/'E Balans VL '!Z12*100),0,B26*3.6/1000000/'E Balans VL '!Z12*100)</f>
        <v>0.10214006651302208</v>
      </c>
      <c r="D26" s="237" t="s">
        <v>744</v>
      </c>
      <c r="F26" s="6"/>
    </row>
    <row r="27" spans="1:18">
      <c r="A27" s="231" t="s">
        <v>52</v>
      </c>
      <c r="B27" s="33">
        <f>IF(ISERROR(TER_horeca_ele_kWh/1000),0,TER_horeca_ele_kWh/1000)</f>
        <v>1095.36487068713</v>
      </c>
      <c r="C27" s="39">
        <f>IF(ISERROR(B27*3.6/1000000/'E Balans VL '!Z9*100),0,B27*3.6/1000000/'E Balans VL '!Z9*100)</f>
        <v>8.6347204492936563E-2</v>
      </c>
      <c r="D27" s="237" t="s">
        <v>744</v>
      </c>
      <c r="F27" s="6"/>
    </row>
    <row r="28" spans="1:18">
      <c r="A28" s="171" t="s">
        <v>51</v>
      </c>
      <c r="B28" s="33">
        <f>IF(ISERROR(TER_handel_ele_kWh/1000),0,TER_handel_ele_kWh/1000)</f>
        <v>7991.9520121855994</v>
      </c>
      <c r="C28" s="39">
        <f>IF(ISERROR(B28*3.6/1000000/'E Balans VL '!Z13*100),0,B28*3.6/1000000/'E Balans VL '!Z13*100)</f>
        <v>0.23195873849817067</v>
      </c>
      <c r="D28" s="237" t="s">
        <v>744</v>
      </c>
      <c r="F28" s="6"/>
    </row>
    <row r="29" spans="1:18">
      <c r="A29" s="231" t="s">
        <v>50</v>
      </c>
      <c r="B29" s="33">
        <f>IF(ISERROR(TER_gezond_ele_kWh/1000),0,TER_gezond_ele_kWh/1000)</f>
        <v>797.26943717742699</v>
      </c>
      <c r="C29" s="39">
        <f>IF(ISERROR(B29*3.6/1000000/'E Balans VL '!Z10*100),0,B29*3.6/1000000/'E Balans VL '!Z10*100)</f>
        <v>8.3965563244506783E-2</v>
      </c>
      <c r="D29" s="237" t="s">
        <v>744</v>
      </c>
      <c r="F29" s="6"/>
    </row>
    <row r="30" spans="1:18">
      <c r="A30" s="231" t="s">
        <v>49</v>
      </c>
      <c r="B30" s="33">
        <f>IF(ISERROR(TER_ander_ele_kWh/1000),0,TER_ander_ele_kWh/1000)</f>
        <v>2894.7048503512697</v>
      </c>
      <c r="C30" s="39">
        <f>IF(ISERROR(B30*3.6/1000000/'E Balans VL '!Z14*100),0,B30*3.6/1000000/'E Balans VL '!Z14*100)</f>
        <v>0.21351405848867563</v>
      </c>
      <c r="D30" s="237" t="s">
        <v>744</v>
      </c>
      <c r="F30" s="6"/>
    </row>
    <row r="31" spans="1:18">
      <c r="A31" s="231" t="s">
        <v>54</v>
      </c>
      <c r="B31" s="33">
        <f>IF(ISERROR(TER_onderwijs_ele_kWh/1000),0,TER_onderwijs_ele_kWh/1000)</f>
        <v>230.73401495554901</v>
      </c>
      <c r="C31" s="39">
        <f>IF(ISERROR(B31*3.6/1000000/'E Balans VL '!Z11*100),0,B31*3.6/1000000/'E Balans VL '!Z11*100)</f>
        <v>5.7302064131241545E-2</v>
      </c>
      <c r="D31" s="237" t="s">
        <v>744</v>
      </c>
    </row>
    <row r="32" spans="1:18">
      <c r="A32" s="231" t="s">
        <v>259</v>
      </c>
      <c r="B32" s="33">
        <f>IF(ISERROR(TER_rest_ele_kWh/1000),0,TER_rest_ele_kWh/1000)</f>
        <v>2725.3983630778598</v>
      </c>
      <c r="C32" s="39">
        <f>IF(ISERROR(B32*3.6/1000000/'E Balans VL '!Z8*100),0,B32*3.6/1000000/'E Balans VL '!Z8*100)</f>
        <v>2.2426410929542243E-2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8982.2496461905939</v>
      </c>
      <c r="C5" s="17">
        <f>IF(ISERROR('Eigen informatie GS &amp; warmtenet'!B59),0,'Eigen informatie GS &amp; warmtenet'!B59)</f>
        <v>0</v>
      </c>
      <c r="D5" s="30">
        <f>SUM(D6:D15)</f>
        <v>6410.9047406699747</v>
      </c>
      <c r="E5" s="17">
        <f>SUM(E6:E15)</f>
        <v>682.31066312358655</v>
      </c>
      <c r="F5" s="17">
        <f>SUM(F6:F15)</f>
        <v>2230.6844944944628</v>
      </c>
      <c r="G5" s="18"/>
      <c r="H5" s="17"/>
      <c r="I5" s="17"/>
      <c r="J5" s="17">
        <f>SUM(J6:J15)</f>
        <v>25.54469445441671</v>
      </c>
      <c r="K5" s="17"/>
      <c r="L5" s="17"/>
      <c r="M5" s="17"/>
      <c r="N5" s="17">
        <f>SUM(N6:N15)</f>
        <v>870.73763208758351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59.145401085765101</v>
      </c>
      <c r="C8" s="33"/>
      <c r="D8" s="37">
        <f>IF( ISERROR(IND_metaal_Gas_kWH/1000),0,IND_metaal_Gas_kWH/1000)*0.902</f>
        <v>0</v>
      </c>
      <c r="E8" s="33">
        <f>C30*'E Balans VL '!I18/100/3.6*1000000</f>
        <v>0.54378483981199843</v>
      </c>
      <c r="F8" s="33">
        <f>C30*'E Balans VL '!L18/100/3.6*1000000+C30*'E Balans VL '!N18/100/3.6*1000000</f>
        <v>5.5458694721162587</v>
      </c>
      <c r="G8" s="34"/>
      <c r="H8" s="33"/>
      <c r="I8" s="33"/>
      <c r="J8" s="40">
        <f>C30*'E Balans VL '!D18/100/3.6*1000000+C30*'E Balans VL '!E18/100/3.6*1000000</f>
        <v>0</v>
      </c>
      <c r="K8" s="33"/>
      <c r="L8" s="33"/>
      <c r="M8" s="33"/>
      <c r="N8" s="33">
        <f>C30*'E Balans VL '!Y18/100/3.6*1000000</f>
        <v>0.84380688837974682</v>
      </c>
      <c r="O8" s="33"/>
      <c r="P8" s="33"/>
      <c r="R8" s="32"/>
    </row>
    <row r="9" spans="1:18">
      <c r="A9" s="6" t="s">
        <v>32</v>
      </c>
      <c r="B9" s="37">
        <f t="shared" si="0"/>
        <v>985.78160001748699</v>
      </c>
      <c r="C9" s="33"/>
      <c r="D9" s="37">
        <f>IF( ISERROR(IND_andere_gas_kWh/1000),0,IND_andere_gas_kWh/1000)*0.902</f>
        <v>794.27528240091999</v>
      </c>
      <c r="E9" s="33">
        <f>C31*'E Balans VL '!I19/100/3.6*1000000</f>
        <v>288.16315258930968</v>
      </c>
      <c r="F9" s="33">
        <f>C31*'E Balans VL '!L19/100/3.6*1000000+C31*'E Balans VL '!N19/100/3.6*1000000</f>
        <v>792.15013242493762</v>
      </c>
      <c r="G9" s="34"/>
      <c r="H9" s="33"/>
      <c r="I9" s="33"/>
      <c r="J9" s="40">
        <f>C31*'E Balans VL '!D19/100/3.6*1000000+C31*'E Balans VL '!E19/100/3.6*1000000</f>
        <v>0</v>
      </c>
      <c r="K9" s="33"/>
      <c r="L9" s="33"/>
      <c r="M9" s="33"/>
      <c r="N9" s="33">
        <f>C31*'E Balans VL '!Y19/100/3.6*1000000</f>
        <v>77.323369847489772</v>
      </c>
      <c r="O9" s="33"/>
      <c r="P9" s="33"/>
      <c r="R9" s="32"/>
    </row>
    <row r="10" spans="1:18">
      <c r="A10" s="6" t="s">
        <v>40</v>
      </c>
      <c r="B10" s="37">
        <f t="shared" si="0"/>
        <v>135.81017235805899</v>
      </c>
      <c r="C10" s="33"/>
      <c r="D10" s="37">
        <f>IF( ISERROR(IND_voed_gas_kWh/1000),0,IND_voed_gas_kWh/1000)*0.902</f>
        <v>0</v>
      </c>
      <c r="E10" s="33">
        <f>C32*'E Balans VL '!I20/100/3.6*1000000</f>
        <v>0.28730852538513663</v>
      </c>
      <c r="F10" s="33">
        <f>C32*'E Balans VL '!L20/100/3.6*1000000+C32*'E Balans VL '!N20/100/3.6*1000000</f>
        <v>8.6349494845483754</v>
      </c>
      <c r="G10" s="34"/>
      <c r="H10" s="33"/>
      <c r="I10" s="33"/>
      <c r="J10" s="40">
        <f>C32*'E Balans VL '!D20/100/3.6*1000000+C32*'E Balans VL '!E20/100/3.6*1000000</f>
        <v>0</v>
      </c>
      <c r="K10" s="33"/>
      <c r="L10" s="33"/>
      <c r="M10" s="33"/>
      <c r="N10" s="33">
        <f>C32*'E Balans VL '!Y20/100/3.6*1000000</f>
        <v>9.3722421002343115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696.15998983007205</v>
      </c>
      <c r="C13" s="33"/>
      <c r="D13" s="37">
        <f>IF( ISERROR(IND_papier_gas_kWh/1000),0,IND_papier_gas_kWh/1000)*0.902</f>
        <v>102.79100579520397</v>
      </c>
      <c r="E13" s="33">
        <f>C35*'E Balans VL '!I23/100/3.6*1000000</f>
        <v>0.98769181501514636</v>
      </c>
      <c r="F13" s="33">
        <f>C35*'E Balans VL '!L23/100/3.6*1000000+C35*'E Balans VL '!N23/100/3.6*1000000</f>
        <v>16.995883082090433</v>
      </c>
      <c r="G13" s="34"/>
      <c r="H13" s="33"/>
      <c r="I13" s="33"/>
      <c r="J13" s="40">
        <f>C35*'E Balans VL '!D23/100/3.6*1000000+C35*'E Balans VL '!E23/100/3.6*1000000</f>
        <v>0.1076676783754892</v>
      </c>
      <c r="K13" s="33"/>
      <c r="L13" s="33"/>
      <c r="M13" s="33"/>
      <c r="N13" s="33">
        <f>C35*'E Balans VL '!Y23/100/3.6*1000000</f>
        <v>284.44087820165544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7105.3524828992104</v>
      </c>
      <c r="C15" s="33"/>
      <c r="D15" s="37">
        <f>IF( ISERROR(IND_rest_gas_kWh/1000),0,IND_rest_gas_kWh/1000)*0.902</f>
        <v>5513.8384524738503</v>
      </c>
      <c r="E15" s="33">
        <f>C37*'E Balans VL '!I15/100/3.6*1000000</f>
        <v>392.3287253540646</v>
      </c>
      <c r="F15" s="33">
        <f>C37*'E Balans VL '!L15/100/3.6*1000000+C37*'E Balans VL '!N15/100/3.6*1000000</f>
        <v>1407.3576600307701</v>
      </c>
      <c r="G15" s="34"/>
      <c r="H15" s="33"/>
      <c r="I15" s="33"/>
      <c r="J15" s="40">
        <f>C37*'E Balans VL '!D15/100/3.6*1000000+C37*'E Balans VL '!E15/100/3.6*1000000</f>
        <v>25.437026776041222</v>
      </c>
      <c r="K15" s="33"/>
      <c r="L15" s="33"/>
      <c r="M15" s="33"/>
      <c r="N15" s="33">
        <f>C37*'E Balans VL '!Y15/100/3.6*1000000</f>
        <v>498.75733504982429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8982.2496461905939</v>
      </c>
      <c r="C18" s="21">
        <f>C5+C16</f>
        <v>0</v>
      </c>
      <c r="D18" s="21">
        <f>MAX((D5+D16),0)</f>
        <v>6410.9047406699747</v>
      </c>
      <c r="E18" s="21">
        <f>MAX((E5+E16),0)</f>
        <v>682.31066312358655</v>
      </c>
      <c r="F18" s="21">
        <f>MAX((F5+F16),0)</f>
        <v>2230.6844944944628</v>
      </c>
      <c r="G18" s="21"/>
      <c r="H18" s="21"/>
      <c r="I18" s="21"/>
      <c r="J18" s="21">
        <f>MAX((J5+J16),0)</f>
        <v>25.54469445441671</v>
      </c>
      <c r="K18" s="21"/>
      <c r="L18" s="21">
        <f>MAX((L5+L16),0)</f>
        <v>0</v>
      </c>
      <c r="M18" s="21"/>
      <c r="N18" s="21">
        <f>MAX((N5+N16),0)</f>
        <v>870.73763208758351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0.2076499231853712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1865.1634490633046</v>
      </c>
      <c r="C22" s="23">
        <f ca="1">C18*C20</f>
        <v>0</v>
      </c>
      <c r="D22" s="23">
        <f>D18*D20</f>
        <v>1295.002757615335</v>
      </c>
      <c r="E22" s="23">
        <f>E18*E20</f>
        <v>154.88452052905416</v>
      </c>
      <c r="F22" s="23">
        <f>F18*F20</f>
        <v>595.59276003002162</v>
      </c>
      <c r="G22" s="23"/>
      <c r="H22" s="23"/>
      <c r="I22" s="23"/>
      <c r="J22" s="23">
        <f>J18*J20</f>
        <v>9.0428218368635154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59.145401085765101</v>
      </c>
      <c r="C30" s="39">
        <f>IF(ISERROR(B30*3.6/1000000/'E Balans VL '!Z18*100),0,B30*3.6/1000000/'E Balans VL '!Z18*100)</f>
        <v>3.3519215382579069E-3</v>
      </c>
      <c r="D30" s="237" t="s">
        <v>744</v>
      </c>
    </row>
    <row r="31" spans="1:18">
      <c r="A31" s="6" t="s">
        <v>32</v>
      </c>
      <c r="B31" s="37">
        <f>IF( ISERROR(IND_ander_ele_kWh/1000),0,IND_ander_ele_kWh/1000)</f>
        <v>985.78160001748699</v>
      </c>
      <c r="C31" s="39">
        <f>IF(ISERROR(B31*3.6/1000000/'E Balans VL '!Z19*100),0,B31*3.6/1000000/'E Balans VL '!Z19*100)</f>
        <v>4.4710948653652188E-2</v>
      </c>
      <c r="D31" s="237" t="s">
        <v>744</v>
      </c>
    </row>
    <row r="32" spans="1:18">
      <c r="A32" s="171" t="s">
        <v>40</v>
      </c>
      <c r="B32" s="37">
        <f>IF( ISERROR(IND_voed_ele_kWh/1000),0,IND_voed_ele_kWh/1000)</f>
        <v>135.81017235805899</v>
      </c>
      <c r="C32" s="39">
        <f>IF(ISERROR(B32*3.6/1000000/'E Balans VL '!Z20*100),0,B32*3.6/1000000/'E Balans VL '!Z20*100)</f>
        <v>4.2012251571605826E-3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696.15998983007205</v>
      </c>
      <c r="C35" s="39">
        <f>IF(ISERROR(B35*3.6/1000000/'E Balans VL '!Z22*100),0,B35*3.6/1000000/'E Balans VL '!Z22*100)</f>
        <v>0.12521746222889399</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7105.3524828992104</v>
      </c>
      <c r="C37" s="39">
        <f>IF(ISERROR(B37*3.6/1000000/'E Balans VL '!Z15*100),0,B37*3.6/1000000/'E Balans VL '!Z15*100)</f>
        <v>5.6318644629729138E-2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562.63216310202699</v>
      </c>
      <c r="C5" s="17">
        <f>'Eigen informatie GS &amp; warmtenet'!B60</f>
        <v>0</v>
      </c>
      <c r="D5" s="30">
        <f>IF(ISERROR(SUM(LB_lb_gas_kWh,LB_rest_gas_kWh)/1000),0,SUM(LB_lb_gas_kWh,LB_rest_gas_kWh)/1000)*0.902</f>
        <v>20450.222873807172</v>
      </c>
      <c r="E5" s="17">
        <f>B17*'E Balans VL '!I25/3.6*1000000/100</f>
        <v>16.537477750543882</v>
      </c>
      <c r="F5" s="17">
        <f>B17*('E Balans VL '!L25/3.6*1000000+'E Balans VL '!N25/3.6*1000000)/100</f>
        <v>2343.8951884367361</v>
      </c>
      <c r="G5" s="18"/>
      <c r="H5" s="17"/>
      <c r="I5" s="17"/>
      <c r="J5" s="17">
        <f>('E Balans VL '!D25+'E Balans VL '!E25)/3.6*1000000*landbouw!B17/100</f>
        <v>81.513317769472224</v>
      </c>
      <c r="K5" s="17"/>
      <c r="L5" s="17">
        <f>L6*(-1)</f>
        <v>0</v>
      </c>
      <c r="M5" s="17"/>
      <c r="N5" s="17">
        <f>N6*(-1)</f>
        <v>0</v>
      </c>
      <c r="O5" s="17"/>
      <c r="P5" s="17"/>
      <c r="R5" s="32"/>
    </row>
    <row r="6" spans="1:18">
      <c r="A6" s="16" t="s">
        <v>487</v>
      </c>
      <c r="B6" s="17" t="s">
        <v>210</v>
      </c>
      <c r="C6" s="17">
        <f>'lokale energieproductie'!O39+'lokale energieproductie'!O32</f>
        <v>12947.142857142855</v>
      </c>
      <c r="D6" s="308">
        <f>('lokale energieproductie'!P32+'lokale energieproductie'!P39)*(-1)</f>
        <v>-25894.28571428571</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562.63216310202699</v>
      </c>
      <c r="C8" s="21">
        <f>C5+C6</f>
        <v>12947.142857142855</v>
      </c>
      <c r="D8" s="21">
        <f>MAX((D5+D6),0)</f>
        <v>0</v>
      </c>
      <c r="E8" s="21">
        <f>MAX((E5+E6),0)</f>
        <v>16.537477750543882</v>
      </c>
      <c r="F8" s="21">
        <f>MAX((F5+F6),0)</f>
        <v>2343.8951884367361</v>
      </c>
      <c r="G8" s="21"/>
      <c r="H8" s="21"/>
      <c r="I8" s="21"/>
      <c r="J8" s="21">
        <f>MAX((J5+J6),0)</f>
        <v>81.513317769472224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0.2076499231853712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116.83052544975514</v>
      </c>
      <c r="C12" s="23">
        <f ca="1">C8*C10</f>
        <v>3076.8504201680662</v>
      </c>
      <c r="D12" s="23">
        <f>D8*D10</f>
        <v>0</v>
      </c>
      <c r="E12" s="23">
        <f>E8*E10</f>
        <v>3.7540074493734612</v>
      </c>
      <c r="F12" s="23">
        <f>F8*F10</f>
        <v>625.82001531260858</v>
      </c>
      <c r="G12" s="23"/>
      <c r="H12" s="23"/>
      <c r="I12" s="23"/>
      <c r="J12" s="23">
        <f>J8*J10</f>
        <v>28.855714490393165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7.9839269148756137E-2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90.933272732271803</v>
      </c>
      <c r="C26" s="247">
        <f>B26*'GWP N2O_CH4'!B5</f>
        <v>1909.5987273777077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7.1268430647477814</v>
      </c>
      <c r="C27" s="247">
        <f>B27*'GWP N2O_CH4'!B5</f>
        <v>149.66370435970342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1.233241594185069</v>
      </c>
      <c r="C28" s="247">
        <f>B28*'GWP N2O_CH4'!B4</f>
        <v>382.30489419737137</v>
      </c>
      <c r="D28" s="50"/>
    </row>
    <row r="29" spans="1:4">
      <c r="A29" s="41" t="s">
        <v>276</v>
      </c>
      <c r="B29" s="247">
        <f>B34*'ha_N2O bodem landbouw'!B4</f>
        <v>9.6547402321377671</v>
      </c>
      <c r="C29" s="247">
        <f>B29*'GWP N2O_CH4'!B4</f>
        <v>2992.9694719627078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2.2031784492588372E-3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1.3780111647138793E-4</v>
      </c>
      <c r="C5" s="437" t="s">
        <v>210</v>
      </c>
      <c r="D5" s="422">
        <f>SUM(D6:D11)</f>
        <v>4.1353515127458436E-4</v>
      </c>
      <c r="E5" s="422">
        <f>SUM(E6:E11)</f>
        <v>7.1000951253386154E-4</v>
      </c>
      <c r="F5" s="435" t="s">
        <v>210</v>
      </c>
      <c r="G5" s="422">
        <f>SUM(G6:G11)</f>
        <v>0.27437063970090908</v>
      </c>
      <c r="H5" s="422">
        <f>SUM(H6:H11)</f>
        <v>6.9872333002388778E-2</v>
      </c>
      <c r="I5" s="437" t="s">
        <v>210</v>
      </c>
      <c r="J5" s="437" t="s">
        <v>210</v>
      </c>
      <c r="K5" s="437" t="s">
        <v>210</v>
      </c>
      <c r="L5" s="437" t="s">
        <v>210</v>
      </c>
      <c r="M5" s="422">
        <f>SUM(M6:M11)</f>
        <v>1.8087306240323755E-2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8.1081644353232207E-5</v>
      </c>
      <c r="C6" s="423"/>
      <c r="D6" s="865">
        <f>vkm_GW_PW*SUMIFS(TableVerdeelsleutelVkm[CNG],TableVerdeelsleutelVkm[Voertuigtype],"Lichte voertuigen")*SUMIFS(TableECFTransport[EnergieConsumptieFactor (PJ per km)],TableECFTransport[Index],CONCATENATE($A6,"_CNG_CNG"))</f>
        <v>2.0094011228865484E-4</v>
      </c>
      <c r="E6" s="865">
        <f>vkm_GW_PW*SUMIFS(TableVerdeelsleutelVkm[LPG],TableVerdeelsleutelVkm[Voertuigtype],"Lichte voertuigen")*SUMIFS(TableECFTransport[EnergieConsumptieFactor (PJ per km)],TableECFTransport[Index],CONCATENATE($A6,"_LPG_LPG"))</f>
        <v>3.4496399527740519E-4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0.105701977705688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3.4140564489132136E-2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7.1808127078053742E-3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4.3963946356825101E-2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7.3543685319124696E-7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2.5686180106130928E-3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4.2121068680902002E-5</v>
      </c>
      <c r="C8" s="423"/>
      <c r="D8" s="425">
        <f>vkm_NGW_PW*SUMIFS(TableVerdeelsleutelVkm[CNG],TableVerdeelsleutelVkm[Voertuigtype],"Lichte voertuigen")*SUMIFS(TableECFTransport[EnergieConsumptieFactor (PJ per km)],TableECFTransport[Index],CONCATENATE($A8,"_CNG_CNG"))</f>
        <v>1.7643548279060102E-4</v>
      </c>
      <c r="E8" s="425">
        <f>vkm_NGW_PW*SUMIFS(TableVerdeelsleutelVkm[LPG],TableVerdeelsleutelVkm[Voertuigtype],"Lichte voertuigen")*SUMIFS(TableECFTransport[EnergieConsumptieFactor (PJ per km)],TableECFTransport[Index],CONCATENATE($A8,"_LPG_LPG"))</f>
        <v>2.8764698687785571E-4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8.2906688627352884E-2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2.9317792072519645E-2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5.7070042257391174E-3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1.0352968622337318E-2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2.1334302205617412E-7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6.0487913048485004E-4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1.4598403437253699E-5</v>
      </c>
      <c r="C10" s="423"/>
      <c r="D10" s="425">
        <f>vkm_SW_PW*SUMIFS(TableVerdeelsleutelVkm[CNG],TableVerdeelsleutelVkm[Voertuigtype],"Lichte voertuigen")*SUMIFS(TableECFTransport[EnergieConsumptieFactor (PJ per km)],TableECFTransport[Index],CONCATENATE($A10,"_CNG_CNG"))</f>
        <v>3.61595561953285E-5</v>
      </c>
      <c r="E10" s="425">
        <f>vkm_SW_PW*SUMIFS(TableVerdeelsleutelVkm[LPG],TableVerdeelsleutelVkm[Voertuigtype],"Lichte voertuigen")*SUMIFS(TableECFTransport[EnergieConsumptieFactor (PJ per km)],TableECFTransport[Index],CONCATENATE($A10,"_LPG_LPG"))</f>
        <v>7.7398530378600651E-5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2.1217153430939599E-2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6.4128454014492232E-3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1.4284208029062221E-3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1.0227904957766128E-2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1.8225941253317437E-7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5.9757136277509737E-4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38.278087908718874</v>
      </c>
      <c r="C14" s="21"/>
      <c r="D14" s="21">
        <f t="shared" ref="D14:M14" si="0">((D5)*10^9/3600)+D12</f>
        <v>114.87087535405121</v>
      </c>
      <c r="E14" s="21">
        <f t="shared" si="0"/>
        <v>197.22486459273932</v>
      </c>
      <c r="F14" s="21"/>
      <c r="G14" s="21">
        <f t="shared" si="0"/>
        <v>76214.066583585853</v>
      </c>
      <c r="H14" s="21">
        <f t="shared" si="0"/>
        <v>19408.981389552438</v>
      </c>
      <c r="I14" s="21"/>
      <c r="J14" s="21"/>
      <c r="K14" s="21"/>
      <c r="L14" s="21"/>
      <c r="M14" s="21">
        <f t="shared" si="0"/>
        <v>5024.2517334232653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0.2076499231853712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7.9484420139283607</v>
      </c>
      <c r="C18" s="23"/>
      <c r="D18" s="23">
        <f t="shared" ref="D18:M18" si="1">D14*D16</f>
        <v>23.203916821518344</v>
      </c>
      <c r="E18" s="23">
        <f t="shared" si="1"/>
        <v>44.770044262551828</v>
      </c>
      <c r="F18" s="23"/>
      <c r="G18" s="23">
        <f t="shared" si="1"/>
        <v>20349.155777817425</v>
      </c>
      <c r="H18" s="23">
        <f t="shared" si="1"/>
        <v>4832.8363659985571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1.6529982151497574E-2</v>
      </c>
      <c r="H50" s="319">
        <f t="shared" si="2"/>
        <v>0</v>
      </c>
      <c r="I50" s="319">
        <f t="shared" si="2"/>
        <v>0</v>
      </c>
      <c r="J50" s="319">
        <f t="shared" si="2"/>
        <v>0</v>
      </c>
      <c r="K50" s="319">
        <f t="shared" si="2"/>
        <v>0</v>
      </c>
      <c r="L50" s="319">
        <f t="shared" si="2"/>
        <v>0</v>
      </c>
      <c r="M50" s="319">
        <f t="shared" si="2"/>
        <v>9.3875909491936062E-4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1.6529982151497574E-2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9.3875909491936062E-4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4591.661708749326</v>
      </c>
      <c r="H54" s="21">
        <f t="shared" si="3"/>
        <v>0</v>
      </c>
      <c r="I54" s="21">
        <f t="shared" si="3"/>
        <v>0</v>
      </c>
      <c r="J54" s="21">
        <f t="shared" si="3"/>
        <v>0</v>
      </c>
      <c r="K54" s="21">
        <f t="shared" si="3"/>
        <v>0</v>
      </c>
      <c r="L54" s="21">
        <f t="shared" si="3"/>
        <v>0</v>
      </c>
      <c r="M54" s="21">
        <f t="shared" si="3"/>
        <v>260.76641525537792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0.2076499231853712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1225.9736762360701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22122.581643157486</v>
      </c>
      <c r="D10" s="979">
        <f ca="1">tertiair!C16</f>
        <v>0</v>
      </c>
      <c r="E10" s="979">
        <f ca="1">tertiair!D16</f>
        <v>22773.117751804075</v>
      </c>
      <c r="F10" s="979">
        <f>tertiair!E16</f>
        <v>346.40849673709715</v>
      </c>
      <c r="G10" s="979">
        <f ca="1">tertiair!F16</f>
        <v>3791.6866379186717</v>
      </c>
      <c r="H10" s="979">
        <f>tertiair!G16</f>
        <v>0</v>
      </c>
      <c r="I10" s="979">
        <f>tertiair!H16</f>
        <v>0</v>
      </c>
      <c r="J10" s="979">
        <f>tertiair!I16</f>
        <v>0</v>
      </c>
      <c r="K10" s="979">
        <f>tertiair!J16</f>
        <v>6.9432316287181883E-2</v>
      </c>
      <c r="L10" s="979">
        <f>tertiair!K16</f>
        <v>0</v>
      </c>
      <c r="M10" s="979">
        <f ca="1">tertiair!L16</f>
        <v>0</v>
      </c>
      <c r="N10" s="979">
        <f>tertiair!M16</f>
        <v>0</v>
      </c>
      <c r="O10" s="979">
        <f ca="1">tertiair!N16</f>
        <v>2751.0028205714857</v>
      </c>
      <c r="P10" s="979">
        <f>tertiair!O16</f>
        <v>0</v>
      </c>
      <c r="Q10" s="980">
        <f>tertiair!P16</f>
        <v>76.266666666666666</v>
      </c>
      <c r="R10" s="674">
        <f ca="1">SUM(C10:Q10)</f>
        <v>51861.133449171764</v>
      </c>
      <c r="S10" s="67"/>
    </row>
    <row r="11" spans="1:19" s="447" customFormat="1">
      <c r="A11" s="783" t="s">
        <v>224</v>
      </c>
      <c r="B11" s="788"/>
      <c r="C11" s="979">
        <f>huishoudens!B8</f>
        <v>34721.163065116511</v>
      </c>
      <c r="D11" s="979">
        <f>huishoudens!C8</f>
        <v>0</v>
      </c>
      <c r="E11" s="979">
        <f>huishoudens!D8</f>
        <v>87156.317905862452</v>
      </c>
      <c r="F11" s="979">
        <f>huishoudens!E8</f>
        <v>12133.019865141272</v>
      </c>
      <c r="G11" s="979">
        <f>huishoudens!F8</f>
        <v>15623.789119079594</v>
      </c>
      <c r="H11" s="979">
        <f>huishoudens!G8</f>
        <v>0</v>
      </c>
      <c r="I11" s="979">
        <f>huishoudens!H8</f>
        <v>0</v>
      </c>
      <c r="J11" s="979">
        <f>huishoudens!I8</f>
        <v>0</v>
      </c>
      <c r="K11" s="979">
        <f>huishoudens!J8</f>
        <v>0</v>
      </c>
      <c r="L11" s="979">
        <f>huishoudens!K8</f>
        <v>0</v>
      </c>
      <c r="M11" s="979">
        <f>huishoudens!L8</f>
        <v>0</v>
      </c>
      <c r="N11" s="979">
        <f>huishoudens!M8</f>
        <v>0</v>
      </c>
      <c r="O11" s="979">
        <f>huishoudens!N8</f>
        <v>12654.978265373325</v>
      </c>
      <c r="P11" s="979">
        <f>huishoudens!O8</f>
        <v>387.70666666666671</v>
      </c>
      <c r="Q11" s="980">
        <f>huishoudens!P8</f>
        <v>1201.2</v>
      </c>
      <c r="R11" s="674">
        <f>SUM(C11:Q11)</f>
        <v>163878.17488723985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8982.2496461905939</v>
      </c>
      <c r="D13" s="979">
        <f>industrie!C18</f>
        <v>0</v>
      </c>
      <c r="E13" s="979">
        <f>industrie!D18</f>
        <v>6410.9047406699747</v>
      </c>
      <c r="F13" s="979">
        <f>industrie!E18</f>
        <v>682.31066312358655</v>
      </c>
      <c r="G13" s="979">
        <f>industrie!F18</f>
        <v>2230.6844944944628</v>
      </c>
      <c r="H13" s="979">
        <f>industrie!G18</f>
        <v>0</v>
      </c>
      <c r="I13" s="979">
        <f>industrie!H18</f>
        <v>0</v>
      </c>
      <c r="J13" s="979">
        <f>industrie!I18</f>
        <v>0</v>
      </c>
      <c r="K13" s="979">
        <f>industrie!J18</f>
        <v>25.54469445441671</v>
      </c>
      <c r="L13" s="979">
        <f>industrie!K18</f>
        <v>0</v>
      </c>
      <c r="M13" s="979">
        <f>industrie!L18</f>
        <v>0</v>
      </c>
      <c r="N13" s="979">
        <f>industrie!M18</f>
        <v>0</v>
      </c>
      <c r="O13" s="979">
        <f>industrie!N18</f>
        <v>870.73763208758351</v>
      </c>
      <c r="P13" s="979">
        <f>industrie!O18</f>
        <v>0</v>
      </c>
      <c r="Q13" s="980">
        <f>industrie!P18</f>
        <v>0</v>
      </c>
      <c r="R13" s="674">
        <f>SUM(C13:Q13)</f>
        <v>19202.431871020621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65825.994354464594</v>
      </c>
      <c r="D16" s="706">
        <f t="shared" ref="D16:R16" ca="1" si="0">SUM(D9:D15)</f>
        <v>0</v>
      </c>
      <c r="E16" s="706">
        <f t="shared" ca="1" si="0"/>
        <v>116340.3403983365</v>
      </c>
      <c r="F16" s="706">
        <f t="shared" si="0"/>
        <v>13161.739025001954</v>
      </c>
      <c r="G16" s="706">
        <f t="shared" ca="1" si="0"/>
        <v>21646.160251492729</v>
      </c>
      <c r="H16" s="706">
        <f t="shared" si="0"/>
        <v>0</v>
      </c>
      <c r="I16" s="706">
        <f t="shared" si="0"/>
        <v>0</v>
      </c>
      <c r="J16" s="706">
        <f t="shared" si="0"/>
        <v>0</v>
      </c>
      <c r="K16" s="706">
        <f t="shared" si="0"/>
        <v>25.614126770703891</v>
      </c>
      <c r="L16" s="706">
        <f t="shared" si="0"/>
        <v>0</v>
      </c>
      <c r="M16" s="706">
        <f t="shared" ca="1" si="0"/>
        <v>0</v>
      </c>
      <c r="N16" s="706">
        <f t="shared" si="0"/>
        <v>0</v>
      </c>
      <c r="O16" s="706">
        <f t="shared" ca="1" si="0"/>
        <v>16276.718718032394</v>
      </c>
      <c r="P16" s="706">
        <f t="shared" si="0"/>
        <v>387.70666666666671</v>
      </c>
      <c r="Q16" s="706">
        <f t="shared" si="0"/>
        <v>1277.4666666666667</v>
      </c>
      <c r="R16" s="706">
        <f t="shared" ca="1" si="0"/>
        <v>234941.74020743222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4591.661708749326</v>
      </c>
      <c r="I19" s="979">
        <f>transport!H54</f>
        <v>0</v>
      </c>
      <c r="J19" s="979">
        <f>transport!I54</f>
        <v>0</v>
      </c>
      <c r="K19" s="979">
        <f>transport!J54</f>
        <v>0</v>
      </c>
      <c r="L19" s="979">
        <f>transport!K54</f>
        <v>0</v>
      </c>
      <c r="M19" s="979">
        <f>transport!L54</f>
        <v>0</v>
      </c>
      <c r="N19" s="979">
        <f>transport!M54</f>
        <v>260.76641525537792</v>
      </c>
      <c r="O19" s="979">
        <f>transport!N54</f>
        <v>0</v>
      </c>
      <c r="P19" s="979">
        <f>transport!O54</f>
        <v>0</v>
      </c>
      <c r="Q19" s="980">
        <f>transport!P54</f>
        <v>0</v>
      </c>
      <c r="R19" s="674">
        <f>SUM(C19:Q19)</f>
        <v>4852.4281240047039</v>
      </c>
      <c r="S19" s="67"/>
    </row>
    <row r="20" spans="1:19" s="447" customFormat="1">
      <c r="A20" s="783" t="s">
        <v>306</v>
      </c>
      <c r="B20" s="788"/>
      <c r="C20" s="979">
        <f>transport!B14</f>
        <v>38.278087908718874</v>
      </c>
      <c r="D20" s="979">
        <f>transport!C14</f>
        <v>0</v>
      </c>
      <c r="E20" s="979">
        <f>transport!D14</f>
        <v>114.87087535405121</v>
      </c>
      <c r="F20" s="979">
        <f>transport!E14</f>
        <v>197.22486459273932</v>
      </c>
      <c r="G20" s="979">
        <f>transport!F14</f>
        <v>0</v>
      </c>
      <c r="H20" s="979">
        <f>transport!G14</f>
        <v>76214.066583585853</v>
      </c>
      <c r="I20" s="979">
        <f>transport!H14</f>
        <v>19408.981389552438</v>
      </c>
      <c r="J20" s="979">
        <f>transport!I14</f>
        <v>0</v>
      </c>
      <c r="K20" s="979">
        <f>transport!J14</f>
        <v>0</v>
      </c>
      <c r="L20" s="979">
        <f>transport!K14</f>
        <v>0</v>
      </c>
      <c r="M20" s="979">
        <f>transport!L14</f>
        <v>0</v>
      </c>
      <c r="N20" s="979">
        <f>transport!M14</f>
        <v>5024.2517334232653</v>
      </c>
      <c r="O20" s="979">
        <f>transport!N14</f>
        <v>0</v>
      </c>
      <c r="P20" s="979">
        <f>transport!O14</f>
        <v>0</v>
      </c>
      <c r="Q20" s="980">
        <f>transport!P14</f>
        <v>0</v>
      </c>
      <c r="R20" s="674">
        <f>SUM(C20:Q20)</f>
        <v>100997.67353441707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38.278087908718874</v>
      </c>
      <c r="D22" s="786">
        <f t="shared" ref="D22:R22" si="1">SUM(D18:D21)</f>
        <v>0</v>
      </c>
      <c r="E22" s="786">
        <f t="shared" si="1"/>
        <v>114.87087535405121</v>
      </c>
      <c r="F22" s="786">
        <f t="shared" si="1"/>
        <v>197.22486459273932</v>
      </c>
      <c r="G22" s="786">
        <f t="shared" si="1"/>
        <v>0</v>
      </c>
      <c r="H22" s="786">
        <f t="shared" si="1"/>
        <v>80805.728292335174</v>
      </c>
      <c r="I22" s="786">
        <f t="shared" si="1"/>
        <v>19408.981389552438</v>
      </c>
      <c r="J22" s="786">
        <f t="shared" si="1"/>
        <v>0</v>
      </c>
      <c r="K22" s="786">
        <f t="shared" si="1"/>
        <v>0</v>
      </c>
      <c r="L22" s="786">
        <f t="shared" si="1"/>
        <v>0</v>
      </c>
      <c r="M22" s="786">
        <f t="shared" si="1"/>
        <v>0</v>
      </c>
      <c r="N22" s="786">
        <f t="shared" si="1"/>
        <v>5285.0181486786432</v>
      </c>
      <c r="O22" s="786">
        <f t="shared" si="1"/>
        <v>0</v>
      </c>
      <c r="P22" s="786">
        <f t="shared" si="1"/>
        <v>0</v>
      </c>
      <c r="Q22" s="786">
        <f t="shared" si="1"/>
        <v>0</v>
      </c>
      <c r="R22" s="786">
        <f t="shared" si="1"/>
        <v>105850.10165842177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562.63216310202699</v>
      </c>
      <c r="D24" s="979">
        <f>+landbouw!C8</f>
        <v>12947.142857142855</v>
      </c>
      <c r="E24" s="979">
        <f>+landbouw!D8</f>
        <v>0</v>
      </c>
      <c r="F24" s="979">
        <f>+landbouw!E8</f>
        <v>16.537477750543882</v>
      </c>
      <c r="G24" s="979">
        <f>+landbouw!F8</f>
        <v>2343.8951884367361</v>
      </c>
      <c r="H24" s="979">
        <f>+landbouw!G8</f>
        <v>0</v>
      </c>
      <c r="I24" s="979">
        <f>+landbouw!H8</f>
        <v>0</v>
      </c>
      <c r="J24" s="979">
        <f>+landbouw!I8</f>
        <v>0</v>
      </c>
      <c r="K24" s="979">
        <f>+landbouw!J8</f>
        <v>81.513317769472224</v>
      </c>
      <c r="L24" s="979">
        <f>+landbouw!K8</f>
        <v>0</v>
      </c>
      <c r="M24" s="979">
        <f>+landbouw!L8</f>
        <v>0</v>
      </c>
      <c r="N24" s="979">
        <f>+landbouw!M8</f>
        <v>0</v>
      </c>
      <c r="O24" s="979">
        <f>+landbouw!N8</f>
        <v>0</v>
      </c>
      <c r="P24" s="979">
        <f>+landbouw!O8</f>
        <v>0</v>
      </c>
      <c r="Q24" s="980">
        <f>+landbouw!P8</f>
        <v>0</v>
      </c>
      <c r="R24" s="674">
        <f>SUM(C24:Q24)</f>
        <v>15951.721004201634</v>
      </c>
      <c r="S24" s="67"/>
    </row>
    <row r="25" spans="1:19" s="447" customFormat="1" ht="15" thickBot="1">
      <c r="A25" s="805" t="s">
        <v>823</v>
      </c>
      <c r="B25" s="982"/>
      <c r="C25" s="983">
        <f>IF(Onbekend_ele_kWh="---",0,Onbekend_ele_kWh)/1000+IF(REST_rest_ele_kWh="---",0,REST_rest_ele_kWh)/1000</f>
        <v>1045.46872977045</v>
      </c>
      <c r="D25" s="983"/>
      <c r="E25" s="983">
        <f>IF(onbekend_gas_kWh="---",0,onbekend_gas_kWh)/1000+IF(REST_rest_gas_kWh="---",0,REST_rest_gas_kWh)/1000</f>
        <v>2513.8485859472203</v>
      </c>
      <c r="F25" s="983"/>
      <c r="G25" s="983"/>
      <c r="H25" s="983"/>
      <c r="I25" s="983"/>
      <c r="J25" s="983"/>
      <c r="K25" s="983"/>
      <c r="L25" s="983"/>
      <c r="M25" s="983"/>
      <c r="N25" s="983"/>
      <c r="O25" s="983"/>
      <c r="P25" s="983"/>
      <c r="Q25" s="984"/>
      <c r="R25" s="674">
        <f>SUM(C25:Q25)</f>
        <v>3559.3173157176702</v>
      </c>
      <c r="S25" s="67"/>
    </row>
    <row r="26" spans="1:19" s="447" customFormat="1" ht="15.75" thickBot="1">
      <c r="A26" s="679" t="s">
        <v>824</v>
      </c>
      <c r="B26" s="791"/>
      <c r="C26" s="786">
        <f>SUM(C24:C25)</f>
        <v>1608.1008928724768</v>
      </c>
      <c r="D26" s="786">
        <f t="shared" ref="D26:R26" si="2">SUM(D24:D25)</f>
        <v>12947.142857142855</v>
      </c>
      <c r="E26" s="786">
        <f t="shared" si="2"/>
        <v>2513.8485859472203</v>
      </c>
      <c r="F26" s="786">
        <f t="shared" si="2"/>
        <v>16.537477750543882</v>
      </c>
      <c r="G26" s="786">
        <f t="shared" si="2"/>
        <v>2343.8951884367361</v>
      </c>
      <c r="H26" s="786">
        <f t="shared" si="2"/>
        <v>0</v>
      </c>
      <c r="I26" s="786">
        <f t="shared" si="2"/>
        <v>0</v>
      </c>
      <c r="J26" s="786">
        <f t="shared" si="2"/>
        <v>0</v>
      </c>
      <c r="K26" s="786">
        <f t="shared" si="2"/>
        <v>81.513317769472224</v>
      </c>
      <c r="L26" s="786">
        <f t="shared" si="2"/>
        <v>0</v>
      </c>
      <c r="M26" s="786">
        <f t="shared" si="2"/>
        <v>0</v>
      </c>
      <c r="N26" s="786">
        <f t="shared" si="2"/>
        <v>0</v>
      </c>
      <c r="O26" s="786">
        <f t="shared" si="2"/>
        <v>0</v>
      </c>
      <c r="P26" s="786">
        <f t="shared" si="2"/>
        <v>0</v>
      </c>
      <c r="Q26" s="786">
        <f t="shared" si="2"/>
        <v>0</v>
      </c>
      <c r="R26" s="786">
        <f t="shared" si="2"/>
        <v>19511.038319919306</v>
      </c>
      <c r="S26" s="67"/>
    </row>
    <row r="27" spans="1:19" s="447" customFormat="1" ht="17.25" thickTop="1" thickBot="1">
      <c r="A27" s="680" t="s">
        <v>115</v>
      </c>
      <c r="B27" s="779"/>
      <c r="C27" s="681">
        <f ca="1">C22+C16+C26</f>
        <v>67472.373335245793</v>
      </c>
      <c r="D27" s="681">
        <f t="shared" ref="D27:R27" ca="1" si="3">D22+D16+D26</f>
        <v>12947.142857142855</v>
      </c>
      <c r="E27" s="681">
        <f t="shared" ca="1" si="3"/>
        <v>118969.05985963778</v>
      </c>
      <c r="F27" s="681">
        <f t="shared" si="3"/>
        <v>13375.501367345238</v>
      </c>
      <c r="G27" s="681">
        <f t="shared" ca="1" si="3"/>
        <v>23990.055439929463</v>
      </c>
      <c r="H27" s="681">
        <f t="shared" si="3"/>
        <v>80805.728292335174</v>
      </c>
      <c r="I27" s="681">
        <f t="shared" si="3"/>
        <v>19408.981389552438</v>
      </c>
      <c r="J27" s="681">
        <f t="shared" si="3"/>
        <v>0</v>
      </c>
      <c r="K27" s="681">
        <f t="shared" si="3"/>
        <v>107.12744454017611</v>
      </c>
      <c r="L27" s="681">
        <f t="shared" si="3"/>
        <v>0</v>
      </c>
      <c r="M27" s="681">
        <f t="shared" ca="1" si="3"/>
        <v>0</v>
      </c>
      <c r="N27" s="681">
        <f t="shared" si="3"/>
        <v>5285.0181486786432</v>
      </c>
      <c r="O27" s="681">
        <f t="shared" ca="1" si="3"/>
        <v>16276.718718032394</v>
      </c>
      <c r="P27" s="681">
        <f t="shared" si="3"/>
        <v>387.70666666666671</v>
      </c>
      <c r="Q27" s="681">
        <f t="shared" si="3"/>
        <v>1277.4666666666667</v>
      </c>
      <c r="R27" s="681">
        <f t="shared" ca="1" si="3"/>
        <v>360302.88018577331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4593.7523788637554</v>
      </c>
      <c r="D40" s="979">
        <f ca="1">tertiair!C20</f>
        <v>0</v>
      </c>
      <c r="E40" s="979">
        <f ca="1">tertiair!D20</f>
        <v>4600.1697858644238</v>
      </c>
      <c r="F40" s="979">
        <f>tertiair!E20</f>
        <v>78.63472875932105</v>
      </c>
      <c r="G40" s="979">
        <f ca="1">tertiair!F20</f>
        <v>1012.3803323242854</v>
      </c>
      <c r="H40" s="979">
        <f>tertiair!G20</f>
        <v>0</v>
      </c>
      <c r="I40" s="979">
        <f>tertiair!H20</f>
        <v>0</v>
      </c>
      <c r="J40" s="979">
        <f>tertiair!I20</f>
        <v>0</v>
      </c>
      <c r="K40" s="979">
        <f>tertiair!J20</f>
        <v>2.4579039965662384E-2</v>
      </c>
      <c r="L40" s="979">
        <f>tertiair!K20</f>
        <v>0</v>
      </c>
      <c r="M40" s="979">
        <f ca="1">tertiair!L20</f>
        <v>0</v>
      </c>
      <c r="N40" s="979">
        <f>tertiair!M20</f>
        <v>0</v>
      </c>
      <c r="O40" s="979">
        <f ca="1">tertiair!N20</f>
        <v>0</v>
      </c>
      <c r="P40" s="979">
        <f>tertiair!O20</f>
        <v>0</v>
      </c>
      <c r="Q40" s="748">
        <f>tertiair!P20</f>
        <v>0</v>
      </c>
      <c r="R40" s="824">
        <f t="shared" ca="1" si="4"/>
        <v>10284.961804851751</v>
      </c>
    </row>
    <row r="41" spans="1:18">
      <c r="A41" s="796" t="s">
        <v>224</v>
      </c>
      <c r="B41" s="803"/>
      <c r="C41" s="979">
        <f ca="1">huishoudens!B12</f>
        <v>7209.8468433781909</v>
      </c>
      <c r="D41" s="979">
        <f ca="1">huishoudens!C12</f>
        <v>0</v>
      </c>
      <c r="E41" s="979">
        <f>huishoudens!D12</f>
        <v>17605.576216984216</v>
      </c>
      <c r="F41" s="979">
        <f>huishoudens!E12</f>
        <v>2754.1955093870688</v>
      </c>
      <c r="G41" s="979">
        <f>huishoudens!F12</f>
        <v>4171.5516947942524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31741.170264543729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1865.1634490633046</v>
      </c>
      <c r="D43" s="979">
        <f ca="1">industrie!C22</f>
        <v>0</v>
      </c>
      <c r="E43" s="979">
        <f>industrie!D22</f>
        <v>1295.002757615335</v>
      </c>
      <c r="F43" s="979">
        <f>industrie!E22</f>
        <v>154.88452052905416</v>
      </c>
      <c r="G43" s="979">
        <f>industrie!F22</f>
        <v>595.59276003002162</v>
      </c>
      <c r="H43" s="979">
        <f>industrie!G22</f>
        <v>0</v>
      </c>
      <c r="I43" s="979">
        <f>industrie!H22</f>
        <v>0</v>
      </c>
      <c r="J43" s="979">
        <f>industrie!I22</f>
        <v>0</v>
      </c>
      <c r="K43" s="979">
        <f>industrie!J22</f>
        <v>9.0428218368635154</v>
      </c>
      <c r="L43" s="979">
        <f>industrie!K22</f>
        <v>0</v>
      </c>
      <c r="M43" s="979">
        <f>industrie!L22</f>
        <v>0</v>
      </c>
      <c r="N43" s="979">
        <f>industrie!M22</f>
        <v>0</v>
      </c>
      <c r="O43" s="979">
        <f>industrie!N22</f>
        <v>0</v>
      </c>
      <c r="P43" s="979">
        <f>industrie!O22</f>
        <v>0</v>
      </c>
      <c r="Q43" s="748">
        <f>industrie!P22</f>
        <v>0</v>
      </c>
      <c r="R43" s="823">
        <f t="shared" ca="1" si="4"/>
        <v>3919.6863090745783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13668.76267130525</v>
      </c>
      <c r="D46" s="706">
        <f t="shared" ref="D46:Q46" ca="1" si="5">SUM(D39:D45)</f>
        <v>0</v>
      </c>
      <c r="E46" s="706">
        <f t="shared" ca="1" si="5"/>
        <v>23500.748760463972</v>
      </c>
      <c r="F46" s="706">
        <f t="shared" si="5"/>
        <v>2987.714758675444</v>
      </c>
      <c r="G46" s="706">
        <f t="shared" ca="1" si="5"/>
        <v>5779.5247871485599</v>
      </c>
      <c r="H46" s="706">
        <f t="shared" si="5"/>
        <v>0</v>
      </c>
      <c r="I46" s="706">
        <f t="shared" si="5"/>
        <v>0</v>
      </c>
      <c r="J46" s="706">
        <f t="shared" si="5"/>
        <v>0</v>
      </c>
      <c r="K46" s="706">
        <f t="shared" si="5"/>
        <v>9.0674008768291774</v>
      </c>
      <c r="L46" s="706">
        <f t="shared" si="5"/>
        <v>0</v>
      </c>
      <c r="M46" s="706">
        <f t="shared" ca="1" si="5"/>
        <v>0</v>
      </c>
      <c r="N46" s="706">
        <f t="shared" si="5"/>
        <v>0</v>
      </c>
      <c r="O46" s="706">
        <f t="shared" ca="1" si="5"/>
        <v>0</v>
      </c>
      <c r="P46" s="706">
        <f t="shared" si="5"/>
        <v>0</v>
      </c>
      <c r="Q46" s="706">
        <f t="shared" si="5"/>
        <v>0</v>
      </c>
      <c r="R46" s="706">
        <f ca="1">SUM(R39:R45)</f>
        <v>45945.818378470052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1225.9736762360701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1225.9736762360701</v>
      </c>
    </row>
    <row r="50" spans="1:18">
      <c r="A50" s="799" t="s">
        <v>306</v>
      </c>
      <c r="B50" s="809"/>
      <c r="C50" s="677">
        <f ca="1">transport!B18</f>
        <v>7.9484420139283607</v>
      </c>
      <c r="D50" s="677">
        <f>transport!C18</f>
        <v>0</v>
      </c>
      <c r="E50" s="677">
        <f>transport!D18</f>
        <v>23.203916821518344</v>
      </c>
      <c r="F50" s="677">
        <f>transport!E18</f>
        <v>44.770044262551828</v>
      </c>
      <c r="G50" s="677">
        <f>transport!F18</f>
        <v>0</v>
      </c>
      <c r="H50" s="677">
        <f>transport!G18</f>
        <v>20349.155777817425</v>
      </c>
      <c r="I50" s="677">
        <f>transport!H18</f>
        <v>4832.8363659985571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25257.914546913977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7.9484420139283607</v>
      </c>
      <c r="D52" s="706">
        <f t="shared" ref="D52:Q52" ca="1" si="6">SUM(D48:D51)</f>
        <v>0</v>
      </c>
      <c r="E52" s="706">
        <f t="shared" si="6"/>
        <v>23.203916821518344</v>
      </c>
      <c r="F52" s="706">
        <f t="shared" si="6"/>
        <v>44.770044262551828</v>
      </c>
      <c r="G52" s="706">
        <f t="shared" si="6"/>
        <v>0</v>
      </c>
      <c r="H52" s="706">
        <f t="shared" si="6"/>
        <v>21575.129454053495</v>
      </c>
      <c r="I52" s="706">
        <f t="shared" si="6"/>
        <v>4832.8363659985571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26483.888223150047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116.83052544975514</v>
      </c>
      <c r="D54" s="677">
        <f ca="1">+landbouw!C12</f>
        <v>3076.8504201680662</v>
      </c>
      <c r="E54" s="677">
        <f>+landbouw!D12</f>
        <v>0</v>
      </c>
      <c r="F54" s="677">
        <f>+landbouw!E12</f>
        <v>3.7540074493734612</v>
      </c>
      <c r="G54" s="677">
        <f>+landbouw!F12</f>
        <v>625.82001531260858</v>
      </c>
      <c r="H54" s="677">
        <f>+landbouw!G12</f>
        <v>0</v>
      </c>
      <c r="I54" s="677">
        <f>+landbouw!H12</f>
        <v>0</v>
      </c>
      <c r="J54" s="677">
        <f>+landbouw!I12</f>
        <v>0</v>
      </c>
      <c r="K54" s="677">
        <f>+landbouw!J12</f>
        <v>28.855714490393165</v>
      </c>
      <c r="L54" s="677">
        <f>+landbouw!K12</f>
        <v>0</v>
      </c>
      <c r="M54" s="677">
        <f>+landbouw!L12</f>
        <v>0</v>
      </c>
      <c r="N54" s="677">
        <f>+landbouw!M12</f>
        <v>0</v>
      </c>
      <c r="O54" s="677">
        <f>+landbouw!N12</f>
        <v>0</v>
      </c>
      <c r="P54" s="677">
        <f>+landbouw!O12</f>
        <v>0</v>
      </c>
      <c r="Q54" s="678">
        <f>+landbouw!P12</f>
        <v>0</v>
      </c>
      <c r="R54" s="705">
        <f ca="1">SUM(C54:Q54)</f>
        <v>3852.1106828701963</v>
      </c>
    </row>
    <row r="55" spans="1:18" ht="15" thickBot="1">
      <c r="A55" s="799" t="s">
        <v>823</v>
      </c>
      <c r="B55" s="809"/>
      <c r="C55" s="677">
        <f ca="1">C25*'EF ele_warmte'!B12</f>
        <v>217.09150142954155</v>
      </c>
      <c r="D55" s="677"/>
      <c r="E55" s="677">
        <f>E25*EF_CO2_aardgas</f>
        <v>507.79741436133855</v>
      </c>
      <c r="F55" s="677"/>
      <c r="G55" s="677"/>
      <c r="H55" s="677"/>
      <c r="I55" s="677"/>
      <c r="J55" s="677"/>
      <c r="K55" s="677"/>
      <c r="L55" s="677"/>
      <c r="M55" s="677"/>
      <c r="N55" s="677"/>
      <c r="O55" s="677"/>
      <c r="P55" s="677"/>
      <c r="Q55" s="678"/>
      <c r="R55" s="705">
        <f ca="1">SUM(C55:Q55)</f>
        <v>724.88891579088011</v>
      </c>
    </row>
    <row r="56" spans="1:18" ht="15.75" thickBot="1">
      <c r="A56" s="797" t="s">
        <v>824</v>
      </c>
      <c r="B56" s="810"/>
      <c r="C56" s="706">
        <f ca="1">SUM(C54:C55)</f>
        <v>333.92202687929671</v>
      </c>
      <c r="D56" s="706">
        <f t="shared" ref="D56:Q56" ca="1" si="7">SUM(D54:D55)</f>
        <v>3076.8504201680662</v>
      </c>
      <c r="E56" s="706">
        <f t="shared" si="7"/>
        <v>507.79741436133855</v>
      </c>
      <c r="F56" s="706">
        <f t="shared" si="7"/>
        <v>3.7540074493734612</v>
      </c>
      <c r="G56" s="706">
        <f t="shared" si="7"/>
        <v>625.82001531260858</v>
      </c>
      <c r="H56" s="706">
        <f t="shared" si="7"/>
        <v>0</v>
      </c>
      <c r="I56" s="706">
        <f t="shared" si="7"/>
        <v>0</v>
      </c>
      <c r="J56" s="706">
        <f t="shared" si="7"/>
        <v>0</v>
      </c>
      <c r="K56" s="706">
        <f t="shared" si="7"/>
        <v>28.855714490393165</v>
      </c>
      <c r="L56" s="706">
        <f t="shared" si="7"/>
        <v>0</v>
      </c>
      <c r="M56" s="706">
        <f t="shared" si="7"/>
        <v>0</v>
      </c>
      <c r="N56" s="706">
        <f t="shared" si="7"/>
        <v>0</v>
      </c>
      <c r="O56" s="706">
        <f t="shared" si="7"/>
        <v>0</v>
      </c>
      <c r="P56" s="706">
        <f t="shared" si="7"/>
        <v>0</v>
      </c>
      <c r="Q56" s="707">
        <f t="shared" si="7"/>
        <v>0</v>
      </c>
      <c r="R56" s="708">
        <f ca="1">SUM(R54:R55)</f>
        <v>4576.9995986610766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14010.633140198475</v>
      </c>
      <c r="D61" s="714">
        <f t="shared" ref="D61:Q61" ca="1" si="8">D46+D52+D56</f>
        <v>3076.8504201680662</v>
      </c>
      <c r="E61" s="714">
        <f t="shared" ca="1" si="8"/>
        <v>24031.750091646831</v>
      </c>
      <c r="F61" s="714">
        <f t="shared" si="8"/>
        <v>3036.2388103873695</v>
      </c>
      <c r="G61" s="714">
        <f t="shared" ca="1" si="8"/>
        <v>6405.344802461168</v>
      </c>
      <c r="H61" s="714">
        <f t="shared" si="8"/>
        <v>21575.129454053495</v>
      </c>
      <c r="I61" s="714">
        <f t="shared" si="8"/>
        <v>4832.8363659985571</v>
      </c>
      <c r="J61" s="714">
        <f t="shared" si="8"/>
        <v>0</v>
      </c>
      <c r="K61" s="714">
        <f t="shared" si="8"/>
        <v>37.923115367222344</v>
      </c>
      <c r="L61" s="714">
        <f t="shared" si="8"/>
        <v>0</v>
      </c>
      <c r="M61" s="714">
        <f t="shared" ca="1" si="8"/>
        <v>0</v>
      </c>
      <c r="N61" s="714">
        <f t="shared" si="8"/>
        <v>0</v>
      </c>
      <c r="O61" s="714">
        <f t="shared" ca="1" si="8"/>
        <v>0</v>
      </c>
      <c r="P61" s="714">
        <f t="shared" si="8"/>
        <v>0</v>
      </c>
      <c r="Q61" s="714">
        <f t="shared" si="8"/>
        <v>0</v>
      </c>
      <c r="R61" s="714">
        <f ca="1">R46+R52+R56</f>
        <v>77006.706200281173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0.20764992318537118</v>
      </c>
      <c r="D63" s="755">
        <f t="shared" ca="1" si="9"/>
        <v>0.23764705882352938</v>
      </c>
      <c r="E63" s="990">
        <f t="shared" ca="1" si="9"/>
        <v>0.20199999999999999</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4758.5233529795896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9062.9999999999982</v>
      </c>
      <c r="D76" s="1000">
        <f>'lokale energieproductie'!C8</f>
        <v>10662.352941176468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2153.7952941176468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4758.5233529795896</v>
      </c>
      <c r="C78" s="729">
        <f>SUM(C72:C77)</f>
        <v>9062.9999999999982</v>
      </c>
      <c r="D78" s="730">
        <f t="shared" ref="D78:H78" si="10">SUM(D76:D77)</f>
        <v>10662.352941176468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2153.7952941176468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12947.142857142855</v>
      </c>
      <c r="D87" s="751">
        <f>'lokale energieproductie'!C17</f>
        <v>15231.932773109238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3076.8504201680662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12947.142857142855</v>
      </c>
      <c r="D90" s="729">
        <f t="shared" ref="D90:H90" si="12">SUM(D87:D89)</f>
        <v>15231.932773109238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3076.8504201680662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4758.5233529795896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9062.9999999999982</v>
      </c>
      <c r="C8" s="544">
        <f>B48</f>
        <v>10662.352941176468</v>
      </c>
      <c r="D8" s="1010"/>
      <c r="E8" s="1010">
        <f>E48</f>
        <v>0</v>
      </c>
      <c r="F8" s="1011"/>
      <c r="G8" s="545"/>
      <c r="H8" s="1010">
        <f>I48</f>
        <v>0</v>
      </c>
      <c r="I8" s="1010">
        <f>G48+F48</f>
        <v>0</v>
      </c>
      <c r="J8" s="1010">
        <f>H48+D48+C48</f>
        <v>0</v>
      </c>
      <c r="K8" s="1010"/>
      <c r="L8" s="1010"/>
      <c r="M8" s="1010"/>
      <c r="N8" s="546"/>
      <c r="O8" s="547">
        <f>C8*$C$12+D8*$D$12+E8*$E$12+F8*$F$12+G8*$G$12+H8*$H$12+I8*$I$12+J8*$J$12</f>
        <v>2153.7952941176468</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13821.523352979588</v>
      </c>
      <c r="C10" s="557">
        <f t="shared" ref="C10:L10" si="0">SUM(C8:C9)</f>
        <v>10662.352941176468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2153.7952941176468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12947.142857142855</v>
      </c>
      <c r="C17" s="569">
        <f>B49</f>
        <v>15231.932773109238</v>
      </c>
      <c r="D17" s="570"/>
      <c r="E17" s="570">
        <f>E49</f>
        <v>0</v>
      </c>
      <c r="F17" s="1016"/>
      <c r="G17" s="571"/>
      <c r="H17" s="569">
        <f>I49</f>
        <v>0</v>
      </c>
      <c r="I17" s="570">
        <f>G49+F49</f>
        <v>0</v>
      </c>
      <c r="J17" s="570">
        <f>H49+D49+C49</f>
        <v>0</v>
      </c>
      <c r="K17" s="570"/>
      <c r="L17" s="570"/>
      <c r="M17" s="570"/>
      <c r="N17" s="1017"/>
      <c r="O17" s="572">
        <f>C17*$C$22+E17*$E$22+H17*$H$22+I17*$I$22+J17*$J$22+D17*$D$22+F17*$F$22+G17*$G$22+K17*$K$22+L17*$L$22</f>
        <v>3076.8504201680662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12947.142857142855</v>
      </c>
      <c r="C20" s="556">
        <f>SUM(C17:C19)</f>
        <v>15231.932773109238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3076.8504201680662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24038</v>
      </c>
      <c r="C28" s="770">
        <v>3020</v>
      </c>
      <c r="D28" s="627" t="s">
        <v>887</v>
      </c>
      <c r="E28" s="626" t="s">
        <v>888</v>
      </c>
      <c r="F28" s="626" t="s">
        <v>889</v>
      </c>
      <c r="G28" s="626" t="s">
        <v>890</v>
      </c>
      <c r="H28" s="626" t="s">
        <v>891</v>
      </c>
      <c r="I28" s="626" t="s">
        <v>888</v>
      </c>
      <c r="J28" s="769">
        <v>40091</v>
      </c>
      <c r="K28" s="769">
        <v>40091</v>
      </c>
      <c r="L28" s="626" t="s">
        <v>892</v>
      </c>
      <c r="M28" s="626">
        <v>2014</v>
      </c>
      <c r="N28" s="626">
        <v>9062.9999999999982</v>
      </c>
      <c r="O28" s="626">
        <v>12947.142857142855</v>
      </c>
      <c r="P28" s="626">
        <v>25894.28571428571</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2014</v>
      </c>
      <c r="N29" s="584">
        <f>SUM(N28:N28)</f>
        <v>9062.9999999999982</v>
      </c>
      <c r="O29" s="584">
        <f>SUM(O28:O28)</f>
        <v>12947.142857142855</v>
      </c>
      <c r="P29" s="584">
        <f>SUM(P28:P28)</f>
        <v>25894.28571428571</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2014</v>
      </c>
      <c r="N32" s="589">
        <f>SUMIF($Z$28:$Z$28,"landbouw",N28:N28)</f>
        <v>9062.9999999999982</v>
      </c>
      <c r="O32" s="589">
        <f>SUMIF($Z$28:$Z$28,"landbouw",O28:O28)</f>
        <v>12947.142857142855</v>
      </c>
      <c r="P32" s="589">
        <f>SUMIF($Z$28:$Z$28,"landbouw",P28:P28)</f>
        <v>25894.28571428571</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10662.352941176468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15231.932773109238</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34721.163065116511</v>
      </c>
      <c r="C4" s="451">
        <f>huishoudens!C8</f>
        <v>0</v>
      </c>
      <c r="D4" s="451">
        <f>huishoudens!D8</f>
        <v>87156.317905862452</v>
      </c>
      <c r="E4" s="451">
        <f>huishoudens!E8</f>
        <v>12133.019865141272</v>
      </c>
      <c r="F4" s="451">
        <f>huishoudens!F8</f>
        <v>15623.789119079594</v>
      </c>
      <c r="G4" s="451">
        <f>huishoudens!G8</f>
        <v>0</v>
      </c>
      <c r="H4" s="451">
        <f>huishoudens!H8</f>
        <v>0</v>
      </c>
      <c r="I4" s="451">
        <f>huishoudens!I8</f>
        <v>0</v>
      </c>
      <c r="J4" s="451">
        <f>huishoudens!J8</f>
        <v>0</v>
      </c>
      <c r="K4" s="451">
        <f>huishoudens!K8</f>
        <v>0</v>
      </c>
      <c r="L4" s="451">
        <f>huishoudens!L8</f>
        <v>0</v>
      </c>
      <c r="M4" s="451">
        <f>huishoudens!M8</f>
        <v>0</v>
      </c>
      <c r="N4" s="451">
        <f>huishoudens!N8</f>
        <v>12654.978265373325</v>
      </c>
      <c r="O4" s="451">
        <f>huishoudens!O8</f>
        <v>387.70666666666671</v>
      </c>
      <c r="P4" s="452">
        <f>huishoudens!P8</f>
        <v>1201.2</v>
      </c>
      <c r="Q4" s="453">
        <f>SUM(B4:P4)</f>
        <v>163878.17488723985</v>
      </c>
    </row>
    <row r="5" spans="1:17">
      <c r="A5" s="450" t="s">
        <v>155</v>
      </c>
      <c r="B5" s="451">
        <f ca="1">tertiair!B16</f>
        <v>20567.387643157486</v>
      </c>
      <c r="C5" s="451">
        <f ca="1">tertiair!C16</f>
        <v>0</v>
      </c>
      <c r="D5" s="451">
        <f ca="1">tertiair!D16</f>
        <v>22773.117751804075</v>
      </c>
      <c r="E5" s="451">
        <f>tertiair!E16</f>
        <v>346.40849673709715</v>
      </c>
      <c r="F5" s="451">
        <f ca="1">tertiair!F16</f>
        <v>3791.6866379186717</v>
      </c>
      <c r="G5" s="451">
        <f>tertiair!G16</f>
        <v>0</v>
      </c>
      <c r="H5" s="451">
        <f>tertiair!H16</f>
        <v>0</v>
      </c>
      <c r="I5" s="451">
        <f>tertiair!I16</f>
        <v>0</v>
      </c>
      <c r="J5" s="451">
        <f>tertiair!J16</f>
        <v>6.9432316287181883E-2</v>
      </c>
      <c r="K5" s="451">
        <f>tertiair!K16</f>
        <v>0</v>
      </c>
      <c r="L5" s="451">
        <f ca="1">tertiair!L16</f>
        <v>0</v>
      </c>
      <c r="M5" s="451">
        <f>tertiair!M16</f>
        <v>0</v>
      </c>
      <c r="N5" s="451">
        <f ca="1">tertiair!N16</f>
        <v>2751.0028205714857</v>
      </c>
      <c r="O5" s="451">
        <f>tertiair!O16</f>
        <v>0</v>
      </c>
      <c r="P5" s="452">
        <f>tertiair!P16</f>
        <v>76.266666666666666</v>
      </c>
      <c r="Q5" s="450">
        <f t="shared" ref="Q5:Q14" ca="1" si="0">SUM(B5:P5)</f>
        <v>50305.939449171769</v>
      </c>
    </row>
    <row r="6" spans="1:17">
      <c r="A6" s="450" t="s">
        <v>193</v>
      </c>
      <c r="B6" s="451">
        <f>'openbare verlichting'!B8</f>
        <v>1555.194</v>
      </c>
      <c r="C6" s="451"/>
      <c r="D6" s="451"/>
      <c r="E6" s="451"/>
      <c r="F6" s="451"/>
      <c r="G6" s="451"/>
      <c r="H6" s="451"/>
      <c r="I6" s="451"/>
      <c r="J6" s="451"/>
      <c r="K6" s="451"/>
      <c r="L6" s="451"/>
      <c r="M6" s="451"/>
      <c r="N6" s="451"/>
      <c r="O6" s="451"/>
      <c r="P6" s="452"/>
      <c r="Q6" s="450">
        <f t="shared" si="0"/>
        <v>1555.194</v>
      </c>
    </row>
    <row r="7" spans="1:17">
      <c r="A7" s="450" t="s">
        <v>111</v>
      </c>
      <c r="B7" s="451">
        <f>landbouw!B8</f>
        <v>562.63216310202699</v>
      </c>
      <c r="C7" s="451">
        <f>landbouw!C8</f>
        <v>12947.142857142855</v>
      </c>
      <c r="D7" s="451">
        <f>landbouw!D8</f>
        <v>0</v>
      </c>
      <c r="E7" s="451">
        <f>landbouw!E8</f>
        <v>16.537477750543882</v>
      </c>
      <c r="F7" s="451">
        <f>landbouw!F8</f>
        <v>2343.8951884367361</v>
      </c>
      <c r="G7" s="451">
        <f>landbouw!G8</f>
        <v>0</v>
      </c>
      <c r="H7" s="451">
        <f>landbouw!H8</f>
        <v>0</v>
      </c>
      <c r="I7" s="451">
        <f>landbouw!I8</f>
        <v>0</v>
      </c>
      <c r="J7" s="451">
        <f>landbouw!J8</f>
        <v>81.513317769472224</v>
      </c>
      <c r="K7" s="451">
        <f>landbouw!K8</f>
        <v>0</v>
      </c>
      <c r="L7" s="451">
        <f>landbouw!L8</f>
        <v>0</v>
      </c>
      <c r="M7" s="451">
        <f>landbouw!M8</f>
        <v>0</v>
      </c>
      <c r="N7" s="451">
        <f>landbouw!N8</f>
        <v>0</v>
      </c>
      <c r="O7" s="451">
        <f>landbouw!O8</f>
        <v>0</v>
      </c>
      <c r="P7" s="452">
        <f>landbouw!P8</f>
        <v>0</v>
      </c>
      <c r="Q7" s="450">
        <f t="shared" si="0"/>
        <v>15951.721004201634</v>
      </c>
    </row>
    <row r="8" spans="1:17">
      <c r="A8" s="450" t="s">
        <v>634</v>
      </c>
      <c r="B8" s="451">
        <f>industrie!B18</f>
        <v>8982.2496461905939</v>
      </c>
      <c r="C8" s="451">
        <f>industrie!C18</f>
        <v>0</v>
      </c>
      <c r="D8" s="451">
        <f>industrie!D18</f>
        <v>6410.9047406699747</v>
      </c>
      <c r="E8" s="451">
        <f>industrie!E18</f>
        <v>682.31066312358655</v>
      </c>
      <c r="F8" s="451">
        <f>industrie!F18</f>
        <v>2230.6844944944628</v>
      </c>
      <c r="G8" s="451">
        <f>industrie!G18</f>
        <v>0</v>
      </c>
      <c r="H8" s="451">
        <f>industrie!H18</f>
        <v>0</v>
      </c>
      <c r="I8" s="451">
        <f>industrie!I18</f>
        <v>0</v>
      </c>
      <c r="J8" s="451">
        <f>industrie!J18</f>
        <v>25.54469445441671</v>
      </c>
      <c r="K8" s="451">
        <f>industrie!K18</f>
        <v>0</v>
      </c>
      <c r="L8" s="451">
        <f>industrie!L18</f>
        <v>0</v>
      </c>
      <c r="M8" s="451">
        <f>industrie!M18</f>
        <v>0</v>
      </c>
      <c r="N8" s="451">
        <f>industrie!N18</f>
        <v>870.73763208758351</v>
      </c>
      <c r="O8" s="451">
        <f>industrie!O18</f>
        <v>0</v>
      </c>
      <c r="P8" s="452">
        <f>industrie!P18</f>
        <v>0</v>
      </c>
      <c r="Q8" s="450">
        <f t="shared" si="0"/>
        <v>19202.431871020621</v>
      </c>
    </row>
    <row r="9" spans="1:17" s="456" customFormat="1">
      <c r="A9" s="454" t="s">
        <v>560</v>
      </c>
      <c r="B9" s="455">
        <f>transport!B14</f>
        <v>38.278087908718874</v>
      </c>
      <c r="C9" s="455">
        <f>transport!C14</f>
        <v>0</v>
      </c>
      <c r="D9" s="455">
        <f>transport!D14</f>
        <v>114.87087535405121</v>
      </c>
      <c r="E9" s="455">
        <f>transport!E14</f>
        <v>197.22486459273932</v>
      </c>
      <c r="F9" s="455">
        <f>transport!F14</f>
        <v>0</v>
      </c>
      <c r="G9" s="455">
        <f>transport!G14</f>
        <v>76214.066583585853</v>
      </c>
      <c r="H9" s="455">
        <f>transport!H14</f>
        <v>19408.981389552438</v>
      </c>
      <c r="I9" s="455">
        <f>transport!I14</f>
        <v>0</v>
      </c>
      <c r="J9" s="455">
        <f>transport!J14</f>
        <v>0</v>
      </c>
      <c r="K9" s="455">
        <f>transport!K14</f>
        <v>0</v>
      </c>
      <c r="L9" s="455">
        <f>transport!L14</f>
        <v>0</v>
      </c>
      <c r="M9" s="455">
        <f>transport!M14</f>
        <v>5024.2517334232653</v>
      </c>
      <c r="N9" s="455">
        <f>transport!N14</f>
        <v>0</v>
      </c>
      <c r="O9" s="455">
        <f>transport!O14</f>
        <v>0</v>
      </c>
      <c r="P9" s="455">
        <f>transport!P14</f>
        <v>0</v>
      </c>
      <c r="Q9" s="454">
        <f>SUM(B9:P9)</f>
        <v>100997.67353441707</v>
      </c>
    </row>
    <row r="10" spans="1:17">
      <c r="A10" s="450" t="s">
        <v>550</v>
      </c>
      <c r="B10" s="451">
        <f>transport!B54</f>
        <v>0</v>
      </c>
      <c r="C10" s="451">
        <f>transport!C54</f>
        <v>0</v>
      </c>
      <c r="D10" s="451">
        <f>transport!D54</f>
        <v>0</v>
      </c>
      <c r="E10" s="451">
        <f>transport!E54</f>
        <v>0</v>
      </c>
      <c r="F10" s="451">
        <f>transport!F54</f>
        <v>0</v>
      </c>
      <c r="G10" s="451">
        <f>transport!G54</f>
        <v>4591.661708749326</v>
      </c>
      <c r="H10" s="451">
        <f>transport!H54</f>
        <v>0</v>
      </c>
      <c r="I10" s="451">
        <f>transport!I54</f>
        <v>0</v>
      </c>
      <c r="J10" s="451">
        <f>transport!J54</f>
        <v>0</v>
      </c>
      <c r="K10" s="451">
        <f>transport!K54</f>
        <v>0</v>
      </c>
      <c r="L10" s="451">
        <f>transport!L54</f>
        <v>0</v>
      </c>
      <c r="M10" s="451">
        <f>transport!M54</f>
        <v>260.76641525537792</v>
      </c>
      <c r="N10" s="451">
        <f>transport!N54</f>
        <v>0</v>
      </c>
      <c r="O10" s="451">
        <f>transport!O54</f>
        <v>0</v>
      </c>
      <c r="P10" s="452">
        <f>transport!P54</f>
        <v>0</v>
      </c>
      <c r="Q10" s="450">
        <f t="shared" si="0"/>
        <v>4852.4281240047039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1045.46872977045</v>
      </c>
      <c r="C14" s="458"/>
      <c r="D14" s="458">
        <f>'SEAP template'!E25</f>
        <v>2513.8485859472203</v>
      </c>
      <c r="E14" s="458"/>
      <c r="F14" s="458"/>
      <c r="G14" s="458"/>
      <c r="H14" s="458"/>
      <c r="I14" s="458"/>
      <c r="J14" s="458"/>
      <c r="K14" s="458"/>
      <c r="L14" s="458"/>
      <c r="M14" s="458"/>
      <c r="N14" s="458"/>
      <c r="O14" s="458"/>
      <c r="P14" s="459"/>
      <c r="Q14" s="450">
        <f t="shared" si="0"/>
        <v>3559.3173157176702</v>
      </c>
    </row>
    <row r="15" spans="1:17" s="460" customFormat="1">
      <c r="A15" s="1005" t="s">
        <v>554</v>
      </c>
      <c r="B15" s="953">
        <f ca="1">SUM(B4:B14)</f>
        <v>67472.373335245793</v>
      </c>
      <c r="C15" s="953">
        <f t="shared" ref="C15:Q15" ca="1" si="1">SUM(C4:C14)</f>
        <v>12947.142857142855</v>
      </c>
      <c r="D15" s="953">
        <f t="shared" ca="1" si="1"/>
        <v>118969.05985963778</v>
      </c>
      <c r="E15" s="953">
        <f t="shared" si="1"/>
        <v>13375.501367345238</v>
      </c>
      <c r="F15" s="953">
        <f t="shared" ca="1" si="1"/>
        <v>23990.055439929467</v>
      </c>
      <c r="G15" s="953">
        <f t="shared" si="1"/>
        <v>80805.728292335174</v>
      </c>
      <c r="H15" s="953">
        <f t="shared" si="1"/>
        <v>19408.981389552438</v>
      </c>
      <c r="I15" s="953">
        <f t="shared" si="1"/>
        <v>0</v>
      </c>
      <c r="J15" s="953">
        <f t="shared" si="1"/>
        <v>107.12744454017611</v>
      </c>
      <c r="K15" s="953">
        <f t="shared" si="1"/>
        <v>0</v>
      </c>
      <c r="L15" s="953">
        <f t="shared" ca="1" si="1"/>
        <v>0</v>
      </c>
      <c r="M15" s="953">
        <f t="shared" si="1"/>
        <v>5285.0181486786432</v>
      </c>
      <c r="N15" s="953">
        <f t="shared" ca="1" si="1"/>
        <v>16276.718718032394</v>
      </c>
      <c r="O15" s="953">
        <f t="shared" si="1"/>
        <v>387.70666666666671</v>
      </c>
      <c r="P15" s="953">
        <f t="shared" si="1"/>
        <v>1277.4666666666667</v>
      </c>
      <c r="Q15" s="953">
        <f t="shared" ca="1" si="1"/>
        <v>360302.88018577331</v>
      </c>
    </row>
    <row r="17" spans="1:17">
      <c r="A17" s="461" t="s">
        <v>555</v>
      </c>
      <c r="B17" s="760">
        <f ca="1">huishoudens!B10</f>
        <v>0.2076499231853712</v>
      </c>
      <c r="C17" s="760">
        <f ca="1">huishoudens!C10</f>
        <v>0.23764705882352938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7209.8468433781909</v>
      </c>
      <c r="C22" s="451">
        <f t="shared" ref="C22:C32" ca="1" si="3">C4*$C$17</f>
        <v>0</v>
      </c>
      <c r="D22" s="451">
        <f t="shared" ref="D22:D32" si="4">D4*$D$17</f>
        <v>17605.576216984216</v>
      </c>
      <c r="E22" s="451">
        <f t="shared" ref="E22:E32" si="5">E4*$E$17</f>
        <v>2754.1955093870688</v>
      </c>
      <c r="F22" s="451">
        <f t="shared" ref="F22:F32" si="6">F4*$F$17</f>
        <v>4171.5516947942524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31741.170264543729</v>
      </c>
    </row>
    <row r="23" spans="1:17">
      <c r="A23" s="450" t="s">
        <v>155</v>
      </c>
      <c r="B23" s="451">
        <f t="shared" ca="1" si="2"/>
        <v>4270.8164642254051</v>
      </c>
      <c r="C23" s="451">
        <f t="shared" ca="1" si="3"/>
        <v>0</v>
      </c>
      <c r="D23" s="451">
        <f t="shared" ca="1" si="4"/>
        <v>4600.1697858644238</v>
      </c>
      <c r="E23" s="451">
        <f t="shared" si="5"/>
        <v>78.63472875932105</v>
      </c>
      <c r="F23" s="451">
        <f t="shared" ca="1" si="6"/>
        <v>1012.3803323242854</v>
      </c>
      <c r="G23" s="451">
        <f t="shared" si="7"/>
        <v>0</v>
      </c>
      <c r="H23" s="451">
        <f t="shared" si="8"/>
        <v>0</v>
      </c>
      <c r="I23" s="451">
        <f t="shared" si="9"/>
        <v>0</v>
      </c>
      <c r="J23" s="451">
        <f t="shared" si="10"/>
        <v>2.4579039965662384E-2</v>
      </c>
      <c r="K23" s="451">
        <f t="shared" si="11"/>
        <v>0</v>
      </c>
      <c r="L23" s="451">
        <f t="shared" ca="1" si="12"/>
        <v>0</v>
      </c>
      <c r="M23" s="451">
        <f t="shared" si="13"/>
        <v>0</v>
      </c>
      <c r="N23" s="451">
        <f t="shared" ca="1" si="14"/>
        <v>0</v>
      </c>
      <c r="O23" s="451">
        <f t="shared" si="15"/>
        <v>0</v>
      </c>
      <c r="P23" s="452">
        <f t="shared" si="16"/>
        <v>0</v>
      </c>
      <c r="Q23" s="450">
        <f t="shared" ref="Q23:Q32" ca="1" si="17">SUM(B23:P23)</f>
        <v>9962.025890213401</v>
      </c>
    </row>
    <row r="24" spans="1:17">
      <c r="A24" s="450" t="s">
        <v>193</v>
      </c>
      <c r="B24" s="451">
        <f t="shared" ca="1" si="2"/>
        <v>322.9359146383502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322.9359146383502</v>
      </c>
    </row>
    <row r="25" spans="1:17">
      <c r="A25" s="450" t="s">
        <v>111</v>
      </c>
      <c r="B25" s="451">
        <f t="shared" ca="1" si="2"/>
        <v>116.83052544975514</v>
      </c>
      <c r="C25" s="451">
        <f t="shared" ca="1" si="3"/>
        <v>3076.8504201680662</v>
      </c>
      <c r="D25" s="451">
        <f t="shared" si="4"/>
        <v>0</v>
      </c>
      <c r="E25" s="451">
        <f t="shared" si="5"/>
        <v>3.7540074493734612</v>
      </c>
      <c r="F25" s="451">
        <f t="shared" si="6"/>
        <v>625.82001531260858</v>
      </c>
      <c r="G25" s="451">
        <f t="shared" si="7"/>
        <v>0</v>
      </c>
      <c r="H25" s="451">
        <f t="shared" si="8"/>
        <v>0</v>
      </c>
      <c r="I25" s="451">
        <f t="shared" si="9"/>
        <v>0</v>
      </c>
      <c r="J25" s="451">
        <f t="shared" si="10"/>
        <v>28.855714490393165</v>
      </c>
      <c r="K25" s="451">
        <f t="shared" si="11"/>
        <v>0</v>
      </c>
      <c r="L25" s="451">
        <f t="shared" si="12"/>
        <v>0</v>
      </c>
      <c r="M25" s="451">
        <f t="shared" si="13"/>
        <v>0</v>
      </c>
      <c r="N25" s="451">
        <f t="shared" si="14"/>
        <v>0</v>
      </c>
      <c r="O25" s="451">
        <f t="shared" si="15"/>
        <v>0</v>
      </c>
      <c r="P25" s="452">
        <f t="shared" si="16"/>
        <v>0</v>
      </c>
      <c r="Q25" s="450">
        <f t="shared" ca="1" si="17"/>
        <v>3852.1106828701963</v>
      </c>
    </row>
    <row r="26" spans="1:17">
      <c r="A26" s="450" t="s">
        <v>634</v>
      </c>
      <c r="B26" s="451">
        <f t="shared" ca="1" si="2"/>
        <v>1865.1634490633046</v>
      </c>
      <c r="C26" s="451">
        <f t="shared" ca="1" si="3"/>
        <v>0</v>
      </c>
      <c r="D26" s="451">
        <f t="shared" si="4"/>
        <v>1295.002757615335</v>
      </c>
      <c r="E26" s="451">
        <f t="shared" si="5"/>
        <v>154.88452052905416</v>
      </c>
      <c r="F26" s="451">
        <f t="shared" si="6"/>
        <v>595.59276003002162</v>
      </c>
      <c r="G26" s="451">
        <f t="shared" si="7"/>
        <v>0</v>
      </c>
      <c r="H26" s="451">
        <f t="shared" si="8"/>
        <v>0</v>
      </c>
      <c r="I26" s="451">
        <f t="shared" si="9"/>
        <v>0</v>
      </c>
      <c r="J26" s="451">
        <f t="shared" si="10"/>
        <v>9.0428218368635154</v>
      </c>
      <c r="K26" s="451">
        <f t="shared" si="11"/>
        <v>0</v>
      </c>
      <c r="L26" s="451">
        <f t="shared" si="12"/>
        <v>0</v>
      </c>
      <c r="M26" s="451">
        <f t="shared" si="13"/>
        <v>0</v>
      </c>
      <c r="N26" s="451">
        <f t="shared" si="14"/>
        <v>0</v>
      </c>
      <c r="O26" s="451">
        <f t="shared" si="15"/>
        <v>0</v>
      </c>
      <c r="P26" s="452">
        <f t="shared" si="16"/>
        <v>0</v>
      </c>
      <c r="Q26" s="450">
        <f t="shared" ca="1" si="17"/>
        <v>3919.6863090745783</v>
      </c>
    </row>
    <row r="27" spans="1:17" s="456" customFormat="1">
      <c r="A27" s="454" t="s">
        <v>560</v>
      </c>
      <c r="B27" s="754">
        <f t="shared" ca="1" si="2"/>
        <v>7.9484420139283607</v>
      </c>
      <c r="C27" s="455">
        <f t="shared" ca="1" si="3"/>
        <v>0</v>
      </c>
      <c r="D27" s="455">
        <f t="shared" si="4"/>
        <v>23.203916821518344</v>
      </c>
      <c r="E27" s="455">
        <f t="shared" si="5"/>
        <v>44.770044262551828</v>
      </c>
      <c r="F27" s="455">
        <f t="shared" si="6"/>
        <v>0</v>
      </c>
      <c r="G27" s="455">
        <f t="shared" si="7"/>
        <v>20349.155777817425</v>
      </c>
      <c r="H27" s="455">
        <f t="shared" si="8"/>
        <v>4832.8363659985571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25257.914546913977</v>
      </c>
    </row>
    <row r="28" spans="1:17">
      <c r="A28" s="450" t="s">
        <v>550</v>
      </c>
      <c r="B28" s="451">
        <f t="shared" ca="1" si="2"/>
        <v>0</v>
      </c>
      <c r="C28" s="451">
        <f t="shared" ca="1" si="3"/>
        <v>0</v>
      </c>
      <c r="D28" s="451">
        <f t="shared" si="4"/>
        <v>0</v>
      </c>
      <c r="E28" s="451">
        <f t="shared" si="5"/>
        <v>0</v>
      </c>
      <c r="F28" s="451">
        <f t="shared" si="6"/>
        <v>0</v>
      </c>
      <c r="G28" s="451">
        <f t="shared" si="7"/>
        <v>1225.9736762360701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1225.9736762360701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217.09150142954155</v>
      </c>
      <c r="C32" s="451">
        <f t="shared" ca="1" si="3"/>
        <v>0</v>
      </c>
      <c r="D32" s="451">
        <f t="shared" si="4"/>
        <v>507.79741436133855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724.88891579088011</v>
      </c>
    </row>
    <row r="33" spans="1:17" s="460" customFormat="1">
      <c r="A33" s="1005" t="s">
        <v>554</v>
      </c>
      <c r="B33" s="953">
        <f ca="1">SUM(B22:B32)</f>
        <v>14010.633140198477</v>
      </c>
      <c r="C33" s="953">
        <f t="shared" ref="C33:Q33" ca="1" si="18">SUM(C22:C32)</f>
        <v>3076.8504201680662</v>
      </c>
      <c r="D33" s="953">
        <f t="shared" ca="1" si="18"/>
        <v>24031.750091646831</v>
      </c>
      <c r="E33" s="953">
        <f t="shared" si="18"/>
        <v>3036.2388103873695</v>
      </c>
      <c r="F33" s="953">
        <f t="shared" ca="1" si="18"/>
        <v>6405.344802461168</v>
      </c>
      <c r="G33" s="953">
        <f t="shared" si="18"/>
        <v>21575.129454053495</v>
      </c>
      <c r="H33" s="953">
        <f t="shared" si="18"/>
        <v>4832.8363659985571</v>
      </c>
      <c r="I33" s="953">
        <f t="shared" si="18"/>
        <v>0</v>
      </c>
      <c r="J33" s="953">
        <f t="shared" si="18"/>
        <v>37.923115367222344</v>
      </c>
      <c r="K33" s="953">
        <f t="shared" si="18"/>
        <v>0</v>
      </c>
      <c r="L33" s="953">
        <f t="shared" ca="1" si="18"/>
        <v>0</v>
      </c>
      <c r="M33" s="953">
        <f t="shared" si="18"/>
        <v>0</v>
      </c>
      <c r="N33" s="953">
        <f t="shared" ca="1" si="18"/>
        <v>0</v>
      </c>
      <c r="O33" s="953">
        <f t="shared" si="18"/>
        <v>0</v>
      </c>
      <c r="P33" s="953">
        <f t="shared" si="18"/>
        <v>0</v>
      </c>
      <c r="Q33" s="953">
        <f t="shared" ca="1" si="18"/>
        <v>77006.706200281173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4758.5233529795896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9062.9999999999982</v>
      </c>
      <c r="D8" s="1022">
        <f>'SEAP template'!D76</f>
        <v>10662.352941176468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2153.7952941176468</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4758.5233529795896</v>
      </c>
      <c r="C10" s="1026">
        <f>SUM(C4:C9)</f>
        <v>9062.9999999999982</v>
      </c>
      <c r="D10" s="1026">
        <f t="shared" ref="D10:H10" si="0">SUM(D8:D9)</f>
        <v>10662.352941176468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2153.7952941176468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0.2076499231853712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12947.142857142855</v>
      </c>
      <c r="D17" s="1023">
        <f>'SEAP template'!D87</f>
        <v>15231.932773109238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3076.8504201680662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12947.142857142855</v>
      </c>
      <c r="D20" s="1026">
        <f t="shared" ref="D20:H20" si="2">SUM(D17:D19)</f>
        <v>15231.932773109238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3076.8504201680662</v>
      </c>
    </row>
    <row r="22" spans="1:16">
      <c r="A22" s="461" t="s">
        <v>848</v>
      </c>
      <c r="B22" s="760" t="s">
        <v>842</v>
      </c>
      <c r="C22" s="760">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0.2076499231853712</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2020-06-20T15:42:37Z</dcterms:modified>
</cp:coreProperties>
</file>