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N6" i="17" s="1"/>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F6" i="17"/>
  <c r="C13" i="15"/>
  <c r="M77" i="14"/>
  <c r="M9" i="61" s="1"/>
  <c r="C46" i="18"/>
  <c r="D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I8" i="18" s="1"/>
  <c r="F49" i="18"/>
  <c r="H49" i="18"/>
  <c r="C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B49" i="18" l="1"/>
  <c r="C8" i="18" s="1"/>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K13" i="14" l="1"/>
  <c r="K16" i="14" s="1"/>
  <c r="K27" i="14" s="1"/>
  <c r="J8" i="48"/>
  <c r="J26" i="48" s="1"/>
  <c r="E8" i="48"/>
  <c r="E26" i="48" s="1"/>
  <c r="F13" i="14"/>
  <c r="F16" i="14" s="1"/>
  <c r="F27" i="14" s="1"/>
  <c r="F63" i="14" s="1"/>
  <c r="J33" i="48"/>
  <c r="H63" i="14"/>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<sst xmlns="http://schemas.openxmlformats.org/spreadsheetml/2006/main" count="2416" uniqueCount="897">
  <si>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</si>
  <si>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</si>
  <si>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</si>
  <si>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</si>
  <si>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</si>
  <si>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</si>
  <si>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</si>
  <si>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</si>
  <si>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</si>
  <si>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</si>
  <si>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</si>
  <si>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</si>
  <si>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</si>
  <si>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</si>
  <si>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</si>
  <si>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</si>
  <si>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</si>
  <si>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</si>
  <si>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</si>
  <si>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</si>
  <si>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</si>
  <si>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</si>
  <si>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</si>
  <si>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</si>
  <si>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</si>
  <si>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</si>
  <si>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</si>
  <si>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</si>
  <si>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</si>
  <si>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</si>
  <si>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</si>
  <si>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</si>
  <si>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</si>
  <si>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</si>
  <si>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</si>
  <si>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</si>
  <si>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</si>
  <si>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</si>
  <si>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</si>
  <si>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</si>
  <si>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</si>
  <si>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</si>
  <si>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</si>
  <si>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</si>
  <si>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</si>
  <si>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</si>
  <si>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</si>
  <si>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</si>
  <si>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</si>
  <si>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</si>
  <si>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</si>
  <si>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</si>
  <si>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</si>
  <si>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</si>
  <si>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</si>
  <si>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</si>
  <si>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</si>
  <si>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</si>
  <si>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</si>
  <si>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</si>
  <si>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</si>
  <si>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</si>
  <si>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</si>
  <si>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</si>
  <si>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</si>
  <si>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</si>
  <si>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</si>
  <si>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</si>
  <si>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</si>
  <si>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</si>
  <si>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</si>
  <si>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</si>
  <si>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</si>
  <si>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</si>
  <si>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</si>
  <si>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</si>
  <si>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</si>
  <si>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</si>
  <si>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</si>
  <si>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</si>
  <si>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</si>
  <si>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</si>
  <si>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</si>
  <si>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</si>
  <si>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</si>
  <si>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</si>
  <si>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</si>
  <si>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</si>
  <si>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</si>
  <si>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</si>
  <si>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</si>
  <si>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</si>
  <si>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</si>
  <si>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</si>
  <si>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</si>
  <si>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</si>
  <si>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</si>
  <si>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</si>
  <si>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</si>
  <si>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</si>
  <si>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</si>
  <si>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</si>
  <si>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</si>
  <si>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</si>
  <si>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</si>
  <si>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</si>
  <si>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</si>
  <si>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</si>
  <si>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</si>
  <si>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</si>
  <si>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</si>
  <si>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</si>
  <si>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</si>
  <si>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</si>
  <si>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</si>
  <si>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</si>
  <si>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</si>
  <si>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</si>
  <si>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</si>
  <si>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</si>
  <si>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</si>
  <si>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</si>
  <si>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</si>
  <si>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</si>
  <si>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</si>
  <si>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</si>
  <si>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</si>
  <si>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</si>
  <si>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</si>
  <si>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</si>
  <si>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</si>
  <si>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</si>
  <si>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</si>
  <si>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</si>
  <si>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</si>
  <si>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</si>
  <si>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</si>
  <si>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</si>
  <si>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</si>
  <si>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</si>
  <si>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</si>
  <si>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</si>
  <si>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</si>
  <si>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</si>
  <si>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</si>
  <si>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</si>
  <si>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</si>
  <si>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</si>
  <si>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</si>
  <si>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</si>
  <si>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</si>
  <si>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</si>
  <si>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</si>
  <si>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</si>
  <si>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</si>
  <si>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</si>
  <si>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</si>
  <si>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</si>
  <si>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</si>
  <si>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</si>
  <si>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</si>
  <si>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</si>
  <si>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</si>
  <si>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</si>
  <si>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</si>
  <si>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</si>
  <si>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</si>
  <si>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</si>
  <si>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</si>
  <si>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</si>
  <si>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</si>
  <si>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</si>
  <si>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</si>
  <si>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</si>
  <si>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</si>
  <si>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</si>
  <si>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</si>
  <si>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</si>
  <si>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</si>
  <si>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</si>
  <si>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</si>
  <si>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</si>
  <si>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</si>
  <si>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</si>
  <si>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</si>
  <si>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</si>
  <si>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</si>
  <si>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</si>
  <si>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</si>
  <si>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</si>
  <si>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</si>
  <si>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</si>
  <si>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</si>
  <si>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</si>
  <si>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</si>
  <si>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</si>
  <si>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</si>
  <si>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</si>
  <si>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</si>
  <si>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</si>
  <si>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</si>
  <si>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</si>
  <si>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</si>
  <si>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</si>
  <si>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</si>
  <si>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</si>
  <si>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</si>
  <si>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</si>
  <si>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</si>
  <si>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</si>
  <si>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</si>
  <si>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</si>
  <si>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</si>
  <si>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</si>
  <si>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</si>
  <si>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</si>
  <si>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</si>
  <si>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</si>
  <si>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</si>
  <si>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</si>
  <si>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</si>
  <si>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</si>
  <si>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</si>
  <si>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</si>
  <si>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</si>
  <si>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</si>
  <si>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</si>
  <si>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</si>
  <si>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</si>
  <si>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</si>
  <si>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</si>
  <si>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</si>
  <si>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</si>
  <si>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</si>
  <si>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</si>
  <si>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</si>
  <si>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</si>
  <si>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</si>
  <si>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</si>
  <si>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</si>
  <si>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</si>
  <si>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</si>
  <si>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</si>
  <si>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</si>
  <si>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</si>
  <si>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</si>
  <si>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</si>
  <si>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</si>
  <si>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</si>
  <si>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</si>
  <si>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</si>
  <si>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</si>
  <si>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</si>
  <si>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</si>
  <si>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</si>
  <si>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</si>
  <si>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</si>
  <si>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</si>
  <si>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</si>
  <si>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</si>
  <si>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</si>
  <si>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</si>
  <si>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</si>
  <si>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</si>
  <si>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</si>
  <si>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</si>
  <si>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</si>
  <si>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</si>
  <si>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</si>
  <si>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</si>
  <si>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</si>
  <si>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</si>
  <si>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</si>
  <si>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</si>
  <si>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</si>
  <si>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</si>
  <si>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</si>
  <si>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</si>
  <si>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</si>
  <si>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</si>
  <si>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</si>
  <si>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</si>
  <si>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</si>
  <si>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</si>
  <si>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</si>
  <si>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</si>
  <si>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</si>
  <si>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</si>
  <si>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</si>
  <si>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</si>
  <si>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</si>
  <si>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</si>
  <si>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</si>
  <si>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</si>
  <si>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</si>
  <si>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</si>
  <si>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</si>
  <si>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</si>
  <si>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</si>
  <si>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</si>
  <si>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</si>
  <si>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</si>
  <si>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</si>
  <si>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</si>
  <si>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</si>
  <si>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</si>
  <si>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</si>
  <si>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</si>
  <si>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</si>
  <si>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</si>
  <si>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</si>
  <si>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</si>
  <si>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</si>
  <si>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</si>
  <si>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</si>
  <si>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</si>
  <si>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</si>
  <si>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</si>
  <si>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</si>
  <si>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</si>
  <si>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</si>
  <si>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</si>
  <si>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</si>
  <si>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</si>
  <si>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</si>
  <si>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</si>
  <si>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</si>
  <si>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</si>
  <si>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</si>
  <si>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</si>
  <si>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</si>
  <si>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</si>
  <si>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</si>
  <si>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</si>
  <si>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</si>
  <si>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</si>
  <si>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</si>
  <si>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</si>
  <si>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</si>
  <si>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</si>
  <si>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</si>
  <si>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</si>
  <si>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</si>
  <si>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</si>
  <si>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</si>
  <si>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</si>
  <si>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</si>
  <si>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</si>
  <si>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</si>
  <si>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</si>
  <si>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</si>
  <si>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</si>
  <si>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</si>
  <si>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</si>
  <si>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</si>
  <si>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</si>
  <si>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</si>
  <si>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</si>
  <si>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</si>
  <si>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</si>
  <si>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</si>
  <si>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</si>
  <si>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</si>
  <si>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</si>
  <si>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</si>
  <si>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</si>
  <si>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</si>
  <si>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</si>
  <si>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</si>
  <si>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</si>
  <si>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</si>
  <si>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</si>
  <si>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</si>
  <si>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</si>
  <si>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</si>
  <si>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</si>
  <si>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</si>
  <si>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</si>
  <si>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</si>
  <si>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</si>
  <si>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</si>
  <si>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</si>
  <si>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</si>
  <si>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</si>
  <si>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</si>
  <si>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</si>
  <si>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</si>
  <si>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</si>
  <si>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</si>
  <si>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</si>
  <si>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</si>
  <si>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</si>
  <si>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</si>
  <si>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</si>
  <si>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</si>
  <si>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</si>
  <si>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</si>
  <si>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</si>
  <si>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</si>
  <si>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</si>
  <si>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</si>
  <si>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</si>
  <si>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</si>
  <si>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</si>
  <si>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</si>
  <si>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</si>
  <si>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</si>
  <si>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</si>
  <si>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</si>
  <si>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</si>
  <si>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</si>
  <si>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</si>
  <si>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</si>
  <si>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</si>
  <si>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</si>
  <si>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</si>
  <si>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</si>
  <si>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</si>
  <si>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</si>
  <si>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</si>
  <si>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</si>
  <si>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</si>
  <si>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</si>
  <si>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</si>
  <si>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</si>
  <si>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</si>
  <si>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</si>
  <si>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</si>
  <si>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</si>
  <si>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</si>
  <si>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</si>
  <si>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</si>
  <si>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</si>
  <si>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</si>
  <si>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</si>
  <si>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</si>
  <si>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</si>
  <si>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</si>
  <si>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</si>
  <si>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</si>
  <si>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</si>
  <si>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</si>
  <si>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</si>
  <si>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</si>
  <si>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</si>
  <si>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</si>
  <si>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</si>
  <si>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</si>
  <si>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</si>
  <si>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</si>
  <si>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</si>
  <si>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</si>
  <si>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</si>
  <si>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</si>
  <si>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</si>
  <si>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</si>
  <si>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</si>
  <si>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</si>
  <si>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</si>
  <si>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</si>
  <si>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</si>
  <si>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</si>
  <si>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</si>
  <si>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</si>
  <si>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</si>
  <si>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</si>
  <si>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</si>
  <si>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</si>
  <si>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</si>
  <si>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</si>
  <si>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</si>
  <si>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</si>
  <si>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</si>
  <si>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</si>
  <si>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</si>
  <si>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</si>
  <si>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</si>
  <si>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</si>
  <si>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</si>
  <si>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</si>
  <si>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</si>
  <si>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</si>
  <si>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</si>
  <si>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</si>
  <si>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</si>
  <si>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</si>
  <si>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</si>
  <si>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</si>
  <si>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</si>
  <si>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</si>
  <si>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</si>
  <si>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</si>
  <si>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</si>
  <si>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</si>
  <si>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</si>
  <si>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</si>
  <si>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</si>
  <si>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</si>
  <si>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</si>
  <si>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</si>
  <si>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</si>
  <si>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</si>
  <si>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</si>
  <si>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</si>
  <si>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</si>
  <si>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</si>
  <si>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</si>
  <si>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</si>
  <si>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</si>
  <si>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</si>
  <si>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</si>
  <si>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</si>
  <si>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</si>
  <si>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</si>
  <si>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</si>
  <si>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</si>
  <si>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</si>
  <si>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</si>
  <si>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</si>
  <si>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</si>
  <si>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</si>
  <si>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</si>
  <si>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</si>
  <si>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</si>
  <si>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</si>
  <si>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</si>
  <si>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</si>
  <si>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</si>
  <si>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</si>
  <si>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</si>
  <si>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</si>
  <si>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</si>
  <si>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</si>
  <si>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</si>
  <si>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</si>
  <si>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</si>
  <si>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</si>
  <si>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</si>
  <si>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</si>
  <si>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</si>
  <si>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</si>
  <si>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</si>
  <si>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</si>
  <si>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</si>
  <si>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</si>
  <si>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</si>
  <si>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</si>
  <si>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</si>
  <si>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</si>
  <si>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</si>
  <si>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</si>
  <si>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</si>
  <si>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</si>
  <si>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</si>
  <si>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</si>
  <si>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</si>
  <si>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</si>
  <si>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</si>
  <si>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</si>
  <si>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</si>
  <si>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</si>
  <si>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</si>
  <si>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</si>
  <si>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</si>
  <si>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</si>
  <si>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</si>
  <si>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</si>
  <si>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</si>
  <si>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</si>
  <si>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</si>
  <si>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</si>
  <si>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</si>
  <si>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</si>
  <si>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</si>
  <si>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</si>
  <si>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</si>
  <si>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</si>
  <si>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</si>
  <si>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</si>
  <si>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</si>
  <si>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</si>
  <si>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</si>
  <si>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</si>
  <si>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</si>
  <si>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</si>
  <si>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</si>
  <si>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</si>
  <si>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</si>
  <si>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</si>
  <si>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</si>
  <si>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</si>
  <si>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</si>
  <si>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</si>
  <si>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</si>
  <si>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</si>
  <si>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</si>
  <si>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</si>
  <si>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</si>
  <si>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</si>
  <si>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</si>
  <si>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</si>
  <si>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</si>
  <si>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</si>
  <si>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</si>
  <si>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</si>
  <si>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</si>
  <si>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</si>
  <si>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</si>
  <si>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</si>
  <si>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</si>
  <si>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</si>
  <si>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</si>
  <si>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</si>
  <si>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</si>
  <si>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</si>
  <si>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</si>
  <si>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</si>
  <si>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</si>
  <si>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</si>
  <si>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</si>
  <si>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</si>
  <si>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</si>
  <si>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</si>
  <si>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</si>
  <si>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</si>
  <si>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</si>
  <si>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</si>
  <si>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</si>
  <si>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</si>
  <si>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</si>
  <si>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</si>
  <si>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</si>
  <si>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</si>
  <si>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</si>
  <si>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</si>
  <si>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</si>
  <si>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</si>
  <si>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</si>
  <si>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</si>
  <si>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</si>
  <si>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</si>
  <si>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</si>
  <si>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</si>
  <si>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</si>
  <si>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</si>
  <si>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</si>
  <si>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</si>
  <si>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</si>
  <si>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</si>
  <si>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</si>
  <si>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</si>
  <si>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</si>
  <si>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</si>
  <si>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</si>
  <si>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</si>
  <si>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</si>
  <si>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</si>
  <si>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</si>
  <si>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</si>
  <si>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</si>
  <si>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</si>
  <si>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</si>
  <si>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</si>
  <si>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</si>
  <si>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</si>
  <si>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</si>
  <si>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</si>
  <si>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</si>
  <si>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</si>
  <si>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</si>
  <si>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</si>
  <si>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</si>
  <si>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</si>
  <si>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</si>
  <si>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</si>
  <si>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</si>
  <si>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</si>
  <si>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</si>
  <si>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</si>
  <si>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</si>
  <si>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</si>
  <si>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</si>
  <si>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</si>
  <si>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</si>
  <si>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</si>
  <si>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</si>
  <si>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</si>
  <si>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</si>
  <si>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</si>
  <si>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</si>
  <si>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</si>
  <si>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</si>
  <si>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</si>
  <si>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</si>
  <si>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</si>
  <si>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</si>
  <si>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</si>
  <si>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</si>
  <si>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</si>
  <si>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</si>
  <si>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</si>
  <si>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</si>
  <si>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</si>
  <si>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</si>
  <si>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</si>
  <si>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</si>
  <si>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</si>
  <si>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</si>
  <si>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</si>
  <si>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</si>
  <si>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</si>
  <si>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</si>
  <si>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</si>
  <si>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</si>
  <si>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</si>
  <si>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</si>
  <si>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</si>
  <si>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</si>
  <si>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</si>
  <si>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</si>
  <si>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</si>
  <si>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</si>
  <si>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</si>
  <si>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</si>
  <si>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</si>
  <si>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</si>
  <si>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</si>
  <si>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</si>
  <si>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</si>
  <si>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</si>
  <si>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</si>
  <si>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</si>
  <si>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</si>
  <si>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</si>
  <si>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</si>
  <si>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</si>
  <si>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</si>
  <si>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</si>
  <si>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</si>
  <si>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</si>
  <si>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</si>
  <si>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</si>
  <si>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</si>
  <si>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</si>
  <si>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</si>
  <si>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</si>
  <si>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</si>
  <si>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</si>
  <si>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</si>
  <si>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</si>
  <si>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</si>
  <si>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</si>
  <si>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</si>
  <si>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</si>
  <si>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</si>
  <si>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</si>
  <si>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</si>
  <si>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</si>
  <si>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</si>
  <si>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</si>
  <si>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</si>
  <si>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</si>
  <si>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</si>
  <si>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</si>
  <si>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</si>
  <si>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</si>
  <si>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</si>
  <si>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</si>
  <si>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</si>
  <si>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</si>
  <si>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</si>
  <si>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</si>
  <si>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</si>
  <si>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</si>
  <si>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</si>
  <si>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</si>
  <si>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</si>
  <si>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</si>
  <si>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</si>
  <si>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</si>
  <si>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</si>
  <si>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</si>
  <si>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</si>
  <si>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</si>
  <si>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</si>
  <si>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</si>
  <si>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</si>
  <si>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</si>
  <si>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</si>
  <si>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</si>
  <si>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</si>
  <si>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</si>
  <si>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</si>
  <si>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</si>
  <si>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</si>
  <si>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</si>
  <si>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</si>
  <si>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</si>
  <si>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</si>
  <si>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</si>
  <si>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</si>
  <si>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</si>
  <si>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</si>
  <si>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</si>
  <si>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</si>
  <si>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</si>
  <si>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</si>
  <si>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</si>
  <si>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</si>
  <si>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</si>
  <si>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</si>
  <si>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</si>
  <si>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</si>
  <si>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</si>
  <si>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</si>
  <si>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</si>
  <si>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</si>
  <si>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</si>
  <si>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</si>
  <si>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</si>
  <si>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</si>
  <si>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</si>
  <si>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</si>
  <si>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</si>
  <si>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</si>
  <si>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</si>
  <si>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</si>
  <si>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</si>
  <si>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</si>
  <si>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</si>
  <si>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</si>
  <si>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</si>
  <si>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</si>
  <si>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</si>
  <si>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</si>
  <si>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</si>
  <si>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</si>
  <si>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</si>
  <si>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</si>
  <si>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</si>
  <si>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</si>
  <si>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</si>
  <si>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</si>
  <si>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</si>
  <si>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</si>
  <si>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</si>
  <si>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</si>
  <si>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</si>
  <si>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</si>
  <si>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</si>
  <si>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</si>
  <si>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</si>
  <si>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</si>
  <si>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</si>
  <si>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</si>
  <si>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</si>
  <si>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</si>
  <si>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</si>
  <si>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</si>
  <si>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</si>
  <si>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</si>
  <si>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</si>
  <si>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</si>
  <si>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</si>
  <si>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</si>
  <si>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</si>
  <si>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</si>
  <si>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</si>
  <si>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</si>
  <si>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</si>
  <si>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</si>
  <si>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</si>
  <si>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</si>
  <si>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</si>
  <si>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</si>
  <si>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</si>
  <si>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</si>
  <si>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</si>
  <si>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</si>
  <si>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</si>
  <si>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</si>
  <si>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</si>
  <si>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</si>
  <si>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24020</t>
  </si>
  <si>
    <t>DIEST</t>
  </si>
  <si>
    <t>Fluvius</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</si>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</sst>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195172.12707257867</c:v>
                </c:pt>
                <c:pt idx="1">
                  <c:v>109036.8125285022</c:v>
                </c:pt>
                <c:pt idx="2">
                  <c:v>2021.1379999999999</c:v>
                </c:pt>
                <c:pt idx="3">
                  <c:v>28899.1209991947</c:v>
                </c:pt>
                <c:pt idx="4">
                  <c:v>61778.384439928464</c:v>
                </c:pt>
                <c:pt idx="5">
                  <c:v>149406.37217203126</c:v>
                </c:pt>
                <c:pt idx="6">
                  <c:v>3084.4708620684341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195172.12707257867</c:v>
                </c:pt>
                <c:pt idx="1">
                  <c:v>109036.8125285022</c:v>
                </c:pt>
                <c:pt idx="2">
                  <c:v>2021.1379999999999</c:v>
                </c:pt>
                <c:pt idx="3">
                  <c:v>28899.1209991947</c:v>
                </c:pt>
                <c:pt idx="4">
                  <c:v>61778.384439928464</c:v>
                </c:pt>
                <c:pt idx="5">
                  <c:v>149406.37217203126</c:v>
                </c:pt>
                <c:pt idx="6">
                  <c:v>3084.4708620684341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39337.337311293632</c:v>
                </c:pt>
                <c:pt idx="2">
                  <c:v>20491.690601385159</c:v>
                </c:pt>
                <c:pt idx="3">
                  <c:v>335.90474563851336</c:v>
                </c:pt>
                <c:pt idx="4">
                  <c:v>6976.9140309418081</c:v>
                </c:pt>
                <c:pt idx="5">
                  <c:v>12084.920844665479</c:v>
                </c:pt>
                <c:pt idx="6">
                  <c:v>37389.613074125387</c:v>
                </c:pt>
                <c:pt idx="7">
                  <c:v>779.29646465164467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39337.337311293632</c:v>
                </c:pt>
                <c:pt idx="2">
                  <c:v>20491.690601385159</c:v>
                </c:pt>
                <c:pt idx="3">
                  <c:v>335.90474563851336</c:v>
                </c:pt>
                <c:pt idx="4">
                  <c:v>6976.9140309418081</c:v>
                </c:pt>
                <c:pt idx="5">
                  <c:v>12084.920844665479</c:v>
                </c:pt>
                <c:pt idx="6">
                  <c:v>37389.613074125387</c:v>
                </c:pt>
                <c:pt idx="7">
                  <c:v>779.29646465164467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24020</v>
      </c>
      <c r="B6" s="390"/>
      <c r="C6" s="391"/>
    </row>
    <row r="7" spans="1:7" s="388" customFormat="1" ht="15.75" customHeight="1">
      <c r="A7" s="392" t="str">
        <f>txtMunicipality</f>
        <v>DIEST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0.16619584889231381</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0.16619584889231381</v>
      </c>
      <c r="C29" s="499">
        <f ca="1">'EF ele_warmte'!B22</f>
        <v>0.23764705882352938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10099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2490.92</v>
      </c>
      <c r="C14" s="330"/>
      <c r="D14" s="330"/>
      <c r="E14" s="330"/>
      <c r="F14" s="330"/>
    </row>
    <row r="15" spans="1:6">
      <c r="A15" s="1293" t="s">
        <v>183</v>
      </c>
      <c r="B15" s="1294">
        <v>300</v>
      </c>
      <c r="C15" s="330"/>
      <c r="D15" s="330"/>
      <c r="E15" s="330"/>
      <c r="F15" s="330"/>
    </row>
    <row r="16" spans="1:6">
      <c r="A16" s="1293" t="s">
        <v>6</v>
      </c>
      <c r="B16" s="1294">
        <v>397</v>
      </c>
      <c r="C16" s="330"/>
      <c r="D16" s="330"/>
      <c r="E16" s="330"/>
      <c r="F16" s="330"/>
    </row>
    <row r="17" spans="1:6">
      <c r="A17" s="1293" t="s">
        <v>7</v>
      </c>
      <c r="B17" s="1294">
        <v>353</v>
      </c>
      <c r="C17" s="330"/>
      <c r="D17" s="330"/>
      <c r="E17" s="330"/>
      <c r="F17" s="330"/>
    </row>
    <row r="18" spans="1:6">
      <c r="A18" s="1293" t="s">
        <v>8</v>
      </c>
      <c r="B18" s="1294">
        <v>427</v>
      </c>
      <c r="C18" s="330"/>
      <c r="D18" s="330"/>
      <c r="E18" s="330"/>
      <c r="F18" s="330"/>
    </row>
    <row r="19" spans="1:6">
      <c r="A19" s="1293" t="s">
        <v>9</v>
      </c>
      <c r="B19" s="1294">
        <v>393</v>
      </c>
      <c r="C19" s="330"/>
      <c r="D19" s="330"/>
      <c r="E19" s="330"/>
      <c r="F19" s="330"/>
    </row>
    <row r="20" spans="1:6">
      <c r="A20" s="1293" t="s">
        <v>10</v>
      </c>
      <c r="B20" s="1294">
        <v>319</v>
      </c>
      <c r="C20" s="330"/>
      <c r="D20" s="330"/>
      <c r="E20" s="330"/>
      <c r="F20" s="330"/>
    </row>
    <row r="21" spans="1:6">
      <c r="A21" s="1293" t="s">
        <v>11</v>
      </c>
      <c r="B21" s="1294">
        <v>1511</v>
      </c>
      <c r="C21" s="330"/>
      <c r="D21" s="330"/>
      <c r="E21" s="330"/>
      <c r="F21" s="330"/>
    </row>
    <row r="22" spans="1:6">
      <c r="A22" s="1293" t="s">
        <v>12</v>
      </c>
      <c r="B22" s="1294">
        <v>6482</v>
      </c>
      <c r="C22" s="330"/>
      <c r="D22" s="330"/>
      <c r="E22" s="330"/>
      <c r="F22" s="330"/>
    </row>
    <row r="23" spans="1:6">
      <c r="A23" s="1293" t="s">
        <v>13</v>
      </c>
      <c r="B23" s="1294">
        <v>118</v>
      </c>
      <c r="C23" s="330"/>
      <c r="D23" s="330"/>
      <c r="E23" s="330"/>
      <c r="F23" s="330"/>
    </row>
    <row r="24" spans="1:6">
      <c r="A24" s="1293" t="s">
        <v>14</v>
      </c>
      <c r="B24" s="1294">
        <v>9</v>
      </c>
      <c r="C24" s="330"/>
      <c r="D24" s="330"/>
      <c r="E24" s="330"/>
      <c r="F24" s="330"/>
    </row>
    <row r="25" spans="1:6">
      <c r="A25" s="1293" t="s">
        <v>15</v>
      </c>
      <c r="B25" s="1294">
        <v>487</v>
      </c>
      <c r="C25" s="330"/>
      <c r="D25" s="330"/>
      <c r="E25" s="330"/>
      <c r="F25" s="330"/>
    </row>
    <row r="26" spans="1:6">
      <c r="A26" s="1293" t="s">
        <v>16</v>
      </c>
      <c r="B26" s="1294">
        <v>132</v>
      </c>
      <c r="C26" s="330"/>
      <c r="D26" s="330"/>
      <c r="E26" s="330"/>
      <c r="F26" s="330"/>
    </row>
    <row r="27" spans="1:6">
      <c r="A27" s="1293" t="s">
        <v>17</v>
      </c>
      <c r="B27" s="1294">
        <v>0</v>
      </c>
      <c r="C27" s="330"/>
      <c r="D27" s="330"/>
      <c r="E27" s="330"/>
      <c r="F27" s="330"/>
    </row>
    <row r="28" spans="1:6" s="43" customFormat="1">
      <c r="A28" s="1295" t="s">
        <v>18</v>
      </c>
      <c r="B28" s="1296">
        <v>134562</v>
      </c>
      <c r="C28" s="336"/>
      <c r="D28" s="336"/>
      <c r="E28" s="336"/>
      <c r="F28" s="336"/>
    </row>
    <row r="29" spans="1:6">
      <c r="A29" s="1295" t="s">
        <v>734</v>
      </c>
      <c r="B29" s="1296">
        <v>160</v>
      </c>
      <c r="C29" s="336"/>
      <c r="D29" s="336"/>
      <c r="E29" s="336"/>
      <c r="F29" s="336"/>
    </row>
    <row r="30" spans="1:6">
      <c r="A30" s="1288" t="s">
        <v>735</v>
      </c>
      <c r="B30" s="1297">
        <v>25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46784</v>
      </c>
    </row>
    <row r="37" spans="1:6">
      <c r="A37" s="1293" t="s">
        <v>24</v>
      </c>
      <c r="B37" s="1293" t="s">
        <v>27</v>
      </c>
      <c r="C37" s="1294">
        <v>0</v>
      </c>
      <c r="D37" s="1294">
        <v>0</v>
      </c>
      <c r="E37" s="1294">
        <v>0</v>
      </c>
      <c r="F37" s="1294">
        <v>0</v>
      </c>
    </row>
    <row r="38" spans="1:6">
      <c r="A38" s="1293" t="s">
        <v>24</v>
      </c>
      <c r="B38" s="1293" t="s">
        <v>28</v>
      </c>
      <c r="C38" s="1294">
        <v>1</v>
      </c>
      <c r="D38" s="1294">
        <v>11131.0129780647</v>
      </c>
      <c r="E38" s="1294">
        <v>1</v>
      </c>
      <c r="F38" s="1294">
        <v>8856</v>
      </c>
    </row>
    <row r="39" spans="1:6">
      <c r="A39" s="1293" t="s">
        <v>29</v>
      </c>
      <c r="B39" s="1293" t="s">
        <v>30</v>
      </c>
      <c r="C39" s="1294">
        <v>5550</v>
      </c>
      <c r="D39" s="1294">
        <v>83796854.559835702</v>
      </c>
      <c r="E39" s="1294">
        <v>10154</v>
      </c>
      <c r="F39" s="1294">
        <v>33272190.449999999</v>
      </c>
    </row>
    <row r="40" spans="1:6">
      <c r="A40" s="1293" t="s">
        <v>29</v>
      </c>
      <c r="B40" s="1293" t="s">
        <v>28</v>
      </c>
      <c r="C40" s="1294">
        <v>0</v>
      </c>
      <c r="D40" s="1294">
        <v>0</v>
      </c>
      <c r="E40" s="1294">
        <v>0</v>
      </c>
      <c r="F40" s="1294">
        <v>0</v>
      </c>
    </row>
    <row r="41" spans="1:6">
      <c r="A41" s="1293" t="s">
        <v>31</v>
      </c>
      <c r="B41" s="1293" t="s">
        <v>32</v>
      </c>
      <c r="C41" s="1294">
        <v>75</v>
      </c>
      <c r="D41" s="1294">
        <v>4079746.0497395499</v>
      </c>
      <c r="E41" s="1294">
        <v>284</v>
      </c>
      <c r="F41" s="1294">
        <v>15306488.800000001</v>
      </c>
    </row>
    <row r="42" spans="1:6">
      <c r="A42" s="1293" t="s">
        <v>31</v>
      </c>
      <c r="B42" s="1293" t="s">
        <v>33</v>
      </c>
      <c r="C42" s="1294">
        <v>0</v>
      </c>
      <c r="D42" s="1294">
        <v>0</v>
      </c>
      <c r="E42" s="1294">
        <v>3</v>
      </c>
      <c r="F42" s="1294">
        <v>2316</v>
      </c>
    </row>
    <row r="43" spans="1:6">
      <c r="A43" s="1293" t="s">
        <v>31</v>
      </c>
      <c r="B43" s="1293" t="s">
        <v>34</v>
      </c>
      <c r="C43" s="1294">
        <v>0</v>
      </c>
      <c r="D43" s="1294">
        <v>0</v>
      </c>
      <c r="E43" s="1294">
        <v>0</v>
      </c>
      <c r="F43" s="1294">
        <v>0</v>
      </c>
    </row>
    <row r="44" spans="1:6">
      <c r="A44" s="1293" t="s">
        <v>31</v>
      </c>
      <c r="B44" s="1293" t="s">
        <v>35</v>
      </c>
      <c r="C44" s="1294">
        <v>3</v>
      </c>
      <c r="D44" s="1294">
        <v>86617.9141339778</v>
      </c>
      <c r="E44" s="1294">
        <v>30</v>
      </c>
      <c r="F44" s="1294">
        <v>4645869.7379999999</v>
      </c>
    </row>
    <row r="45" spans="1:6">
      <c r="A45" s="1293" t="s">
        <v>31</v>
      </c>
      <c r="B45" s="1293" t="s">
        <v>36</v>
      </c>
      <c r="C45" s="1294">
        <v>0</v>
      </c>
      <c r="D45" s="1294">
        <v>0</v>
      </c>
      <c r="E45" s="1294">
        <v>5</v>
      </c>
      <c r="F45" s="1294">
        <v>658634</v>
      </c>
    </row>
    <row r="46" spans="1:6">
      <c r="A46" s="1293" t="s">
        <v>31</v>
      </c>
      <c r="B46" s="1293" t="s">
        <v>37</v>
      </c>
      <c r="C46" s="1294">
        <v>0</v>
      </c>
      <c r="D46" s="1294">
        <v>0</v>
      </c>
      <c r="E46" s="1294">
        <v>0</v>
      </c>
      <c r="F46" s="1294">
        <v>0</v>
      </c>
    </row>
    <row r="47" spans="1:6">
      <c r="A47" s="1293" t="s">
        <v>31</v>
      </c>
      <c r="B47" s="1293" t="s">
        <v>38</v>
      </c>
      <c r="C47" s="1294">
        <v>3</v>
      </c>
      <c r="D47" s="1294">
        <v>859074.61687674106</v>
      </c>
      <c r="E47" s="1294">
        <v>12</v>
      </c>
      <c r="F47" s="1294">
        <v>1481240</v>
      </c>
    </row>
    <row r="48" spans="1:6">
      <c r="A48" s="1293" t="s">
        <v>31</v>
      </c>
      <c r="B48" s="1293" t="s">
        <v>28</v>
      </c>
      <c r="C48" s="1294">
        <v>54</v>
      </c>
      <c r="D48" s="1294">
        <v>12340059.584628399</v>
      </c>
      <c r="E48" s="1294">
        <v>0</v>
      </c>
      <c r="F48" s="1294">
        <v>0</v>
      </c>
    </row>
    <row r="49" spans="1:6">
      <c r="A49" s="1293" t="s">
        <v>31</v>
      </c>
      <c r="B49" s="1293" t="s">
        <v>39</v>
      </c>
      <c r="C49" s="1294">
        <v>0</v>
      </c>
      <c r="D49" s="1294">
        <v>0</v>
      </c>
      <c r="E49" s="1294">
        <v>4</v>
      </c>
      <c r="F49" s="1294">
        <v>64687</v>
      </c>
    </row>
    <row r="50" spans="1:6">
      <c r="A50" s="1293" t="s">
        <v>31</v>
      </c>
      <c r="B50" s="1293" t="s">
        <v>40</v>
      </c>
      <c r="C50" s="1294">
        <v>8</v>
      </c>
      <c r="D50" s="1294">
        <v>674721.73579632095</v>
      </c>
      <c r="E50" s="1294">
        <v>21</v>
      </c>
      <c r="F50" s="1294">
        <v>3333401</v>
      </c>
    </row>
    <row r="51" spans="1:6">
      <c r="A51" s="1293" t="s">
        <v>41</v>
      </c>
      <c r="B51" s="1293" t="s">
        <v>42</v>
      </c>
      <c r="C51" s="1294">
        <v>7</v>
      </c>
      <c r="D51" s="1294">
        <v>192136.71126356299</v>
      </c>
      <c r="E51" s="1294">
        <v>68</v>
      </c>
      <c r="F51" s="1294">
        <v>1619619.6</v>
      </c>
    </row>
    <row r="52" spans="1:6">
      <c r="A52" s="1293" t="s">
        <v>41</v>
      </c>
      <c r="B52" s="1293" t="s">
        <v>28</v>
      </c>
      <c r="C52" s="1294">
        <v>7</v>
      </c>
      <c r="D52" s="1294">
        <v>31132643.513415799</v>
      </c>
      <c r="E52" s="1294">
        <v>0</v>
      </c>
      <c r="F52" s="1294">
        <v>0</v>
      </c>
    </row>
    <row r="53" spans="1:6">
      <c r="A53" s="1293" t="s">
        <v>43</v>
      </c>
      <c r="B53" s="1293" t="s">
        <v>44</v>
      </c>
      <c r="C53" s="1294">
        <v>149</v>
      </c>
      <c r="D53" s="1294">
        <v>3039284.7078467999</v>
      </c>
      <c r="E53" s="1294">
        <v>264</v>
      </c>
      <c r="F53" s="1294">
        <v>1349929.5209999999</v>
      </c>
    </row>
    <row r="54" spans="1:6">
      <c r="A54" s="1293" t="s">
        <v>45</v>
      </c>
      <c r="B54" s="1293" t="s">
        <v>46</v>
      </c>
      <c r="C54" s="1294">
        <v>0</v>
      </c>
      <c r="D54" s="1294">
        <v>0</v>
      </c>
      <c r="E54" s="1294">
        <v>1</v>
      </c>
      <c r="F54" s="1294">
        <v>2021138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63</v>
      </c>
      <c r="D57" s="1294">
        <v>2616438.4548600698</v>
      </c>
      <c r="E57" s="1294">
        <v>149</v>
      </c>
      <c r="F57" s="1294">
        <v>2551074.6379999998</v>
      </c>
    </row>
    <row r="58" spans="1:6">
      <c r="A58" s="1293" t="s">
        <v>48</v>
      </c>
      <c r="B58" s="1293" t="s">
        <v>50</v>
      </c>
      <c r="C58" s="1294">
        <v>71</v>
      </c>
      <c r="D58" s="1294">
        <v>8730954.9781637304</v>
      </c>
      <c r="E58" s="1294">
        <v>126</v>
      </c>
      <c r="F58" s="1294">
        <v>5810801</v>
      </c>
    </row>
    <row r="59" spans="1:6">
      <c r="A59" s="1293" t="s">
        <v>48</v>
      </c>
      <c r="B59" s="1293" t="s">
        <v>51</v>
      </c>
      <c r="C59" s="1294">
        <v>168</v>
      </c>
      <c r="D59" s="1294">
        <v>8540972.7493061908</v>
      </c>
      <c r="E59" s="1294">
        <v>416</v>
      </c>
      <c r="F59" s="1294">
        <v>17783071.425000001</v>
      </c>
    </row>
    <row r="60" spans="1:6">
      <c r="A60" s="1293" t="s">
        <v>48</v>
      </c>
      <c r="B60" s="1293" t="s">
        <v>52</v>
      </c>
      <c r="C60" s="1294">
        <v>83</v>
      </c>
      <c r="D60" s="1294">
        <v>4234708.6970301401</v>
      </c>
      <c r="E60" s="1294">
        <v>129</v>
      </c>
      <c r="F60" s="1294">
        <v>3099898</v>
      </c>
    </row>
    <row r="61" spans="1:6">
      <c r="A61" s="1293" t="s">
        <v>48</v>
      </c>
      <c r="B61" s="1293" t="s">
        <v>53</v>
      </c>
      <c r="C61" s="1294">
        <v>238</v>
      </c>
      <c r="D61" s="1294">
        <v>11253758.9666379</v>
      </c>
      <c r="E61" s="1294">
        <v>572</v>
      </c>
      <c r="F61" s="1294">
        <v>13044431.579</v>
      </c>
    </row>
    <row r="62" spans="1:6">
      <c r="A62" s="1293" t="s">
        <v>48</v>
      </c>
      <c r="B62" s="1293" t="s">
        <v>54</v>
      </c>
      <c r="C62" s="1294">
        <v>22</v>
      </c>
      <c r="D62" s="1294">
        <v>3132399.1208557799</v>
      </c>
      <c r="E62" s="1294">
        <v>29</v>
      </c>
      <c r="F62" s="1294">
        <v>1792316.76</v>
      </c>
    </row>
    <row r="63" spans="1:6">
      <c r="A63" s="1293" t="s">
        <v>48</v>
      </c>
      <c r="B63" s="1293" t="s">
        <v>28</v>
      </c>
      <c r="C63" s="1294">
        <v>148</v>
      </c>
      <c r="D63" s="1294">
        <v>21680308.654065099</v>
      </c>
      <c r="E63" s="1294">
        <v>1</v>
      </c>
      <c r="F63" s="1294">
        <v>8403</v>
      </c>
    </row>
    <row r="64" spans="1:6">
      <c r="A64" s="1293" t="s">
        <v>55</v>
      </c>
      <c r="B64" s="1293" t="s">
        <v>56</v>
      </c>
      <c r="C64" s="1294">
        <v>0</v>
      </c>
      <c r="D64" s="1294">
        <v>0</v>
      </c>
      <c r="E64" s="1294">
        <v>0</v>
      </c>
      <c r="F64" s="1294">
        <v>0</v>
      </c>
    </row>
    <row r="65" spans="1:6">
      <c r="A65" s="1293" t="s">
        <v>55</v>
      </c>
      <c r="B65" s="1293" t="s">
        <v>28</v>
      </c>
      <c r="C65" s="1294">
        <v>5</v>
      </c>
      <c r="D65" s="1294">
        <v>146844.11995523301</v>
      </c>
      <c r="E65" s="1294">
        <v>1</v>
      </c>
      <c r="F65" s="1294">
        <v>12136</v>
      </c>
    </row>
    <row r="66" spans="1:6">
      <c r="A66" s="1293" t="s">
        <v>55</v>
      </c>
      <c r="B66" s="1293" t="s">
        <v>57</v>
      </c>
      <c r="C66" s="1294">
        <v>0</v>
      </c>
      <c r="D66" s="1294">
        <v>0</v>
      </c>
      <c r="E66" s="1294">
        <v>21</v>
      </c>
      <c r="F66" s="1294">
        <v>338279.636</v>
      </c>
    </row>
    <row r="67" spans="1:6">
      <c r="A67" s="1295" t="s">
        <v>55</v>
      </c>
      <c r="B67" s="1295" t="s">
        <v>58</v>
      </c>
      <c r="C67" s="1294">
        <v>0</v>
      </c>
      <c r="D67" s="1294">
        <v>0</v>
      </c>
      <c r="E67" s="1294">
        <v>0</v>
      </c>
      <c r="F67" s="1294">
        <v>0</v>
      </c>
    </row>
    <row r="68" spans="1:6">
      <c r="A68" s="1288" t="s">
        <v>55</v>
      </c>
      <c r="B68" s="1288" t="s">
        <v>59</v>
      </c>
      <c r="C68" s="1297">
        <v>0</v>
      </c>
      <c r="D68" s="1297">
        <v>0</v>
      </c>
      <c r="E68" s="1297">
        <v>11</v>
      </c>
      <c r="F68" s="1297">
        <v>562545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114007150</v>
      </c>
      <c r="E73" s="449"/>
      <c r="F73" s="330"/>
    </row>
    <row r="74" spans="1:6">
      <c r="A74" s="1293" t="s">
        <v>63</v>
      </c>
      <c r="B74" s="1293" t="s">
        <v>656</v>
      </c>
      <c r="C74" s="1307" t="s">
        <v>658</v>
      </c>
      <c r="D74" s="1308">
        <v>7885560.5</v>
      </c>
      <c r="E74" s="449"/>
      <c r="F74" s="330"/>
    </row>
    <row r="75" spans="1:6">
      <c r="A75" s="1293" t="s">
        <v>64</v>
      </c>
      <c r="B75" s="1293" t="s">
        <v>655</v>
      </c>
      <c r="C75" s="1307" t="s">
        <v>659</v>
      </c>
      <c r="D75" s="1308">
        <v>18136659</v>
      </c>
      <c r="E75" s="449"/>
      <c r="F75" s="330"/>
    </row>
    <row r="76" spans="1:6">
      <c r="A76" s="1293" t="s">
        <v>64</v>
      </c>
      <c r="B76" s="1293" t="s">
        <v>656</v>
      </c>
      <c r="C76" s="1307" t="s">
        <v>660</v>
      </c>
      <c r="D76" s="1308">
        <v>507271.5</v>
      </c>
      <c r="E76" s="449"/>
      <c r="F76" s="330"/>
    </row>
    <row r="77" spans="1:6">
      <c r="A77" s="1293" t="s">
        <v>65</v>
      </c>
      <c r="B77" s="1293" t="s">
        <v>655</v>
      </c>
      <c r="C77" s="1307" t="s">
        <v>661</v>
      </c>
      <c r="D77" s="1308">
        <v>40445221</v>
      </c>
      <c r="E77" s="449"/>
      <c r="F77" s="330"/>
    </row>
    <row r="78" spans="1:6">
      <c r="A78" s="1288" t="s">
        <v>65</v>
      </c>
      <c r="B78" s="1288" t="s">
        <v>656</v>
      </c>
      <c r="C78" s="1288" t="s">
        <v>662</v>
      </c>
      <c r="D78" s="1309">
        <v>4669532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841233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15846.522752342617</v>
      </c>
      <c r="C90" s="330"/>
      <c r="D90" s="330"/>
      <c r="E90" s="330"/>
      <c r="F90" s="330"/>
    </row>
    <row r="91" spans="1:6">
      <c r="A91" s="1293" t="s">
        <v>67</v>
      </c>
      <c r="B91" s="1294">
        <v>5077.8564307446431</v>
      </c>
      <c r="C91" s="330"/>
      <c r="D91" s="330"/>
      <c r="E91" s="330"/>
      <c r="F91" s="330"/>
    </row>
    <row r="92" spans="1:6">
      <c r="A92" s="1288" t="s">
        <v>68</v>
      </c>
      <c r="B92" s="1289">
        <v>8168.7114715062471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2946</v>
      </c>
      <c r="C97" s="330"/>
      <c r="D97" s="330"/>
      <c r="E97" s="330"/>
      <c r="F97" s="330"/>
    </row>
    <row r="98" spans="1:6">
      <c r="A98" s="1293" t="s">
        <v>71</v>
      </c>
      <c r="B98" s="1294">
        <v>3</v>
      </c>
      <c r="C98" s="330"/>
      <c r="D98" s="330"/>
      <c r="E98" s="330"/>
      <c r="F98" s="330"/>
    </row>
    <row r="99" spans="1:6">
      <c r="A99" s="1293" t="s">
        <v>72</v>
      </c>
      <c r="B99" s="1294">
        <v>85</v>
      </c>
      <c r="C99" s="330"/>
      <c r="D99" s="330"/>
      <c r="E99" s="330"/>
      <c r="F99" s="330"/>
    </row>
    <row r="100" spans="1:6">
      <c r="A100" s="1293" t="s">
        <v>73</v>
      </c>
      <c r="B100" s="1294">
        <v>484</v>
      </c>
      <c r="C100" s="330"/>
      <c r="D100" s="330"/>
      <c r="E100" s="330"/>
      <c r="F100" s="330"/>
    </row>
    <row r="101" spans="1:6">
      <c r="A101" s="1293" t="s">
        <v>74</v>
      </c>
      <c r="B101" s="1294">
        <v>52</v>
      </c>
      <c r="C101" s="330"/>
      <c r="D101" s="330"/>
      <c r="E101" s="330"/>
      <c r="F101" s="330"/>
    </row>
    <row r="102" spans="1:6">
      <c r="A102" s="1293" t="s">
        <v>75</v>
      </c>
      <c r="B102" s="1294">
        <v>111</v>
      </c>
      <c r="C102" s="330"/>
      <c r="D102" s="330"/>
      <c r="E102" s="330"/>
      <c r="F102" s="330"/>
    </row>
    <row r="103" spans="1:6">
      <c r="A103" s="1293" t="s">
        <v>76</v>
      </c>
      <c r="B103" s="1294">
        <v>132</v>
      </c>
      <c r="C103" s="330"/>
      <c r="D103" s="330"/>
      <c r="E103" s="330"/>
      <c r="F103" s="330"/>
    </row>
    <row r="104" spans="1:6">
      <c r="A104" s="1293" t="s">
        <v>77</v>
      </c>
      <c r="B104" s="1294">
        <v>4977</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30</v>
      </c>
      <c r="C123" s="1294">
        <v>22</v>
      </c>
      <c r="D123" s="330"/>
      <c r="E123" s="330"/>
      <c r="F123" s="330"/>
    </row>
    <row r="124" spans="1:6" s="43" customFormat="1">
      <c r="A124" s="1295" t="s">
        <v>88</v>
      </c>
      <c r="B124" s="1316">
        <v>5</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195</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113005.83689302276</v>
      </c>
      <c r="C3" s="43" t="s">
        <v>169</v>
      </c>
      <c r="D3" s="43"/>
      <c r="E3" s="154"/>
      <c r="F3" s="43"/>
      <c r="G3" s="43"/>
      <c r="H3" s="43"/>
      <c r="I3" s="43"/>
      <c r="J3" s="43"/>
      <c r="K3" s="96"/>
    </row>
    <row r="4" spans="1:11">
      <c r="A4" s="358" t="s">
        <v>170</v>
      </c>
      <c r="B4" s="49">
        <f>IF(ISERROR('SEAP template'!B78+'SEAP template'!C78),0,'SEAP template'!B78+'SEAP template'!C78)</f>
        <v>43292.840654593507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3374.5288235294115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0.16619584889231381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4820.7554621848731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20285.357142857141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2021.1379999999999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2021.1379999999999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0.16619584889231381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335.90474563851336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33272.190450000002</v>
      </c>
      <c r="C5" s="17">
        <f>IF(ISERROR('Eigen informatie GS &amp; warmtenet'!B57),0,'Eigen informatie GS &amp; warmtenet'!B57)</f>
        <v>0</v>
      </c>
      <c r="D5" s="30">
        <f>(SUM(HH_hh_gas_kWh,HH_rest_gas_kWh)/1000)*0.902</f>
        <v>75584.762812971807</v>
      </c>
      <c r="E5" s="17">
        <f>B46*B57</f>
        <v>13343.122049976208</v>
      </c>
      <c r="F5" s="17">
        <f>B51*B62</f>
        <v>54931.490342034987</v>
      </c>
      <c r="G5" s="18"/>
      <c r="H5" s="17"/>
      <c r="I5" s="17"/>
      <c r="J5" s="17">
        <f>B50*B61+C50*C61</f>
        <v>0</v>
      </c>
      <c r="K5" s="17"/>
      <c r="L5" s="17"/>
      <c r="M5" s="17"/>
      <c r="N5" s="17">
        <f>B48*B59+C48*C59</f>
        <v>11250.661653517696</v>
      </c>
      <c r="O5" s="17">
        <f>B69*B70*B71</f>
        <v>339.2433333333334</v>
      </c>
      <c r="P5" s="17">
        <f>B77*B78*B79/1000-B77*B78*B79/1000/B80</f>
        <v>1372.8</v>
      </c>
    </row>
    <row r="6" spans="1:16">
      <c r="A6" s="16" t="s">
        <v>620</v>
      </c>
      <c r="B6" s="762">
        <f>kWh_PV_kleiner_dan_10kW</f>
        <v>5077.8564307446431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38350.046880744645</v>
      </c>
      <c r="C8" s="21">
        <f>C5</f>
        <v>0</v>
      </c>
      <c r="D8" s="21">
        <f>D5</f>
        <v>75584.762812971807</v>
      </c>
      <c r="E8" s="21">
        <f>E5</f>
        <v>13343.122049976208</v>
      </c>
      <c r="F8" s="21">
        <f>F5</f>
        <v>54931.490342034987</v>
      </c>
      <c r="G8" s="21"/>
      <c r="H8" s="21"/>
      <c r="I8" s="21"/>
      <c r="J8" s="21">
        <f>J5</f>
        <v>0</v>
      </c>
      <c r="K8" s="21"/>
      <c r="L8" s="21">
        <f>L5</f>
        <v>0</v>
      </c>
      <c r="M8" s="21">
        <f>M5</f>
        <v>0</v>
      </c>
      <c r="N8" s="21">
        <f>N5</f>
        <v>11250.661653517696</v>
      </c>
      <c r="O8" s="21">
        <f>O5</f>
        <v>339.2433333333334</v>
      </c>
      <c r="P8" s="21">
        <f>P5</f>
        <v>1372.8</v>
      </c>
    </row>
    <row r="9" spans="1:16">
      <c r="B9" s="19"/>
      <c r="C9" s="19"/>
      <c r="D9" s="258"/>
      <c r="E9" s="19"/>
      <c r="F9" s="19"/>
      <c r="G9" s="19"/>
      <c r="H9" s="19"/>
      <c r="I9" s="19"/>
      <c r="J9" s="19"/>
      <c r="K9" s="19"/>
      <c r="L9" s="19"/>
      <c r="M9" s="19"/>
      <c r="N9" s="19"/>
      <c r="O9" s="19"/>
      <c r="P9" s="19"/>
    </row>
    <row r="10" spans="1:16">
      <c r="A10" s="24" t="s">
        <v>213</v>
      </c>
      <c r="B10" s="25">
        <f ca="1">'EF ele_warmte'!B12</f>
        <v>0.16619584889231381</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6373.6185964053875</v>
      </c>
      <c r="C12" s="23">
        <f ca="1">C10*C8</f>
        <v>0</v>
      </c>
      <c r="D12" s="23">
        <f>D8*D10</f>
        <v>15268.122088220305</v>
      </c>
      <c r="E12" s="23">
        <f>E10*E8</f>
        <v>3028.8887053445992</v>
      </c>
      <c r="F12" s="23">
        <f>F10*F8</f>
        <v>14666.707921323343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10099</v>
      </c>
      <c r="C28" s="36"/>
      <c r="D28" s="228"/>
    </row>
    <row r="29" spans="1:7" s="15" customFormat="1">
      <c r="A29" s="230" t="s">
        <v>781</v>
      </c>
      <c r="B29" s="37">
        <f>SUM(HH_hh_gas_aantal,HH_rest_gas_aantal)</f>
        <v>5550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5550</v>
      </c>
      <c r="C32" s="167">
        <f>IF(ISERROR(B32/SUM($B$32,$B$34,$B$35,$B$36,$B$38,$B$39)*100),0,B32/SUM($B$32,$B$34,$B$35,$B$36,$B$38,$B$39)*100)</f>
        <v>55.350553505535061</v>
      </c>
      <c r="D32" s="233"/>
      <c r="G32" s="15"/>
    </row>
    <row r="33" spans="1:7">
      <c r="A33" s="171" t="s">
        <v>71</v>
      </c>
      <c r="B33" s="34" t="s">
        <v>110</v>
      </c>
      <c r="C33" s="167"/>
      <c r="D33" s="233"/>
      <c r="G33" s="15"/>
    </row>
    <row r="34" spans="1:7">
      <c r="A34" s="171" t="s">
        <v>72</v>
      </c>
      <c r="B34" s="33">
        <f>IF((($B$28-$B$32-$B$39-$B$77-$B$38)*C20/100)&lt;0,0,($B$28-$B$32-$B$39-$B$77-$B$38)*C20/100)</f>
        <v>252.34460547504025</v>
      </c>
      <c r="C34" s="167">
        <f>IF(ISERROR(B34/SUM($B$32,$B$34,$B$35,$B$36,$B$38,$B$39)*100),0,B34/SUM($B$32,$B$34,$B$35,$B$36,$B$38,$B$39)*100)</f>
        <v>2.5166510967890723</v>
      </c>
      <c r="D34" s="233"/>
      <c r="G34" s="15"/>
    </row>
    <row r="35" spans="1:7">
      <c r="A35" s="171" t="s">
        <v>73</v>
      </c>
      <c r="B35" s="33">
        <f>IF((($B$28-$B$32-$B$39-$B$77-$B$38)*C21/100)&lt;0,0,($B$28-$B$32-$B$39-$B$77-$B$38)*C21/100)</f>
        <v>1436.8798711755235</v>
      </c>
      <c r="C35" s="167">
        <f>IF(ISERROR(B35/SUM($B$32,$B$34,$B$35,$B$36,$B$38,$B$39)*100),0,B35/SUM($B$32,$B$34,$B$35,$B$36,$B$38,$B$39)*100)</f>
        <v>14.330107421716601</v>
      </c>
      <c r="D35" s="233"/>
      <c r="G35" s="15"/>
    </row>
    <row r="36" spans="1:7">
      <c r="A36" s="171" t="s">
        <v>74</v>
      </c>
      <c r="B36" s="33">
        <f>IF((($B$28-$B$32-$B$39-$B$77-$B$38)*C22/100)&lt;0,0,($B$28-$B$32-$B$39-$B$77-$B$38)*C22/100)</f>
        <v>154.37552334943638</v>
      </c>
      <c r="C36" s="167">
        <f>IF(ISERROR(B36/SUM($B$32,$B$34,$B$35,$B$36,$B$38,$B$39)*100),0,B36/SUM($B$32,$B$34,$B$35,$B$36,$B$38,$B$39)*100)</f>
        <v>1.5395983180356674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2633.4</v>
      </c>
      <c r="C39" s="167">
        <f>IF(ISERROR(B39/SUM($B$32,$B$34,$B$35,$B$36,$B$38,$B$39)*100),0,B39/SUM($B$32,$B$34,$B$35,$B$36,$B$38,$B$39)*100)</f>
        <v>26.263089657923604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5550</v>
      </c>
      <c r="C44" s="34" t="s">
        <v>110</v>
      </c>
      <c r="D44" s="174"/>
    </row>
    <row r="45" spans="1:7">
      <c r="A45" s="171" t="s">
        <v>71</v>
      </c>
      <c r="B45" s="33" t="str">
        <f t="shared" si="0"/>
        <v>-</v>
      </c>
      <c r="C45" s="34" t="s">
        <v>110</v>
      </c>
      <c r="D45" s="174"/>
    </row>
    <row r="46" spans="1:7">
      <c r="A46" s="171" t="s">
        <v>72</v>
      </c>
      <c r="B46" s="33">
        <f t="shared" si="0"/>
        <v>252.34460547504025</v>
      </c>
      <c r="C46" s="34" t="s">
        <v>110</v>
      </c>
      <c r="D46" s="174"/>
    </row>
    <row r="47" spans="1:7">
      <c r="A47" s="171" t="s">
        <v>73</v>
      </c>
      <c r="B47" s="33">
        <f t="shared" si="0"/>
        <v>1436.8798711755235</v>
      </c>
      <c r="C47" s="34" t="s">
        <v>110</v>
      </c>
      <c r="D47" s="174"/>
    </row>
    <row r="48" spans="1:7">
      <c r="A48" s="171" t="s">
        <v>74</v>
      </c>
      <c r="B48" s="33">
        <f t="shared" si="0"/>
        <v>154.37552334943638</v>
      </c>
      <c r="C48" s="33">
        <f>B48*10</f>
        <v>1543.7552334943639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2633.4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44089.996401999997</v>
      </c>
      <c r="C5" s="17">
        <f>IF(ISERROR('Eigen informatie GS &amp; warmtenet'!B58),0,'Eigen informatie GS &amp; warmtenet'!B58)</f>
        <v>0</v>
      </c>
      <c r="D5" s="30">
        <f>SUM(D6:D12)</f>
        <v>54290.966542068862</v>
      </c>
      <c r="E5" s="17">
        <f>SUM(E6:E12)</f>
        <v>720.01371358475535</v>
      </c>
      <c r="F5" s="17">
        <f>SUM(F6:F12)</f>
        <v>7624.1448506391516</v>
      </c>
      <c r="G5" s="18"/>
      <c r="H5" s="17"/>
      <c r="I5" s="17"/>
      <c r="J5" s="17">
        <f>SUM(J6:J12)</f>
        <v>5.5394178531079329E-2</v>
      </c>
      <c r="K5" s="17"/>
      <c r="L5" s="17"/>
      <c r="M5" s="17"/>
      <c r="N5" s="17">
        <f>SUM(N6:N12)</f>
        <v>2300.0494355546998</v>
      </c>
      <c r="O5" s="17">
        <f>B38*B39*B40</f>
        <v>3.1266666666666669</v>
      </c>
      <c r="P5" s="17">
        <f>B46*B47*B48/1000-B46*B47*B48/1000/B49</f>
        <v>19.066666666666666</v>
      </c>
      <c r="R5" s="32"/>
    </row>
    <row r="6" spans="1:18">
      <c r="A6" s="32" t="s">
        <v>53</v>
      </c>
      <c r="B6" s="37">
        <f>B26</f>
        <v>13044.431579</v>
      </c>
      <c r="C6" s="33"/>
      <c r="D6" s="37">
        <f>IF(ISERROR(TER_kantoor_gas_kWh/1000),0,TER_kantoor_gas_kWh/1000)*0.902</f>
        <v>10150.890587907386</v>
      </c>
      <c r="E6" s="33">
        <f>$C$26*'E Balans VL '!I12/100/3.6*1000000</f>
        <v>8.1758158627197708E-2</v>
      </c>
      <c r="F6" s="33">
        <f>$C$26*('E Balans VL '!L12+'E Balans VL '!N12)/100/3.6*1000000</f>
        <v>1960.2135701420107</v>
      </c>
      <c r="G6" s="34"/>
      <c r="H6" s="33"/>
      <c r="I6" s="33"/>
      <c r="J6" s="33">
        <f>$C$26*('E Balans VL '!D12+'E Balans VL '!E12)/100/3.6*1000000</f>
        <v>0</v>
      </c>
      <c r="K6" s="33"/>
      <c r="L6" s="33"/>
      <c r="M6" s="33"/>
      <c r="N6" s="33">
        <f>$C$26*'E Balans VL '!Y12/100/3.6*1000000</f>
        <v>12.475064756081293</v>
      </c>
      <c r="O6" s="33"/>
      <c r="P6" s="33"/>
      <c r="R6" s="32"/>
    </row>
    <row r="7" spans="1:18">
      <c r="A7" s="32" t="s">
        <v>52</v>
      </c>
      <c r="B7" s="37">
        <f t="shared" ref="B7:B12" si="0">B27</f>
        <v>3099.8980000000001</v>
      </c>
      <c r="C7" s="33"/>
      <c r="D7" s="37">
        <f>IF(ISERROR(TER_horeca_gas_kWh/1000),0,TER_horeca_gas_kWh/1000)*0.902</f>
        <v>3819.7072447211863</v>
      </c>
      <c r="E7" s="33">
        <f>$C$27*'E Balans VL '!I9/100/3.6*1000000</f>
        <v>44.390023015562385</v>
      </c>
      <c r="F7" s="33">
        <f>$C$27*('E Balans VL '!L9+'E Balans VL '!N9)/100/3.6*1000000</f>
        <v>392.5493253748694</v>
      </c>
      <c r="G7" s="34"/>
      <c r="H7" s="33"/>
      <c r="I7" s="33"/>
      <c r="J7" s="33">
        <f>$C$27*('E Balans VL '!D9+'E Balans VL '!E9)/100/3.6*1000000</f>
        <v>0</v>
      </c>
      <c r="K7" s="33"/>
      <c r="L7" s="33"/>
      <c r="M7" s="33"/>
      <c r="N7" s="33">
        <f>$C$27*'E Balans VL '!Y9/100/3.6*1000000</f>
        <v>0.89115232811597367</v>
      </c>
      <c r="O7" s="33"/>
      <c r="P7" s="33"/>
      <c r="R7" s="32"/>
    </row>
    <row r="8" spans="1:18">
      <c r="A8" s="6" t="s">
        <v>51</v>
      </c>
      <c r="B8" s="37">
        <f t="shared" si="0"/>
        <v>17783.071425000002</v>
      </c>
      <c r="C8" s="33"/>
      <c r="D8" s="37">
        <f>IF(ISERROR(TER_handel_gas_kWh/1000),0,TER_handel_gas_kWh/1000)*0.902</f>
        <v>7703.9574198741848</v>
      </c>
      <c r="E8" s="33">
        <f>$C$28*'E Balans VL '!I13/100/3.6*1000000</f>
        <v>644.98980767462785</v>
      </c>
      <c r="F8" s="33">
        <f>$C$28*('E Balans VL '!L13+'E Balans VL '!N13)/100/3.6*1000000</f>
        <v>3425.1996215013569</v>
      </c>
      <c r="G8" s="34"/>
      <c r="H8" s="33"/>
      <c r="I8" s="33"/>
      <c r="J8" s="33">
        <f>$C$28*('E Balans VL '!D13+'E Balans VL '!E13)/100/3.6*1000000</f>
        <v>0</v>
      </c>
      <c r="K8" s="33"/>
      <c r="L8" s="33"/>
      <c r="M8" s="33"/>
      <c r="N8" s="33">
        <f>$C$28*'E Balans VL '!Y13/100/3.6*1000000</f>
        <v>24.633645625875445</v>
      </c>
      <c r="O8" s="33"/>
      <c r="P8" s="33"/>
      <c r="R8" s="32"/>
    </row>
    <row r="9" spans="1:18">
      <c r="A9" s="32" t="s">
        <v>50</v>
      </c>
      <c r="B9" s="37">
        <f t="shared" si="0"/>
        <v>5810.8010000000004</v>
      </c>
      <c r="C9" s="33"/>
      <c r="D9" s="37">
        <f>IF(ISERROR(TER_gezond_gas_kWh/1000),0,TER_gezond_gas_kWh/1000)*0.902</f>
        <v>7875.3213903036849</v>
      </c>
      <c r="E9" s="33">
        <f>$C$29*'E Balans VL '!I10/100/3.6*1000000</f>
        <v>0.36381351389515121</v>
      </c>
      <c r="F9" s="33">
        <f>$C$29*('E Balans VL '!L10+'E Balans VL '!N10)/100/3.6*1000000</f>
        <v>863.21218075412855</v>
      </c>
      <c r="G9" s="34"/>
      <c r="H9" s="33"/>
      <c r="I9" s="33"/>
      <c r="J9" s="33">
        <f>$C$29*('E Balans VL '!D10+'E Balans VL '!E10)/100/3.6*1000000</f>
        <v>0</v>
      </c>
      <c r="K9" s="33"/>
      <c r="L9" s="33"/>
      <c r="M9" s="33"/>
      <c r="N9" s="33">
        <f>$C$29*'E Balans VL '!Y10/100/3.6*1000000</f>
        <v>89.882030562368243</v>
      </c>
      <c r="O9" s="33"/>
      <c r="P9" s="33"/>
      <c r="R9" s="32"/>
    </row>
    <row r="10" spans="1:18">
      <c r="A10" s="32" t="s">
        <v>49</v>
      </c>
      <c r="B10" s="37">
        <f t="shared" si="0"/>
        <v>2551.0746379999996</v>
      </c>
      <c r="C10" s="33"/>
      <c r="D10" s="37">
        <f>IF(ISERROR(TER_ander_gas_kWh/1000),0,TER_ander_gas_kWh/1000)*0.902</f>
        <v>2360.0274862837828</v>
      </c>
      <c r="E10" s="33">
        <f>$C$30*'E Balans VL '!I14/100/3.6*1000000</f>
        <v>3.0407898084917715</v>
      </c>
      <c r="F10" s="33">
        <f>$C$30*('E Balans VL '!L14+'E Balans VL '!N14)/100/3.6*1000000</f>
        <v>667.47453717148073</v>
      </c>
      <c r="G10" s="34"/>
      <c r="H10" s="33"/>
      <c r="I10" s="33"/>
      <c r="J10" s="33">
        <f>$C$30*('E Balans VL '!D14+'E Balans VL '!E14)/100/3.6*1000000</f>
        <v>5.5373830454516867E-2</v>
      </c>
      <c r="K10" s="33"/>
      <c r="L10" s="33"/>
      <c r="M10" s="33"/>
      <c r="N10" s="33">
        <f>$C$30*'E Balans VL '!Y14/100/3.6*1000000</f>
        <v>2166.3101586718872</v>
      </c>
      <c r="O10" s="33"/>
      <c r="P10" s="33"/>
      <c r="R10" s="32"/>
    </row>
    <row r="11" spans="1:18">
      <c r="A11" s="32" t="s">
        <v>54</v>
      </c>
      <c r="B11" s="37">
        <f t="shared" si="0"/>
        <v>1792.3167599999999</v>
      </c>
      <c r="C11" s="33"/>
      <c r="D11" s="37">
        <f>IF(ISERROR(TER_onderwijs_gas_kWh/1000),0,TER_onderwijs_gas_kWh/1000)*0.902</f>
        <v>2825.4240070119135</v>
      </c>
      <c r="E11" s="33">
        <f>$C$31*'E Balans VL '!I11/100/3.6*1000000</f>
        <v>27.043173107753031</v>
      </c>
      <c r="F11" s="33">
        <f>$C$31*('E Balans VL '!L11+'E Balans VL '!N11)/100/3.6*1000000</f>
        <v>314.04252946406655</v>
      </c>
      <c r="G11" s="34"/>
      <c r="H11" s="33"/>
      <c r="I11" s="33"/>
      <c r="J11" s="33">
        <f>$C$31*('E Balans VL '!D11+'E Balans VL '!E11)/100/3.6*1000000</f>
        <v>0</v>
      </c>
      <c r="K11" s="33"/>
      <c r="L11" s="33"/>
      <c r="M11" s="33"/>
      <c r="N11" s="33">
        <f>$C$31*'E Balans VL '!Y11/100/3.6*1000000</f>
        <v>5.0437156197490216</v>
      </c>
      <c r="O11" s="33"/>
      <c r="P11" s="33"/>
      <c r="R11" s="32"/>
    </row>
    <row r="12" spans="1:18">
      <c r="A12" s="32" t="s">
        <v>259</v>
      </c>
      <c r="B12" s="37">
        <f t="shared" si="0"/>
        <v>8.4030000000000005</v>
      </c>
      <c r="C12" s="33"/>
      <c r="D12" s="37">
        <f>IF(ISERROR(TER_rest_gas_kWh/1000),0,TER_rest_gas_kWh/1000)*0.902</f>
        <v>19555.638405966718</v>
      </c>
      <c r="E12" s="33">
        <f>$C$32*'E Balans VL '!I8/100/3.6*1000000</f>
        <v>0.10434830579803633</v>
      </c>
      <c r="F12" s="33">
        <f>$C$32*('E Balans VL '!L8+'E Balans VL '!N8)/100/3.6*1000000</f>
        <v>1.4530862312384556</v>
      </c>
      <c r="G12" s="34"/>
      <c r="H12" s="33"/>
      <c r="I12" s="33"/>
      <c r="J12" s="33">
        <f>$C$32*('E Balans VL '!D8+'E Balans VL '!E8)/100/3.6*1000000</f>
        <v>2.0348076562461875E-5</v>
      </c>
      <c r="K12" s="33"/>
      <c r="L12" s="33"/>
      <c r="M12" s="33"/>
      <c r="N12" s="33">
        <f>$C$32*'E Balans VL '!Y8/100/3.6*1000000</f>
        <v>0.81366799062222517</v>
      </c>
      <c r="O12" s="33"/>
      <c r="P12" s="33"/>
      <c r="R12" s="32"/>
    </row>
    <row r="13" spans="1:18">
      <c r="A13" s="16" t="s">
        <v>487</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44114.746401999997</v>
      </c>
      <c r="C16" s="21">
        <f t="shared" ca="1" si="1"/>
        <v>35.357142857142861</v>
      </c>
      <c r="D16" s="21">
        <f t="shared" ca="1" si="1"/>
        <v>54220.252256354579</v>
      </c>
      <c r="E16" s="21">
        <f t="shared" si="1"/>
        <v>720.01371358475535</v>
      </c>
      <c r="F16" s="21">
        <f t="shared" ca="1" si="1"/>
        <v>7624.1448506391516</v>
      </c>
      <c r="G16" s="21">
        <f t="shared" si="1"/>
        <v>0</v>
      </c>
      <c r="H16" s="21">
        <f t="shared" si="1"/>
        <v>0</v>
      </c>
      <c r="I16" s="21">
        <f t="shared" si="1"/>
        <v>0</v>
      </c>
      <c r="J16" s="21">
        <f t="shared" si="1"/>
        <v>5.5394178531079329E-2</v>
      </c>
      <c r="K16" s="21">
        <f t="shared" si="1"/>
        <v>0</v>
      </c>
      <c r="L16" s="21">
        <f t="shared" ca="1" si="1"/>
        <v>0</v>
      </c>
      <c r="M16" s="21">
        <f t="shared" si="1"/>
        <v>0</v>
      </c>
      <c r="N16" s="21">
        <f t="shared" ca="1" si="1"/>
        <v>2300.0494355546998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0.16619584889231381</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7331.6877269495362</v>
      </c>
      <c r="C20" s="23">
        <f t="shared" ref="C20:P20" ca="1" si="2">C16*C18</f>
        <v>8.4025210084033617</v>
      </c>
      <c r="D20" s="23">
        <f t="shared" ca="1" si="2"/>
        <v>10952.490955783625</v>
      </c>
      <c r="E20" s="23">
        <f t="shared" si="2"/>
        <v>163.44311298373947</v>
      </c>
      <c r="F20" s="23">
        <f t="shared" ca="1" si="2"/>
        <v>2035.6466751206535</v>
      </c>
      <c r="G20" s="23">
        <f t="shared" si="2"/>
        <v>0</v>
      </c>
      <c r="H20" s="23">
        <f t="shared" si="2"/>
        <v>0</v>
      </c>
      <c r="I20" s="23">
        <f t="shared" si="2"/>
        <v>0</v>
      </c>
      <c r="J20" s="23">
        <f t="shared" si="2"/>
        <v>1.960953920000208E-2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13044.431579</v>
      </c>
      <c r="C26" s="39">
        <f>IF(ISERROR(B26*3.6/1000000/'E Balans VL '!Z12*100),0,B26*3.6/1000000/'E Balans VL '!Z12*100)</f>
        <v>0.27573861953129891</v>
      </c>
      <c r="D26" s="237" t="s">
        <v>744</v>
      </c>
      <c r="F26" s="6"/>
    </row>
    <row r="27" spans="1:18">
      <c r="A27" s="231" t="s">
        <v>52</v>
      </c>
      <c r="B27" s="33">
        <f>IF(ISERROR(TER_horeca_ele_kWh/1000),0,TER_horeca_ele_kWh/1000)</f>
        <v>3099.8980000000001</v>
      </c>
      <c r="C27" s="39">
        <f>IF(ISERROR(B27*3.6/1000000/'E Balans VL '!Z9*100),0,B27*3.6/1000000/'E Balans VL '!Z9*100)</f>
        <v>0.24436380394903057</v>
      </c>
      <c r="D27" s="237" t="s">
        <v>744</v>
      </c>
      <c r="F27" s="6"/>
    </row>
    <row r="28" spans="1:18">
      <c r="A28" s="171" t="s">
        <v>51</v>
      </c>
      <c r="B28" s="33">
        <f>IF(ISERROR(TER_handel_ele_kWh/1000),0,TER_handel_ele_kWh/1000)</f>
        <v>17783.071425000002</v>
      </c>
      <c r="C28" s="39">
        <f>IF(ISERROR(B28*3.6/1000000/'E Balans VL '!Z13*100),0,B28*3.6/1000000/'E Balans VL '!Z13*100)</f>
        <v>0.51613658441347421</v>
      </c>
      <c r="D28" s="237" t="s">
        <v>744</v>
      </c>
      <c r="F28" s="6"/>
    </row>
    <row r="29" spans="1:18">
      <c r="A29" s="231" t="s">
        <v>50</v>
      </c>
      <c r="B29" s="33">
        <f>IF(ISERROR(TER_gezond_ele_kWh/1000),0,TER_gezond_ele_kWh/1000)</f>
        <v>5810.8010000000004</v>
      </c>
      <c r="C29" s="39">
        <f>IF(ISERROR(B29*3.6/1000000/'E Balans VL '!Z10*100),0,B29*3.6/1000000/'E Balans VL '!Z10*100)</f>
        <v>0.61197276117103017</v>
      </c>
      <c r="D29" s="237" t="s">
        <v>744</v>
      </c>
      <c r="F29" s="6"/>
    </row>
    <row r="30" spans="1:18">
      <c r="A30" s="231" t="s">
        <v>49</v>
      </c>
      <c r="B30" s="33">
        <f>IF(ISERROR(TER_ander_ele_kWh/1000),0,TER_ander_ele_kWh/1000)</f>
        <v>2551.0746379999996</v>
      </c>
      <c r="C30" s="39">
        <f>IF(ISERROR(B30*3.6/1000000/'E Balans VL '!Z14*100),0,B30*3.6/1000000/'E Balans VL '!Z14*100)</f>
        <v>0.18816781938953511</v>
      </c>
      <c r="D30" s="237" t="s">
        <v>744</v>
      </c>
      <c r="F30" s="6"/>
    </row>
    <row r="31" spans="1:18">
      <c r="A31" s="231" t="s">
        <v>54</v>
      </c>
      <c r="B31" s="33">
        <f>IF(ISERROR(TER_onderwijs_ele_kWh/1000),0,TER_onderwijs_ele_kWh/1000)</f>
        <v>1792.3167599999999</v>
      </c>
      <c r="C31" s="39">
        <f>IF(ISERROR(B31*3.6/1000000/'E Balans VL '!Z11*100),0,B31*3.6/1000000/'E Balans VL '!Z11*100)</f>
        <v>0.44511620856944273</v>
      </c>
      <c r="D31" s="237" t="s">
        <v>744</v>
      </c>
    </row>
    <row r="32" spans="1:18">
      <c r="A32" s="231" t="s">
        <v>259</v>
      </c>
      <c r="B32" s="33">
        <f>IF(ISERROR(TER_rest_ele_kWh/1000),0,TER_rest_ele_kWh/1000)</f>
        <v>8.4030000000000005</v>
      </c>
      <c r="C32" s="39">
        <f>IF(ISERROR(B32*3.6/1000000/'E Balans VL '!Z8*100),0,B32*3.6/1000000/'E Balans VL '!Z8*100)</f>
        <v>6.9145536151318156E-5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25492.636538000002</v>
      </c>
      <c r="C5" s="17">
        <f>IF(ISERROR('Eigen informatie GS &amp; warmtenet'!B59),0,'Eigen informatie GS &amp; warmtenet'!B59)</f>
        <v>0</v>
      </c>
      <c r="D5" s="30">
        <f>SUM(D6:D15)</f>
        <v>16272.27835085984</v>
      </c>
      <c r="E5" s="17">
        <f>SUM(E6:E15)</f>
        <v>4545.5412497186553</v>
      </c>
      <c r="F5" s="17">
        <f>SUM(F6:F15)</f>
        <v>13216.659703552034</v>
      </c>
      <c r="G5" s="18"/>
      <c r="H5" s="17"/>
      <c r="I5" s="17"/>
      <c r="J5" s="17">
        <f>SUM(J6:J15)</f>
        <v>1.3114218111239246</v>
      </c>
      <c r="K5" s="17"/>
      <c r="L5" s="17"/>
      <c r="M5" s="17"/>
      <c r="N5" s="17">
        <f>SUM(N6:N15)</f>
        <v>2249.9571759868149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4645.8697380000003</v>
      </c>
      <c r="C8" s="33"/>
      <c r="D8" s="37">
        <f>IF( ISERROR(IND_metaal_Gas_kWH/1000),0,IND_metaal_Gas_kWH/1000)*0.902</f>
        <v>78.129358548847989</v>
      </c>
      <c r="E8" s="33">
        <f>C30*'E Balans VL '!I18/100/3.6*1000000</f>
        <v>42.714285217245319</v>
      </c>
      <c r="F8" s="33">
        <f>C30*'E Balans VL '!L18/100/3.6*1000000+C30*'E Balans VL '!N18/100/3.6*1000000</f>
        <v>435.62790476374124</v>
      </c>
      <c r="G8" s="34"/>
      <c r="H8" s="33"/>
      <c r="I8" s="33"/>
      <c r="J8" s="40">
        <f>C30*'E Balans VL '!D18/100/3.6*1000000+C30*'E Balans VL '!E18/100/3.6*1000000</f>
        <v>0</v>
      </c>
      <c r="K8" s="33"/>
      <c r="L8" s="33"/>
      <c r="M8" s="33"/>
      <c r="N8" s="33">
        <f>C30*'E Balans VL '!Y18/100/3.6*1000000</f>
        <v>66.281009435624796</v>
      </c>
      <c r="O8" s="33"/>
      <c r="P8" s="33"/>
      <c r="R8" s="32"/>
    </row>
    <row r="9" spans="1:18">
      <c r="A9" s="6" t="s">
        <v>32</v>
      </c>
      <c r="B9" s="37">
        <f t="shared" si="0"/>
        <v>15306.488800000001</v>
      </c>
      <c r="C9" s="33"/>
      <c r="D9" s="37">
        <f>IF( ISERROR(IND_andere_gas_kWh/1000),0,IND_andere_gas_kWh/1000)*0.902</f>
        <v>3679.9309368650743</v>
      </c>
      <c r="E9" s="33">
        <f>C31*'E Balans VL '!I19/100/3.6*1000000</f>
        <v>4474.38465843014</v>
      </c>
      <c r="F9" s="33">
        <f>C31*'E Balans VL '!L19/100/3.6*1000000+C31*'E Balans VL '!N19/100/3.6*1000000</f>
        <v>12299.922345543613</v>
      </c>
      <c r="G9" s="34"/>
      <c r="H9" s="33"/>
      <c r="I9" s="33"/>
      <c r="J9" s="40">
        <f>C31*'E Balans VL '!D19/100/3.6*1000000+C31*'E Balans VL '!E19/100/3.6*1000000</f>
        <v>0</v>
      </c>
      <c r="K9" s="33"/>
      <c r="L9" s="33"/>
      <c r="M9" s="33"/>
      <c r="N9" s="33">
        <f>C31*'E Balans VL '!Y19/100/3.6*1000000</f>
        <v>1200.6201926754004</v>
      </c>
      <c r="O9" s="33"/>
      <c r="P9" s="33"/>
      <c r="R9" s="32"/>
    </row>
    <row r="10" spans="1:18">
      <c r="A10" s="6" t="s">
        <v>40</v>
      </c>
      <c r="B10" s="37">
        <f t="shared" si="0"/>
        <v>3333.4009999999998</v>
      </c>
      <c r="C10" s="33"/>
      <c r="D10" s="37">
        <f>IF( ISERROR(IND_voed_gas_kWh/1000),0,IND_voed_gas_kWh/1000)*0.902</f>
        <v>608.59900568828152</v>
      </c>
      <c r="E10" s="33">
        <f>C32*'E Balans VL '!I20/100/3.6*1000000</f>
        <v>7.0518615004946552</v>
      </c>
      <c r="F10" s="33">
        <f>C32*'E Balans VL '!L20/100/3.6*1000000+C32*'E Balans VL '!N20/100/3.6*1000000</f>
        <v>211.94104054927229</v>
      </c>
      <c r="G10" s="34"/>
      <c r="H10" s="33"/>
      <c r="I10" s="33"/>
      <c r="J10" s="40">
        <f>C32*'E Balans VL '!D20/100/3.6*1000000+C32*'E Balans VL '!E20/100/3.6*1000000</f>
        <v>0</v>
      </c>
      <c r="K10" s="33"/>
      <c r="L10" s="33"/>
      <c r="M10" s="33"/>
      <c r="N10" s="33">
        <f>C32*'E Balans VL '!Y20/100/3.6*1000000</f>
        <v>230.03756380483878</v>
      </c>
      <c r="O10" s="33"/>
      <c r="P10" s="33"/>
      <c r="R10" s="32"/>
    </row>
    <row r="11" spans="1:18">
      <c r="A11" s="6" t="s">
        <v>39</v>
      </c>
      <c r="B11" s="37">
        <f t="shared" si="0"/>
        <v>64.686999999999998</v>
      </c>
      <c r="C11" s="33"/>
      <c r="D11" s="37">
        <f>IF( ISERROR(IND_textiel_gas_kWh/1000),0,IND_textiel_gas_kWh/1000)*0.902</f>
        <v>0</v>
      </c>
      <c r="E11" s="33">
        <f>C33*'E Balans VL '!I21/100/3.6*1000000</f>
        <v>0.19211481290844556</v>
      </c>
      <c r="F11" s="33">
        <f>C33*'E Balans VL '!L21/100/3.6*1000000+C33*'E Balans VL '!N21/100/3.6*1000000</f>
        <v>6.5351629244413401</v>
      </c>
      <c r="G11" s="34"/>
      <c r="H11" s="33"/>
      <c r="I11" s="33"/>
      <c r="J11" s="40">
        <f>C33*'E Balans VL '!D21/100/3.6*1000000+C33*'E Balans VL '!E21/100/3.6*1000000</f>
        <v>0</v>
      </c>
      <c r="K11" s="33"/>
      <c r="L11" s="33"/>
      <c r="M11" s="33"/>
      <c r="N11" s="33">
        <f>C33*'E Balans VL '!Y21/100/3.6*1000000</f>
        <v>3.5676944891324518</v>
      </c>
      <c r="O11" s="33"/>
      <c r="P11" s="33"/>
      <c r="R11" s="32"/>
    </row>
    <row r="12" spans="1:18">
      <c r="A12" s="6" t="s">
        <v>36</v>
      </c>
      <c r="B12" s="37">
        <f t="shared" si="0"/>
        <v>658.63400000000001</v>
      </c>
      <c r="C12" s="33"/>
      <c r="D12" s="37">
        <f>IF( ISERROR(IND_min_gas_kWh/1000),0,IND_min_gas_kWh/1000)*0.902</f>
        <v>0</v>
      </c>
      <c r="E12" s="33">
        <f>C34*'E Balans VL '!I22/100/3.6*1000000</f>
        <v>19.091087626402725</v>
      </c>
      <c r="F12" s="33">
        <f>C34*'E Balans VL '!L22/100/3.6*1000000+C34*'E Balans VL '!N22/100/3.6*1000000</f>
        <v>226.44581193007687</v>
      </c>
      <c r="G12" s="34"/>
      <c r="H12" s="33"/>
      <c r="I12" s="33"/>
      <c r="J12" s="40">
        <f>C34*'E Balans VL '!D22/100/3.6*1000000+C34*'E Balans VL '!E22/100/3.6*1000000</f>
        <v>1.082334138395364</v>
      </c>
      <c r="K12" s="33"/>
      <c r="L12" s="33"/>
      <c r="M12" s="33"/>
      <c r="N12" s="33">
        <f>C34*'E Balans VL '!Y22/100/3.6*1000000</f>
        <v>144.18580612437199</v>
      </c>
      <c r="O12" s="33"/>
      <c r="P12" s="33"/>
      <c r="R12" s="32"/>
    </row>
    <row r="13" spans="1:18">
      <c r="A13" s="6" t="s">
        <v>38</v>
      </c>
      <c r="B13" s="37">
        <f t="shared" si="0"/>
        <v>1481.24</v>
      </c>
      <c r="C13" s="33"/>
      <c r="D13" s="37">
        <f>IF( ISERROR(IND_papier_gas_kWh/1000),0,IND_papier_gas_kWh/1000)*0.902</f>
        <v>774.88530442282047</v>
      </c>
      <c r="E13" s="33">
        <f>C35*'E Balans VL '!I23/100/3.6*1000000</f>
        <v>2.1015408030417637</v>
      </c>
      <c r="F13" s="33">
        <f>C35*'E Balans VL '!L23/100/3.6*1000000+C35*'E Balans VL '!N23/100/3.6*1000000</f>
        <v>36.16263822151096</v>
      </c>
      <c r="G13" s="34"/>
      <c r="H13" s="33"/>
      <c r="I13" s="33"/>
      <c r="J13" s="40">
        <f>C35*'E Balans VL '!D23/100/3.6*1000000+C35*'E Balans VL '!E23/100/3.6*1000000</f>
        <v>0.22908767272856065</v>
      </c>
      <c r="K13" s="33"/>
      <c r="L13" s="33"/>
      <c r="M13" s="33"/>
      <c r="N13" s="33">
        <f>C35*'E Balans VL '!Y23/100/3.6*1000000</f>
        <v>605.21318746034649</v>
      </c>
      <c r="O13" s="33"/>
      <c r="P13" s="33"/>
      <c r="R13" s="32"/>
    </row>
    <row r="14" spans="1:18">
      <c r="A14" s="6" t="s">
        <v>33</v>
      </c>
      <c r="B14" s="37">
        <f t="shared" si="0"/>
        <v>2.3159999999999998</v>
      </c>
      <c r="C14" s="33"/>
      <c r="D14" s="37">
        <f>IF( ISERROR(IND_chemie_gas_kWh/1000),0,IND_chemie_gas_kWh/1000)*0.902</f>
        <v>0</v>
      </c>
      <c r="E14" s="33">
        <f>C36*'E Balans VL '!I24/100/3.6*1000000</f>
        <v>5.7013284224454097E-3</v>
      </c>
      <c r="F14" s="33">
        <f>C36*'E Balans VL '!L24/100/3.6*1000000+C36*'E Balans VL '!N24/100/3.6*1000000</f>
        <v>2.4799619377546964E-2</v>
      </c>
      <c r="G14" s="34"/>
      <c r="H14" s="33"/>
      <c r="I14" s="33"/>
      <c r="J14" s="40">
        <f>C36*'E Balans VL '!D24/100/3.6*1000000+C36*'E Balans VL '!E24/100/3.6*1000000</f>
        <v>0</v>
      </c>
      <c r="K14" s="33"/>
      <c r="L14" s="33"/>
      <c r="M14" s="33"/>
      <c r="N14" s="33">
        <f>C36*'E Balans VL '!Y24/100/3.6*1000000</f>
        <v>5.1721997099771114E-2</v>
      </c>
      <c r="O14" s="33"/>
      <c r="P14" s="33"/>
      <c r="R14" s="32"/>
    </row>
    <row r="15" spans="1:18">
      <c r="A15" s="6" t="s">
        <v>269</v>
      </c>
      <c r="B15" s="37">
        <f t="shared" si="0"/>
        <v>0</v>
      </c>
      <c r="C15" s="33"/>
      <c r="D15" s="37">
        <f>IF( ISERROR(IND_rest_gas_kWh/1000),0,IND_rest_gas_kWh/1000)*0.902</f>
        <v>11130.733745334817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25492.636538000002</v>
      </c>
      <c r="C18" s="21">
        <f>C5+C16</f>
        <v>0</v>
      </c>
      <c r="D18" s="21">
        <f>MAX((D5+D16),0)</f>
        <v>16272.27835085984</v>
      </c>
      <c r="E18" s="21">
        <f>MAX((E5+E16),0)</f>
        <v>4545.5412497186553</v>
      </c>
      <c r="F18" s="21">
        <f>MAX((F5+F16),0)</f>
        <v>13216.659703552034</v>
      </c>
      <c r="G18" s="21"/>
      <c r="H18" s="21"/>
      <c r="I18" s="21"/>
      <c r="J18" s="21">
        <f>MAX((J5+J16),0)</f>
        <v>1.3114218111239246</v>
      </c>
      <c r="K18" s="21"/>
      <c r="L18" s="21">
        <f>MAX((L5+L16),0)</f>
        <v>0</v>
      </c>
      <c r="M18" s="21"/>
      <c r="N18" s="21">
        <f>MAX((N5+N16),0)</f>
        <v>2249.9571759868149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0.16619584889231381</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4236.7703699361264</v>
      </c>
      <c r="C22" s="23">
        <f ca="1">C18*C20</f>
        <v>0</v>
      </c>
      <c r="D22" s="23">
        <f>D18*D20</f>
        <v>3287.000226873688</v>
      </c>
      <c r="E22" s="23">
        <f>E18*E20</f>
        <v>1031.8378636861348</v>
      </c>
      <c r="F22" s="23">
        <f>F18*F20</f>
        <v>3528.8481408483931</v>
      </c>
      <c r="G22" s="23"/>
      <c r="H22" s="23"/>
      <c r="I22" s="23"/>
      <c r="J22" s="23">
        <f>J18*J20</f>
        <v>0.46424332113786931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4645.8697380000003</v>
      </c>
      <c r="C30" s="39">
        <f>IF(ISERROR(B30*3.6/1000000/'E Balans VL '!Z18*100),0,B30*3.6/1000000/'E Balans VL '!Z18*100)</f>
        <v>0.26329335084162231</v>
      </c>
      <c r="D30" s="237" t="s">
        <v>744</v>
      </c>
    </row>
    <row r="31" spans="1:18">
      <c r="A31" s="6" t="s">
        <v>32</v>
      </c>
      <c r="B31" s="37">
        <f>IF( ISERROR(IND_ander_ele_kWh/1000),0,IND_ander_ele_kWh/1000)</f>
        <v>15306.488800000001</v>
      </c>
      <c r="C31" s="39">
        <f>IF(ISERROR(B31*3.6/1000000/'E Balans VL '!Z19*100),0,B31*3.6/1000000/'E Balans VL '!Z19*100)</f>
        <v>0.69423859685792688</v>
      </c>
      <c r="D31" s="237" t="s">
        <v>744</v>
      </c>
    </row>
    <row r="32" spans="1:18">
      <c r="A32" s="171" t="s">
        <v>40</v>
      </c>
      <c r="B32" s="37">
        <f>IF( ISERROR(IND_voed_ele_kWh/1000),0,IND_voed_ele_kWh/1000)</f>
        <v>3333.4009999999998</v>
      </c>
      <c r="C32" s="39">
        <f>IF(ISERROR(B32*3.6/1000000/'E Balans VL '!Z20*100),0,B32*3.6/1000000/'E Balans VL '!Z20*100)</f>
        <v>0.10311722529283147</v>
      </c>
      <c r="D32" s="237" t="s">
        <v>744</v>
      </c>
    </row>
    <row r="33" spans="1:5">
      <c r="A33" s="171" t="s">
        <v>39</v>
      </c>
      <c r="B33" s="37">
        <f>IF( ISERROR(IND_textiel_ele_kWh/1000),0,IND_textiel_ele_kWh/1000)</f>
        <v>64.686999999999998</v>
      </c>
      <c r="C33" s="39">
        <f>IF(ISERROR(B33*3.6/1000000/'E Balans VL '!Z21*100),0,B33*3.6/1000000/'E Balans VL '!Z21*100)</f>
        <v>8.4344657673817609E-3</v>
      </c>
      <c r="D33" s="237" t="s">
        <v>744</v>
      </c>
    </row>
    <row r="34" spans="1:5">
      <c r="A34" s="171" t="s">
        <v>36</v>
      </c>
      <c r="B34" s="37">
        <f>IF( ISERROR(IND_min_ele_kWh/1000),0,IND_min_ele_kWh/1000)</f>
        <v>658.63400000000001</v>
      </c>
      <c r="C34" s="39">
        <f>IF(ISERROR(B34*3.6/1000000/'E Balans VL '!Z22*100),0,B34*3.6/1000000/'E Balans VL '!Z22*100)</f>
        <v>0.11846770745586278</v>
      </c>
      <c r="D34" s="237" t="s">
        <v>744</v>
      </c>
    </row>
    <row r="35" spans="1:5">
      <c r="A35" s="171" t="s">
        <v>38</v>
      </c>
      <c r="B35" s="37">
        <f>IF( ISERROR(IND_papier_ele_kWh/1000),0,IND_papier_ele_kWh/1000)</f>
        <v>1481.24</v>
      </c>
      <c r="C35" s="39">
        <f>IF(ISERROR(B35*3.6/1000000/'E Balans VL '!Z22*100),0,B35*3.6/1000000/'E Balans VL '!Z22*100)</f>
        <v>0.26642886184424458</v>
      </c>
      <c r="D35" s="237" t="s">
        <v>744</v>
      </c>
    </row>
    <row r="36" spans="1:5">
      <c r="A36" s="171" t="s">
        <v>33</v>
      </c>
      <c r="B36" s="37">
        <f>IF( ISERROR(IND_chemie_ele_kWh/1000),0,IND_chemie_ele_kWh/1000)</f>
        <v>2.3159999999999998</v>
      </c>
      <c r="C36" s="39">
        <f>IF(ISERROR(B36*3.6/1000000/'E Balans VL '!Z24*100),0,B36*3.6/1000000/'E Balans VL '!Z24*100)</f>
        <v>7.062416159393434E-5</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1619.6196</v>
      </c>
      <c r="C5" s="17">
        <f>'Eigen informatie GS &amp; warmtenet'!B60</f>
        <v>0</v>
      </c>
      <c r="D5" s="30">
        <f>IF(ISERROR(SUM(LB_lb_gas_kWh,LB_rest_gas_kWh)/1000),0,SUM(LB_lb_gas_kWh,LB_rest_gas_kWh)/1000)*0.902</f>
        <v>28254.951762660785</v>
      </c>
      <c r="E5" s="17">
        <f>B17*'E Balans VL '!I25/3.6*1000000/100</f>
        <v>47.605566933235771</v>
      </c>
      <c r="F5" s="17">
        <f>B17*('E Balans VL '!L25/3.6*1000000+'E Balans VL '!N25/3.6*1000000)/100</f>
        <v>6747.2477339505185</v>
      </c>
      <c r="G5" s="18"/>
      <c r="H5" s="17"/>
      <c r="I5" s="17"/>
      <c r="J5" s="17">
        <f>('E Balans VL '!D25+'E Balans VL '!E25)/3.6*1000000*landbouw!B17/100</f>
        <v>234.64809831094746</v>
      </c>
      <c r="K5" s="17"/>
      <c r="L5" s="17">
        <f>L6*(-1)</f>
        <v>0</v>
      </c>
      <c r="M5" s="17"/>
      <c r="N5" s="17">
        <f>N6*(-1)</f>
        <v>0</v>
      </c>
      <c r="O5" s="17"/>
      <c r="P5" s="17"/>
      <c r="R5" s="32"/>
    </row>
    <row r="6" spans="1:18">
      <c r="A6" s="16" t="s">
        <v>487</v>
      </c>
      <c r="B6" s="17" t="s">
        <v>210</v>
      </c>
      <c r="C6" s="17">
        <f>'lokale energieproductie'!O40+'lokale energieproductie'!O33</f>
        <v>20250</v>
      </c>
      <c r="D6" s="308">
        <f>('lokale energieproductie'!P33+'lokale energieproductie'!P40)*(-1)</f>
        <v>-40500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1619.6196</v>
      </c>
      <c r="C8" s="21">
        <f>C5+C6</f>
        <v>20250</v>
      </c>
      <c r="D8" s="21">
        <f>MAX((D5+D6),0)</f>
        <v>0</v>
      </c>
      <c r="E8" s="21">
        <f>MAX((E5+E6),0)</f>
        <v>47.605566933235771</v>
      </c>
      <c r="F8" s="21">
        <f>MAX((F5+F6),0)</f>
        <v>6747.2477339505185</v>
      </c>
      <c r="G8" s="21"/>
      <c r="H8" s="21"/>
      <c r="I8" s="21"/>
      <c r="J8" s="21">
        <f>MAX((J5+J6),0)</f>
        <v>234.64809831094746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0.16619584889231381</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269.17405430462975</v>
      </c>
      <c r="C12" s="23">
        <f ca="1">C8*C10</f>
        <v>4812.3529411764703</v>
      </c>
      <c r="D12" s="23">
        <f>D8*D10</f>
        <v>0</v>
      </c>
      <c r="E12" s="23">
        <f>E8*E10</f>
        <v>10.80646369384452</v>
      </c>
      <c r="F12" s="23">
        <f>F8*F10</f>
        <v>1801.5151449647885</v>
      </c>
      <c r="G12" s="23"/>
      <c r="H12" s="23"/>
      <c r="I12" s="23"/>
      <c r="J12" s="23">
        <f>J8*J10</f>
        <v>83.065426802075393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0.22982910264152806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158.4360114656007</v>
      </c>
      <c r="C26" s="247">
        <f>B26*'GWP N2O_CH4'!B5</f>
        <v>3327.1562407776146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64.604626116897805</v>
      </c>
      <c r="C27" s="247">
        <f>B27*'GWP N2O_CH4'!B5</f>
        <v>1356.697148454854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2.3673451646725385</v>
      </c>
      <c r="C28" s="247">
        <f>B28*'GWP N2O_CH4'!B4</f>
        <v>733.87700104848693</v>
      </c>
      <c r="D28" s="50"/>
    </row>
    <row r="29" spans="1:4">
      <c r="A29" s="41" t="s">
        <v>276</v>
      </c>
      <c r="B29" s="247">
        <f>B34*'ha_N2O bodem landbouw'!B4</f>
        <v>16.206524299852152</v>
      </c>
      <c r="C29" s="247">
        <f>B29*'GWP N2O_CH4'!B4</f>
        <v>5024.0225329541672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3.6982729950589131E-3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2.0779182460116697E-4</v>
      </c>
      <c r="C5" s="437" t="s">
        <v>210</v>
      </c>
      <c r="D5" s="422">
        <f>SUM(D6:D11)</f>
        <v>5.5224699816844183E-4</v>
      </c>
      <c r="E5" s="422">
        <f>SUM(E6:E11)</f>
        <v>9.9127223484587156E-4</v>
      </c>
      <c r="F5" s="435" t="s">
        <v>210</v>
      </c>
      <c r="G5" s="422">
        <f>SUM(G6:G11)</f>
        <v>0.41471560849941941</v>
      </c>
      <c r="H5" s="422">
        <f>SUM(H6:H11)</f>
        <v>9.4387280192304732E-2</v>
      </c>
      <c r="I5" s="437" t="s">
        <v>210</v>
      </c>
      <c r="J5" s="437" t="s">
        <v>210</v>
      </c>
      <c r="K5" s="437" t="s">
        <v>210</v>
      </c>
      <c r="L5" s="437" t="s">
        <v>210</v>
      </c>
      <c r="M5" s="422">
        <f>SUM(M6:M11)</f>
        <v>2.700874006997293E-2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1.3726106297763497E-4</v>
      </c>
      <c r="C6" s="423"/>
      <c r="D6" s="865">
        <f>vkm_GW_PW*SUMIFS(TableVerdeelsleutelVkm[CNG],TableVerdeelsleutelVkm[Voertuigtype],"Lichte voertuigen")*SUMIFS(TableECFTransport[EnergieConsumptieFactor (PJ per km)],TableECFTransport[Index],CONCATENATE($A6,"_CNG_CNG"))</f>
        <v>3.4016642888282285E-4</v>
      </c>
      <c r="E6" s="865">
        <f>vkm_GW_PW*SUMIFS(TableVerdeelsleutelVkm[LPG],TableVerdeelsleutelVkm[Voertuigtype],"Lichte voertuigen")*SUMIFS(TableECFTransport[EnergieConsumptieFactor (PJ per km)],TableECFTransport[Index],CONCATENATE($A6,"_LPG_LPG"))</f>
        <v>5.8398081413479571E-4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0.17894020199582497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5.7795697285312482E-2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1.2156216036057535E-2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7.4083877833422546E-2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1.2392885193655683E-6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4.3283917543368473E-3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2.1835973385905099E-5</v>
      </c>
      <c r="C8" s="423"/>
      <c r="D8" s="425">
        <f>vkm_NGW_PW*SUMIFS(TableVerdeelsleutelVkm[CNG],TableVerdeelsleutelVkm[Voertuigtype],"Lichte voertuigen")*SUMIFS(TableECFTransport[EnergieConsumptieFactor (PJ per km)],TableECFTransport[Index],CONCATENATE($A8,"_CNG_CNG"))</f>
        <v>9.1465877462213965E-5</v>
      </c>
      <c r="E8" s="425">
        <f>vkm_NGW_PW*SUMIFS(TableVerdeelsleutelVkm[LPG],TableVerdeelsleutelVkm[Voertuigtype],"Lichte voertuigen")*SUMIFS(TableECFTransport[EnergieConsumptieFactor (PJ per km)],TableECFTransport[Index],CONCATENATE($A8,"_LPG_LPG"))</f>
        <v>1.49119007344857E-4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4.2979637105010682E-2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1.5198629747001218E-2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2.958566728934635E-3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6.1315193904003173E-3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1.2635186334107806E-7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3.5823812982628604E-4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4.8694788237626895E-5</v>
      </c>
      <c r="C10" s="423"/>
      <c r="D10" s="425">
        <f>vkm_SW_PW*SUMIFS(TableVerdeelsleutelVkm[CNG],TableVerdeelsleutelVkm[Voertuigtype],"Lichte voertuigen")*SUMIFS(TableECFTransport[EnergieConsumptieFactor (PJ per km)],TableECFTransport[Index],CONCATENATE($A10,"_CNG_CNG"))</f>
        <v>1.2061469182340498E-4</v>
      </c>
      <c r="E10" s="425">
        <f>vkm_SW_PW*SUMIFS(TableVerdeelsleutelVkm[LPG],TableVerdeelsleutelVkm[Voertuigtype],"Lichte voertuigen")*SUMIFS(TableECFTransport[EnergieConsumptieFactor (PJ per km)],TableECFTransport[Index],CONCATENATE($A10,"_LPG_LPG"))</f>
        <v>2.5817241336621884E-4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7.0772451094775687E-2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2.1390842510032392E-2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4.7646750420828696E-3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4.1807921079985211E-2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7.4500957593329814E-7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2.4426523787347602E-3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57.719951278101938</v>
      </c>
      <c r="C14" s="21"/>
      <c r="D14" s="21">
        <f t="shared" ref="D14:M14" si="0">((D5)*10^9/3600)+D12</f>
        <v>153.40194393567828</v>
      </c>
      <c r="E14" s="21">
        <f t="shared" si="0"/>
        <v>275.35339856829768</v>
      </c>
      <c r="F14" s="21"/>
      <c r="G14" s="21">
        <f t="shared" si="0"/>
        <v>115198.78013872761</v>
      </c>
      <c r="H14" s="21">
        <f t="shared" si="0"/>
        <v>26218.688942306868</v>
      </c>
      <c r="I14" s="21"/>
      <c r="J14" s="21"/>
      <c r="K14" s="21"/>
      <c r="L14" s="21"/>
      <c r="M14" s="21">
        <f t="shared" si="0"/>
        <v>7502.427797214702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0.16619584889231381</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9.5928163006871454</v>
      </c>
      <c r="C18" s="23"/>
      <c r="D18" s="23">
        <f t="shared" ref="D18:M18" si="1">D14*D16</f>
        <v>30.987192675007012</v>
      </c>
      <c r="E18" s="23">
        <f t="shared" si="1"/>
        <v>62.505221475003573</v>
      </c>
      <c r="F18" s="23"/>
      <c r="G18" s="23">
        <f t="shared" si="1"/>
        <v>30758.074297040275</v>
      </c>
      <c r="H18" s="23">
        <f t="shared" si="1"/>
        <v>6528.4535466344105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1.0507368062718805E-2</v>
      </c>
      <c r="H50" s="319">
        <f t="shared" si="2"/>
        <v>0</v>
      </c>
      <c r="I50" s="319">
        <f t="shared" si="2"/>
        <v>0</v>
      </c>
      <c r="J50" s="319">
        <f t="shared" si="2"/>
        <v>0</v>
      </c>
      <c r="K50" s="319">
        <f t="shared" si="2"/>
        <v>0</v>
      </c>
      <c r="L50" s="319">
        <f t="shared" si="2"/>
        <v>0</v>
      </c>
      <c r="M50" s="319">
        <f t="shared" si="2"/>
        <v>5.9672704072755817E-4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1.0507368062718805E-2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5.9672704072755817E-4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2918.7133507552235</v>
      </c>
      <c r="H54" s="21">
        <f t="shared" si="3"/>
        <v>0</v>
      </c>
      <c r="I54" s="21">
        <f t="shared" si="3"/>
        <v>0</v>
      </c>
      <c r="J54" s="21">
        <f t="shared" si="3"/>
        <v>0</v>
      </c>
      <c r="K54" s="21">
        <f t="shared" si="3"/>
        <v>0</v>
      </c>
      <c r="L54" s="21">
        <f t="shared" si="3"/>
        <v>0</v>
      </c>
      <c r="M54" s="21">
        <f t="shared" si="3"/>
        <v>165.75751131321061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0.16619584889231381</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779.29646465164467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46135.884401999996</v>
      </c>
      <c r="D10" s="979">
        <f ca="1">tertiair!C16</f>
        <v>35.357142857142861</v>
      </c>
      <c r="E10" s="979">
        <f ca="1">tertiair!D16</f>
        <v>54220.252256354579</v>
      </c>
      <c r="F10" s="979">
        <f>tertiair!E16</f>
        <v>720.01371358475535</v>
      </c>
      <c r="G10" s="979">
        <f ca="1">tertiair!F16</f>
        <v>7624.1448506391516</v>
      </c>
      <c r="H10" s="979">
        <f>tertiair!G16</f>
        <v>0</v>
      </c>
      <c r="I10" s="979">
        <f>tertiair!H16</f>
        <v>0</v>
      </c>
      <c r="J10" s="979">
        <f>tertiair!I16</f>
        <v>0</v>
      </c>
      <c r="K10" s="979">
        <f>tertiair!J16</f>
        <v>5.5394178531079329E-2</v>
      </c>
      <c r="L10" s="979">
        <f>tertiair!K16</f>
        <v>0</v>
      </c>
      <c r="M10" s="979">
        <f ca="1">tertiair!L16</f>
        <v>0</v>
      </c>
      <c r="N10" s="979">
        <f>tertiair!M16</f>
        <v>0</v>
      </c>
      <c r="O10" s="979">
        <f ca="1">tertiair!N16</f>
        <v>2300.0494355546998</v>
      </c>
      <c r="P10" s="979">
        <f>tertiair!O16</f>
        <v>3.1266666666666669</v>
      </c>
      <c r="Q10" s="980">
        <f>tertiair!P16</f>
        <v>19.066666666666666</v>
      </c>
      <c r="R10" s="674">
        <f ca="1">SUM(C10:Q10)</f>
        <v>111057.95052850219</v>
      </c>
      <c r="S10" s="67"/>
    </row>
    <row r="11" spans="1:19" s="447" customFormat="1">
      <c r="A11" s="783" t="s">
        <v>224</v>
      </c>
      <c r="B11" s="788"/>
      <c r="C11" s="979">
        <f>huishoudens!B8</f>
        <v>38350.046880744645</v>
      </c>
      <c r="D11" s="979">
        <f>huishoudens!C8</f>
        <v>0</v>
      </c>
      <c r="E11" s="979">
        <f>huishoudens!D8</f>
        <v>75584.762812971807</v>
      </c>
      <c r="F11" s="979">
        <f>huishoudens!E8</f>
        <v>13343.122049976208</v>
      </c>
      <c r="G11" s="979">
        <f>huishoudens!F8</f>
        <v>54931.490342034987</v>
      </c>
      <c r="H11" s="979">
        <f>huishoudens!G8</f>
        <v>0</v>
      </c>
      <c r="I11" s="979">
        <f>huishoudens!H8</f>
        <v>0</v>
      </c>
      <c r="J11" s="979">
        <f>huishoudens!I8</f>
        <v>0</v>
      </c>
      <c r="K11" s="979">
        <f>huishoudens!J8</f>
        <v>0</v>
      </c>
      <c r="L11" s="979">
        <f>huishoudens!K8</f>
        <v>0</v>
      </c>
      <c r="M11" s="979">
        <f>huishoudens!L8</f>
        <v>0</v>
      </c>
      <c r="N11" s="979">
        <f>huishoudens!M8</f>
        <v>0</v>
      </c>
      <c r="O11" s="979">
        <f>huishoudens!N8</f>
        <v>11250.661653517696</v>
      </c>
      <c r="P11" s="979">
        <f>huishoudens!O8</f>
        <v>339.2433333333334</v>
      </c>
      <c r="Q11" s="980">
        <f>huishoudens!P8</f>
        <v>1372.8</v>
      </c>
      <c r="R11" s="674">
        <f>SUM(C11:Q11)</f>
        <v>195172.12707257867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25492.636538000002</v>
      </c>
      <c r="D13" s="979">
        <f>industrie!C18</f>
        <v>0</v>
      </c>
      <c r="E13" s="979">
        <f>industrie!D18</f>
        <v>16272.27835085984</v>
      </c>
      <c r="F13" s="979">
        <f>industrie!E18</f>
        <v>4545.5412497186553</v>
      </c>
      <c r="G13" s="979">
        <f>industrie!F18</f>
        <v>13216.659703552034</v>
      </c>
      <c r="H13" s="979">
        <f>industrie!G18</f>
        <v>0</v>
      </c>
      <c r="I13" s="979">
        <f>industrie!H18</f>
        <v>0</v>
      </c>
      <c r="J13" s="979">
        <f>industrie!I18</f>
        <v>0</v>
      </c>
      <c r="K13" s="979">
        <f>industrie!J18</f>
        <v>1.3114218111239246</v>
      </c>
      <c r="L13" s="979">
        <f>industrie!K18</f>
        <v>0</v>
      </c>
      <c r="M13" s="979">
        <f>industrie!L18</f>
        <v>0</v>
      </c>
      <c r="N13" s="979">
        <f>industrie!M18</f>
        <v>0</v>
      </c>
      <c r="O13" s="979">
        <f>industrie!N18</f>
        <v>2249.9571759868149</v>
      </c>
      <c r="P13" s="979">
        <f>industrie!O18</f>
        <v>0</v>
      </c>
      <c r="Q13" s="980">
        <f>industrie!P18</f>
        <v>0</v>
      </c>
      <c r="R13" s="674">
        <f>SUM(C13:Q13)</f>
        <v>61778.384439928464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109978.56782074465</v>
      </c>
      <c r="D16" s="706">
        <f t="shared" ref="D16:R16" ca="1" si="0">SUM(D9:D15)</f>
        <v>35.357142857142861</v>
      </c>
      <c r="E16" s="706">
        <f t="shared" ca="1" si="0"/>
        <v>146077.29342018624</v>
      </c>
      <c r="F16" s="706">
        <f t="shared" si="0"/>
        <v>18608.677013279619</v>
      </c>
      <c r="G16" s="706">
        <f t="shared" ca="1" si="0"/>
        <v>75772.294896226173</v>
      </c>
      <c r="H16" s="706">
        <f t="shared" si="0"/>
        <v>0</v>
      </c>
      <c r="I16" s="706">
        <f t="shared" si="0"/>
        <v>0</v>
      </c>
      <c r="J16" s="706">
        <f t="shared" si="0"/>
        <v>0</v>
      </c>
      <c r="K16" s="706">
        <f t="shared" si="0"/>
        <v>1.3668159896550041</v>
      </c>
      <c r="L16" s="706">
        <f t="shared" si="0"/>
        <v>0</v>
      </c>
      <c r="M16" s="706">
        <f t="shared" ca="1" si="0"/>
        <v>0</v>
      </c>
      <c r="N16" s="706">
        <f t="shared" si="0"/>
        <v>0</v>
      </c>
      <c r="O16" s="706">
        <f t="shared" ca="1" si="0"/>
        <v>15800.668265059212</v>
      </c>
      <c r="P16" s="706">
        <f t="shared" si="0"/>
        <v>342.37000000000006</v>
      </c>
      <c r="Q16" s="706">
        <f t="shared" si="0"/>
        <v>1391.8666666666666</v>
      </c>
      <c r="R16" s="706">
        <f t="shared" ca="1" si="0"/>
        <v>368008.46204100933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2918.7133507552235</v>
      </c>
      <c r="I19" s="979">
        <f>transport!H54</f>
        <v>0</v>
      </c>
      <c r="J19" s="979">
        <f>transport!I54</f>
        <v>0</v>
      </c>
      <c r="K19" s="979">
        <f>transport!J54</f>
        <v>0</v>
      </c>
      <c r="L19" s="979">
        <f>transport!K54</f>
        <v>0</v>
      </c>
      <c r="M19" s="979">
        <f>transport!L54</f>
        <v>0</v>
      </c>
      <c r="N19" s="979">
        <f>transport!M54</f>
        <v>165.75751131321061</v>
      </c>
      <c r="O19" s="979">
        <f>transport!N54</f>
        <v>0</v>
      </c>
      <c r="P19" s="979">
        <f>transport!O54</f>
        <v>0</v>
      </c>
      <c r="Q19" s="980">
        <f>transport!P54</f>
        <v>0</v>
      </c>
      <c r="R19" s="674">
        <f>SUM(C19:Q19)</f>
        <v>3084.4708620684341</v>
      </c>
      <c r="S19" s="67"/>
    </row>
    <row r="20" spans="1:19" s="447" customFormat="1">
      <c r="A20" s="783" t="s">
        <v>306</v>
      </c>
      <c r="B20" s="788"/>
      <c r="C20" s="979">
        <f>transport!B14</f>
        <v>57.719951278101938</v>
      </c>
      <c r="D20" s="979">
        <f>transport!C14</f>
        <v>0</v>
      </c>
      <c r="E20" s="979">
        <f>transport!D14</f>
        <v>153.40194393567828</v>
      </c>
      <c r="F20" s="979">
        <f>transport!E14</f>
        <v>275.35339856829768</v>
      </c>
      <c r="G20" s="979">
        <f>transport!F14</f>
        <v>0</v>
      </c>
      <c r="H20" s="979">
        <f>transport!G14</f>
        <v>115198.78013872761</v>
      </c>
      <c r="I20" s="979">
        <f>transport!H14</f>
        <v>26218.688942306868</v>
      </c>
      <c r="J20" s="979">
        <f>transport!I14</f>
        <v>0</v>
      </c>
      <c r="K20" s="979">
        <f>transport!J14</f>
        <v>0</v>
      </c>
      <c r="L20" s="979">
        <f>transport!K14</f>
        <v>0</v>
      </c>
      <c r="M20" s="979">
        <f>transport!L14</f>
        <v>0</v>
      </c>
      <c r="N20" s="979">
        <f>transport!M14</f>
        <v>7502.427797214702</v>
      </c>
      <c r="O20" s="979">
        <f>transport!N14</f>
        <v>0</v>
      </c>
      <c r="P20" s="979">
        <f>transport!O14</f>
        <v>0</v>
      </c>
      <c r="Q20" s="980">
        <f>transport!P14</f>
        <v>0</v>
      </c>
      <c r="R20" s="674">
        <f>SUM(C20:Q20)</f>
        <v>149406.37217203126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57.719951278101938</v>
      </c>
      <c r="D22" s="786">
        <f t="shared" ref="D22:R22" si="1">SUM(D18:D21)</f>
        <v>0</v>
      </c>
      <c r="E22" s="786">
        <f t="shared" si="1"/>
        <v>153.40194393567828</v>
      </c>
      <c r="F22" s="786">
        <f t="shared" si="1"/>
        <v>275.35339856829768</v>
      </c>
      <c r="G22" s="786">
        <f t="shared" si="1"/>
        <v>0</v>
      </c>
      <c r="H22" s="786">
        <f t="shared" si="1"/>
        <v>118117.49348948283</v>
      </c>
      <c r="I22" s="786">
        <f t="shared" si="1"/>
        <v>26218.688942306868</v>
      </c>
      <c r="J22" s="786">
        <f t="shared" si="1"/>
        <v>0</v>
      </c>
      <c r="K22" s="786">
        <f t="shared" si="1"/>
        <v>0</v>
      </c>
      <c r="L22" s="786">
        <f t="shared" si="1"/>
        <v>0</v>
      </c>
      <c r="M22" s="786">
        <f t="shared" si="1"/>
        <v>0</v>
      </c>
      <c r="N22" s="786">
        <f t="shared" si="1"/>
        <v>7668.1853085279126</v>
      </c>
      <c r="O22" s="786">
        <f t="shared" si="1"/>
        <v>0</v>
      </c>
      <c r="P22" s="786">
        <f t="shared" si="1"/>
        <v>0</v>
      </c>
      <c r="Q22" s="786">
        <f t="shared" si="1"/>
        <v>0</v>
      </c>
      <c r="R22" s="786">
        <f t="shared" si="1"/>
        <v>152490.8430340997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1619.6196</v>
      </c>
      <c r="D24" s="979">
        <f>+landbouw!C8</f>
        <v>20250</v>
      </c>
      <c r="E24" s="979">
        <f>+landbouw!D8</f>
        <v>0</v>
      </c>
      <c r="F24" s="979">
        <f>+landbouw!E8</f>
        <v>47.605566933235771</v>
      </c>
      <c r="G24" s="979">
        <f>+landbouw!F8</f>
        <v>6747.2477339505185</v>
      </c>
      <c r="H24" s="979">
        <f>+landbouw!G8</f>
        <v>0</v>
      </c>
      <c r="I24" s="979">
        <f>+landbouw!H8</f>
        <v>0</v>
      </c>
      <c r="J24" s="979">
        <f>+landbouw!I8</f>
        <v>0</v>
      </c>
      <c r="K24" s="979">
        <f>+landbouw!J8</f>
        <v>234.64809831094746</v>
      </c>
      <c r="L24" s="979">
        <f>+landbouw!K8</f>
        <v>0</v>
      </c>
      <c r="M24" s="979">
        <f>+landbouw!L8</f>
        <v>0</v>
      </c>
      <c r="N24" s="979">
        <f>+landbouw!M8</f>
        <v>0</v>
      </c>
      <c r="O24" s="979">
        <f>+landbouw!N8</f>
        <v>0</v>
      </c>
      <c r="P24" s="979">
        <f>+landbouw!O8</f>
        <v>0</v>
      </c>
      <c r="Q24" s="980">
        <f>+landbouw!P8</f>
        <v>0</v>
      </c>
      <c r="R24" s="674">
        <f>SUM(C24:Q24)</f>
        <v>28899.1209991947</v>
      </c>
      <c r="S24" s="67"/>
    </row>
    <row r="25" spans="1:19" s="447" customFormat="1" ht="15" thickBot="1">
      <c r="A25" s="805" t="s">
        <v>823</v>
      </c>
      <c r="B25" s="982"/>
      <c r="C25" s="983">
        <f>IF(Onbekend_ele_kWh="---",0,Onbekend_ele_kWh)/1000+IF(REST_rest_ele_kWh="---",0,REST_rest_ele_kWh)/1000</f>
        <v>1349.929521</v>
      </c>
      <c r="D25" s="983"/>
      <c r="E25" s="983">
        <f>IF(onbekend_gas_kWh="---",0,onbekend_gas_kWh)/1000+IF(REST_rest_gas_kWh="---",0,REST_rest_gas_kWh)/1000</f>
        <v>3039.2847078467998</v>
      </c>
      <c r="F25" s="983"/>
      <c r="G25" s="983"/>
      <c r="H25" s="983"/>
      <c r="I25" s="983"/>
      <c r="J25" s="983"/>
      <c r="K25" s="983"/>
      <c r="L25" s="983"/>
      <c r="M25" s="983"/>
      <c r="N25" s="983"/>
      <c r="O25" s="983"/>
      <c r="P25" s="983"/>
      <c r="Q25" s="984"/>
      <c r="R25" s="674">
        <f>SUM(C25:Q25)</f>
        <v>4389.2142288468003</v>
      </c>
      <c r="S25" s="67"/>
    </row>
    <row r="26" spans="1:19" s="447" customFormat="1" ht="15.75" thickBot="1">
      <c r="A26" s="679" t="s">
        <v>824</v>
      </c>
      <c r="B26" s="791"/>
      <c r="C26" s="786">
        <f>SUM(C24:C25)</f>
        <v>2969.549121</v>
      </c>
      <c r="D26" s="786">
        <f t="shared" ref="D26:R26" si="2">SUM(D24:D25)</f>
        <v>20250</v>
      </c>
      <c r="E26" s="786">
        <f t="shared" si="2"/>
        <v>3039.2847078467998</v>
      </c>
      <c r="F26" s="786">
        <f t="shared" si="2"/>
        <v>47.605566933235771</v>
      </c>
      <c r="G26" s="786">
        <f t="shared" si="2"/>
        <v>6747.2477339505185</v>
      </c>
      <c r="H26" s="786">
        <f t="shared" si="2"/>
        <v>0</v>
      </c>
      <c r="I26" s="786">
        <f t="shared" si="2"/>
        <v>0</v>
      </c>
      <c r="J26" s="786">
        <f t="shared" si="2"/>
        <v>0</v>
      </c>
      <c r="K26" s="786">
        <f t="shared" si="2"/>
        <v>234.64809831094746</v>
      </c>
      <c r="L26" s="786">
        <f t="shared" si="2"/>
        <v>0</v>
      </c>
      <c r="M26" s="786">
        <f t="shared" si="2"/>
        <v>0</v>
      </c>
      <c r="N26" s="786">
        <f t="shared" si="2"/>
        <v>0</v>
      </c>
      <c r="O26" s="786">
        <f t="shared" si="2"/>
        <v>0</v>
      </c>
      <c r="P26" s="786">
        <f t="shared" si="2"/>
        <v>0</v>
      </c>
      <c r="Q26" s="786">
        <f t="shared" si="2"/>
        <v>0</v>
      </c>
      <c r="R26" s="786">
        <f t="shared" si="2"/>
        <v>33288.335228041498</v>
      </c>
      <c r="S26" s="67"/>
    </row>
    <row r="27" spans="1:19" s="447" customFormat="1" ht="17.25" thickTop="1" thickBot="1">
      <c r="A27" s="680" t="s">
        <v>115</v>
      </c>
      <c r="B27" s="779"/>
      <c r="C27" s="681">
        <f ca="1">C22+C16+C26</f>
        <v>113005.83689302276</v>
      </c>
      <c r="D27" s="681">
        <f t="shared" ref="D27:R27" ca="1" si="3">D22+D16+D26</f>
        <v>20285.357142857141</v>
      </c>
      <c r="E27" s="681">
        <f t="shared" ca="1" si="3"/>
        <v>149269.98007196872</v>
      </c>
      <c r="F27" s="681">
        <f t="shared" si="3"/>
        <v>18931.635978781153</v>
      </c>
      <c r="G27" s="681">
        <f t="shared" ca="1" si="3"/>
        <v>82519.542630176686</v>
      </c>
      <c r="H27" s="681">
        <f t="shared" si="3"/>
        <v>118117.49348948283</v>
      </c>
      <c r="I27" s="681">
        <f t="shared" si="3"/>
        <v>26218.688942306868</v>
      </c>
      <c r="J27" s="681">
        <f t="shared" si="3"/>
        <v>0</v>
      </c>
      <c r="K27" s="681">
        <f t="shared" si="3"/>
        <v>236.01491430060247</v>
      </c>
      <c r="L27" s="681">
        <f t="shared" si="3"/>
        <v>0</v>
      </c>
      <c r="M27" s="681">
        <f t="shared" ca="1" si="3"/>
        <v>0</v>
      </c>
      <c r="N27" s="681">
        <f t="shared" si="3"/>
        <v>7668.1853085279126</v>
      </c>
      <c r="O27" s="681">
        <f t="shared" ca="1" si="3"/>
        <v>15800.668265059212</v>
      </c>
      <c r="P27" s="681">
        <f t="shared" si="3"/>
        <v>342.37000000000006</v>
      </c>
      <c r="Q27" s="681">
        <f t="shared" si="3"/>
        <v>1391.8666666666666</v>
      </c>
      <c r="R27" s="681">
        <f t="shared" ca="1" si="3"/>
        <v>553787.64030315052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7667.5924725880495</v>
      </c>
      <c r="D40" s="979">
        <f ca="1">tertiair!C20</f>
        <v>8.4025210084033617</v>
      </c>
      <c r="E40" s="979">
        <f ca="1">tertiair!D20</f>
        <v>10952.490955783625</v>
      </c>
      <c r="F40" s="979">
        <f>tertiair!E20</f>
        <v>163.44311298373947</v>
      </c>
      <c r="G40" s="979">
        <f ca="1">tertiair!F20</f>
        <v>2035.6466751206535</v>
      </c>
      <c r="H40" s="979">
        <f>tertiair!G20</f>
        <v>0</v>
      </c>
      <c r="I40" s="979">
        <f>tertiair!H20</f>
        <v>0</v>
      </c>
      <c r="J40" s="979">
        <f>tertiair!I20</f>
        <v>0</v>
      </c>
      <c r="K40" s="979">
        <f>tertiair!J20</f>
        <v>1.960953920000208E-2</v>
      </c>
      <c r="L40" s="979">
        <f>tertiair!K20</f>
        <v>0</v>
      </c>
      <c r="M40" s="979">
        <f ca="1">tertiair!L20</f>
        <v>0</v>
      </c>
      <c r="N40" s="979">
        <f>tertiair!M20</f>
        <v>0</v>
      </c>
      <c r="O40" s="979">
        <f ca="1">tertiair!N20</f>
        <v>0</v>
      </c>
      <c r="P40" s="979">
        <f>tertiair!O20</f>
        <v>0</v>
      </c>
      <c r="Q40" s="748">
        <f>tertiair!P20</f>
        <v>0</v>
      </c>
      <c r="R40" s="824">
        <f t="shared" ca="1" si="4"/>
        <v>20827.595347023671</v>
      </c>
    </row>
    <row r="41" spans="1:18">
      <c r="A41" s="796" t="s">
        <v>224</v>
      </c>
      <c r="B41" s="803"/>
      <c r="C41" s="979">
        <f ca="1">huishoudens!B12</f>
        <v>6373.6185964053875</v>
      </c>
      <c r="D41" s="979">
        <f ca="1">huishoudens!C12</f>
        <v>0</v>
      </c>
      <c r="E41" s="979">
        <f>huishoudens!D12</f>
        <v>15268.122088220305</v>
      </c>
      <c r="F41" s="979">
        <f>huishoudens!E12</f>
        <v>3028.8887053445992</v>
      </c>
      <c r="G41" s="979">
        <f>huishoudens!F12</f>
        <v>14666.707921323343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39337.337311293632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4236.7703699361264</v>
      </c>
      <c r="D43" s="979">
        <f ca="1">industrie!C22</f>
        <v>0</v>
      </c>
      <c r="E43" s="979">
        <f>industrie!D22</f>
        <v>3287.000226873688</v>
      </c>
      <c r="F43" s="979">
        <f>industrie!E22</f>
        <v>1031.8378636861348</v>
      </c>
      <c r="G43" s="979">
        <f>industrie!F22</f>
        <v>3528.8481408483931</v>
      </c>
      <c r="H43" s="979">
        <f>industrie!G22</f>
        <v>0</v>
      </c>
      <c r="I43" s="979">
        <f>industrie!H22</f>
        <v>0</v>
      </c>
      <c r="J43" s="979">
        <f>industrie!I22</f>
        <v>0</v>
      </c>
      <c r="K43" s="979">
        <f>industrie!J22</f>
        <v>0.46424332113786931</v>
      </c>
      <c r="L43" s="979">
        <f>industrie!K22</f>
        <v>0</v>
      </c>
      <c r="M43" s="979">
        <f>industrie!L22</f>
        <v>0</v>
      </c>
      <c r="N43" s="979">
        <f>industrie!M22</f>
        <v>0</v>
      </c>
      <c r="O43" s="979">
        <f>industrie!N22</f>
        <v>0</v>
      </c>
      <c r="P43" s="979">
        <f>industrie!O22</f>
        <v>0</v>
      </c>
      <c r="Q43" s="748">
        <f>industrie!P22</f>
        <v>0</v>
      </c>
      <c r="R43" s="823">
        <f t="shared" ca="1" si="4"/>
        <v>12084.920844665479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18277.981438929564</v>
      </c>
      <c r="D46" s="706">
        <f t="shared" ref="D46:Q46" ca="1" si="5">SUM(D39:D45)</f>
        <v>8.4025210084033617</v>
      </c>
      <c r="E46" s="706">
        <f t="shared" ca="1" si="5"/>
        <v>29507.61327087762</v>
      </c>
      <c r="F46" s="706">
        <f t="shared" si="5"/>
        <v>4224.1696820144734</v>
      </c>
      <c r="G46" s="706">
        <f t="shared" ca="1" si="5"/>
        <v>20231.202737292391</v>
      </c>
      <c r="H46" s="706">
        <f t="shared" si="5"/>
        <v>0</v>
      </c>
      <c r="I46" s="706">
        <f t="shared" si="5"/>
        <v>0</v>
      </c>
      <c r="J46" s="706">
        <f t="shared" si="5"/>
        <v>0</v>
      </c>
      <c r="K46" s="706">
        <f t="shared" si="5"/>
        <v>0.48385286033787139</v>
      </c>
      <c r="L46" s="706">
        <f t="shared" si="5"/>
        <v>0</v>
      </c>
      <c r="M46" s="706">
        <f t="shared" ca="1" si="5"/>
        <v>0</v>
      </c>
      <c r="N46" s="706">
        <f t="shared" si="5"/>
        <v>0</v>
      </c>
      <c r="O46" s="706">
        <f t="shared" ca="1" si="5"/>
        <v>0</v>
      </c>
      <c r="P46" s="706">
        <f t="shared" si="5"/>
        <v>0</v>
      </c>
      <c r="Q46" s="706">
        <f t="shared" si="5"/>
        <v>0</v>
      </c>
      <c r="R46" s="706">
        <f ca="1">SUM(R39:R45)</f>
        <v>72249.853502982776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779.29646465164467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779.29646465164467</v>
      </c>
    </row>
    <row r="50" spans="1:18">
      <c r="A50" s="799" t="s">
        <v>306</v>
      </c>
      <c r="B50" s="809"/>
      <c r="C50" s="677">
        <f ca="1">transport!B18</f>
        <v>9.5928163006871454</v>
      </c>
      <c r="D50" s="677">
        <f>transport!C18</f>
        <v>0</v>
      </c>
      <c r="E50" s="677">
        <f>transport!D18</f>
        <v>30.987192675007012</v>
      </c>
      <c r="F50" s="677">
        <f>transport!E18</f>
        <v>62.505221475003573</v>
      </c>
      <c r="G50" s="677">
        <f>transport!F18</f>
        <v>0</v>
      </c>
      <c r="H50" s="677">
        <f>transport!G18</f>
        <v>30758.074297040275</v>
      </c>
      <c r="I50" s="677">
        <f>transport!H18</f>
        <v>6528.4535466344105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37389.613074125387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9.5928163006871454</v>
      </c>
      <c r="D52" s="706">
        <f t="shared" ref="D52:Q52" ca="1" si="6">SUM(D48:D51)</f>
        <v>0</v>
      </c>
      <c r="E52" s="706">
        <f t="shared" si="6"/>
        <v>30.987192675007012</v>
      </c>
      <c r="F52" s="706">
        <f t="shared" si="6"/>
        <v>62.505221475003573</v>
      </c>
      <c r="G52" s="706">
        <f t="shared" si="6"/>
        <v>0</v>
      </c>
      <c r="H52" s="706">
        <f t="shared" si="6"/>
        <v>31537.37076169192</v>
      </c>
      <c r="I52" s="706">
        <f t="shared" si="6"/>
        <v>6528.4535466344105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38168.909538777029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269.17405430462975</v>
      </c>
      <c r="D54" s="677">
        <f ca="1">+landbouw!C12</f>
        <v>4812.3529411764703</v>
      </c>
      <c r="E54" s="677">
        <f>+landbouw!D12</f>
        <v>0</v>
      </c>
      <c r="F54" s="677">
        <f>+landbouw!E12</f>
        <v>10.80646369384452</v>
      </c>
      <c r="G54" s="677">
        <f>+landbouw!F12</f>
        <v>1801.5151449647885</v>
      </c>
      <c r="H54" s="677">
        <f>+landbouw!G12</f>
        <v>0</v>
      </c>
      <c r="I54" s="677">
        <f>+landbouw!H12</f>
        <v>0</v>
      </c>
      <c r="J54" s="677">
        <f>+landbouw!I12</f>
        <v>0</v>
      </c>
      <c r="K54" s="677">
        <f>+landbouw!J12</f>
        <v>83.065426802075393</v>
      </c>
      <c r="L54" s="677">
        <f>+landbouw!K12</f>
        <v>0</v>
      </c>
      <c r="M54" s="677">
        <f>+landbouw!L12</f>
        <v>0</v>
      </c>
      <c r="N54" s="677">
        <f>+landbouw!M12</f>
        <v>0</v>
      </c>
      <c r="O54" s="677">
        <f>+landbouw!N12</f>
        <v>0</v>
      </c>
      <c r="P54" s="677">
        <f>+landbouw!O12</f>
        <v>0</v>
      </c>
      <c r="Q54" s="678">
        <f>+landbouw!P12</f>
        <v>0</v>
      </c>
      <c r="R54" s="705">
        <f ca="1">SUM(C54:Q54)</f>
        <v>6976.9140309418081</v>
      </c>
    </row>
    <row r="55" spans="1:18" ht="15" thickBot="1">
      <c r="A55" s="799" t="s">
        <v>823</v>
      </c>
      <c r="B55" s="809"/>
      <c r="C55" s="677">
        <f ca="1">C25*'EF ele_warmte'!B12</f>
        <v>224.35268268738957</v>
      </c>
      <c r="D55" s="677"/>
      <c r="E55" s="677">
        <f>E25*EF_CO2_aardgas</f>
        <v>613.93551098505361</v>
      </c>
      <c r="F55" s="677"/>
      <c r="G55" s="677"/>
      <c r="H55" s="677"/>
      <c r="I55" s="677"/>
      <c r="J55" s="677"/>
      <c r="K55" s="677"/>
      <c r="L55" s="677"/>
      <c r="M55" s="677"/>
      <c r="N55" s="677"/>
      <c r="O55" s="677"/>
      <c r="P55" s="677"/>
      <c r="Q55" s="678"/>
      <c r="R55" s="705">
        <f ca="1">SUM(C55:Q55)</f>
        <v>838.28819367244319</v>
      </c>
    </row>
    <row r="56" spans="1:18" ht="15.75" thickBot="1">
      <c r="A56" s="797" t="s">
        <v>824</v>
      </c>
      <c r="B56" s="810"/>
      <c r="C56" s="706">
        <f ca="1">SUM(C54:C55)</f>
        <v>493.52673699201932</v>
      </c>
      <c r="D56" s="706">
        <f t="shared" ref="D56:Q56" ca="1" si="7">SUM(D54:D55)</f>
        <v>4812.3529411764703</v>
      </c>
      <c r="E56" s="706">
        <f t="shared" si="7"/>
        <v>613.93551098505361</v>
      </c>
      <c r="F56" s="706">
        <f t="shared" si="7"/>
        <v>10.80646369384452</v>
      </c>
      <c r="G56" s="706">
        <f t="shared" si="7"/>
        <v>1801.5151449647885</v>
      </c>
      <c r="H56" s="706">
        <f t="shared" si="7"/>
        <v>0</v>
      </c>
      <c r="I56" s="706">
        <f t="shared" si="7"/>
        <v>0</v>
      </c>
      <c r="J56" s="706">
        <f t="shared" si="7"/>
        <v>0</v>
      </c>
      <c r="K56" s="706">
        <f t="shared" si="7"/>
        <v>83.065426802075393</v>
      </c>
      <c r="L56" s="706">
        <f t="shared" si="7"/>
        <v>0</v>
      </c>
      <c r="M56" s="706">
        <f t="shared" si="7"/>
        <v>0</v>
      </c>
      <c r="N56" s="706">
        <f t="shared" si="7"/>
        <v>0</v>
      </c>
      <c r="O56" s="706">
        <f t="shared" si="7"/>
        <v>0</v>
      </c>
      <c r="P56" s="706">
        <f t="shared" si="7"/>
        <v>0</v>
      </c>
      <c r="Q56" s="707">
        <f t="shared" si="7"/>
        <v>0</v>
      </c>
      <c r="R56" s="708">
        <f ca="1">SUM(R54:R55)</f>
        <v>7815.2022246142515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18781.100992222269</v>
      </c>
      <c r="D61" s="714">
        <f t="shared" ref="D61:Q61" ca="1" si="8">D46+D52+D56</f>
        <v>4820.755462184874</v>
      </c>
      <c r="E61" s="714">
        <f t="shared" ca="1" si="8"/>
        <v>30152.535974537681</v>
      </c>
      <c r="F61" s="714">
        <f t="shared" si="8"/>
        <v>4297.4813671833217</v>
      </c>
      <c r="G61" s="714">
        <f t="shared" ca="1" si="8"/>
        <v>22032.71788225718</v>
      </c>
      <c r="H61" s="714">
        <f t="shared" si="8"/>
        <v>31537.37076169192</v>
      </c>
      <c r="I61" s="714">
        <f t="shared" si="8"/>
        <v>6528.4535466344105</v>
      </c>
      <c r="J61" s="714">
        <f t="shared" si="8"/>
        <v>0</v>
      </c>
      <c r="K61" s="714">
        <f t="shared" si="8"/>
        <v>83.549279662413269</v>
      </c>
      <c r="L61" s="714">
        <f t="shared" si="8"/>
        <v>0</v>
      </c>
      <c r="M61" s="714">
        <f t="shared" ca="1" si="8"/>
        <v>0</v>
      </c>
      <c r="N61" s="714">
        <f t="shared" si="8"/>
        <v>0</v>
      </c>
      <c r="O61" s="714">
        <f t="shared" ca="1" si="8"/>
        <v>0</v>
      </c>
      <c r="P61" s="714">
        <f t="shared" si="8"/>
        <v>0</v>
      </c>
      <c r="Q61" s="714">
        <f t="shared" si="8"/>
        <v>0</v>
      </c>
      <c r="R61" s="714">
        <f ca="1">R46+R52+R56</f>
        <v>118233.96526637406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0.16619584889231379</v>
      </c>
      <c r="D63" s="755">
        <f t="shared" ca="1" si="9"/>
        <v>0.23764705882352943</v>
      </c>
      <c r="E63" s="990">
        <f t="shared" ca="1" si="9"/>
        <v>0.20199999999999999</v>
      </c>
      <c r="F63" s="755">
        <f t="shared" si="9"/>
        <v>0.22700000000000001</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15846.522752342617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13246.56790225089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14199.75</v>
      </c>
      <c r="D76" s="1000">
        <f>'lokale energieproductie'!C8</f>
        <v>16705.588235294115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3374.5288235294115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29093.090654593507</v>
      </c>
      <c r="C78" s="729">
        <f>SUM(C72:C77)</f>
        <v>14199.75</v>
      </c>
      <c r="D78" s="730">
        <f t="shared" ref="D78:H78" si="10">SUM(D76:D77)</f>
        <v>16705.588235294115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3374.5288235294115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20285.357142857141</v>
      </c>
      <c r="D87" s="751">
        <f>'lokale energieproductie'!C17</f>
        <v>23865.126050420164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4820.7554621848731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20285.357142857141</v>
      </c>
      <c r="D90" s="729">
        <f t="shared" ref="D90:H90" si="12">SUM(D87:D89)</f>
        <v>23865.126050420164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4820.7554621848731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15846.522752342617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13246.56790225089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14199.75</v>
      </c>
      <c r="C8" s="544">
        <f>B49</f>
        <v>16705.588235294115</v>
      </c>
      <c r="D8" s="1010"/>
      <c r="E8" s="1010">
        <f>E49</f>
        <v>0</v>
      </c>
      <c r="F8" s="1011"/>
      <c r="G8" s="545"/>
      <c r="H8" s="1010">
        <f>I49</f>
        <v>0</v>
      </c>
      <c r="I8" s="1010">
        <f>G49+F49</f>
        <v>0</v>
      </c>
      <c r="J8" s="1010">
        <f>H49+D49+C49</f>
        <v>0</v>
      </c>
      <c r="K8" s="1010"/>
      <c r="L8" s="1010"/>
      <c r="M8" s="1010"/>
      <c r="N8" s="546"/>
      <c r="O8" s="547">
        <f>C8*$C$12+D8*$D$12+E8*$E$12+F8*$F$12+G8*$G$12+H8*$H$12+I8*$I$12+J8*$J$12</f>
        <v>3374.5288235294115</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43292.840654593507</v>
      </c>
      <c r="C10" s="557">
        <f t="shared" ref="C10:L10" si="0">SUM(C8:C9)</f>
        <v>16705.588235294115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3374.5288235294115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20285.357142857141</v>
      </c>
      <c r="C17" s="569">
        <f>B50</f>
        <v>23865.126050420164</v>
      </c>
      <c r="D17" s="570"/>
      <c r="E17" s="570">
        <f>E50</f>
        <v>0</v>
      </c>
      <c r="F17" s="1016"/>
      <c r="G17" s="571"/>
      <c r="H17" s="569">
        <f>I50</f>
        <v>0</v>
      </c>
      <c r="I17" s="570">
        <f>G50+F50</f>
        <v>0</v>
      </c>
      <c r="J17" s="570">
        <f>H50+D50+C50</f>
        <v>0</v>
      </c>
      <c r="K17" s="570"/>
      <c r="L17" s="570"/>
      <c r="M17" s="570"/>
      <c r="N17" s="1017"/>
      <c r="O17" s="572">
        <f>C17*$C$22+E17*$E$22+H17*$H$22+I17*$I$22+J17*$J$22+D17*$D$22+F17*$F$22+G17*$G$22+K17*$K$22+L17*$L$22</f>
        <v>4820.7554621848731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20285.357142857141</v>
      </c>
      <c r="C20" s="556">
        <f>SUM(C17:C19)</f>
        <v>23865.126050420164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4820.7554621848731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24020</v>
      </c>
      <c r="C28" s="770">
        <v>3290</v>
      </c>
      <c r="D28" s="627" t="s">
        <v>887</v>
      </c>
      <c r="E28" s="626" t="s">
        <v>888</v>
      </c>
      <c r="F28" s="626" t="s">
        <v>889</v>
      </c>
      <c r="G28" s="626" t="s">
        <v>890</v>
      </c>
      <c r="H28" s="626" t="s">
        <v>891</v>
      </c>
      <c r="I28" s="626" t="s">
        <v>892</v>
      </c>
      <c r="J28" s="769">
        <v>37839</v>
      </c>
      <c r="K28" s="769">
        <v>38687</v>
      </c>
      <c r="L28" s="626" t="s">
        <v>893</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80" customFormat="1" ht="25.5">
      <c r="A29" s="579"/>
      <c r="B29" s="770">
        <v>24020</v>
      </c>
      <c r="C29" s="770">
        <v>3294</v>
      </c>
      <c r="D29" s="627" t="s">
        <v>894</v>
      </c>
      <c r="E29" s="626" t="s">
        <v>895</v>
      </c>
      <c r="F29" s="626" t="s">
        <v>896</v>
      </c>
      <c r="G29" s="626" t="s">
        <v>890</v>
      </c>
      <c r="H29" s="626" t="s">
        <v>891</v>
      </c>
      <c r="I29" s="626" t="s">
        <v>895</v>
      </c>
      <c r="J29" s="769">
        <v>40165</v>
      </c>
      <c r="K29" s="769">
        <v>39211</v>
      </c>
      <c r="L29" s="626" t="s">
        <v>893</v>
      </c>
      <c r="M29" s="626">
        <v>3150</v>
      </c>
      <c r="N29" s="626">
        <v>14175</v>
      </c>
      <c r="O29" s="626">
        <v>20250</v>
      </c>
      <c r="P29" s="626">
        <v>40500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3155.5</v>
      </c>
      <c r="N30" s="584">
        <f>SUM(N28:N29)</f>
        <v>14199.75</v>
      </c>
      <c r="O30" s="584">
        <f>SUM(O28:O29)</f>
        <v>20285.357142857141</v>
      </c>
      <c r="P30" s="584">
        <f>SUM(P28:P29)</f>
        <v>40570.714285714283</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5.5</v>
      </c>
      <c r="N32" s="584">
        <f ca="1">SUMIF($Z$28:AD29,"tertiair",N28:N29)</f>
        <v>24.75</v>
      </c>
      <c r="O32" s="584">
        <f ca="1">SUMIF($Z$28:AE29,"tertiair",O28:O29)</f>
        <v>35.357142857142861</v>
      </c>
      <c r="P32" s="584">
        <f ca="1">SUMIF($Z$28:AF29,"tertiair",P28:P29)</f>
        <v>70.714285714285722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3150</v>
      </c>
      <c r="N33" s="589">
        <f>SUMIF($Z$28:$Z$29,"landbouw",N28:N29)</f>
        <v>14175</v>
      </c>
      <c r="O33" s="589">
        <f>SUMIF($Z$28:$Z$29,"landbouw",O28:O29)</f>
        <v>20250</v>
      </c>
      <c r="P33" s="589">
        <f>SUMIF($Z$28:$Z$29,"landbouw",P28:P29)</f>
        <v>40500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16705.588235294115</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23865.126050420164</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38350.046880744645</v>
      </c>
      <c r="C4" s="451">
        <f>huishoudens!C8</f>
        <v>0</v>
      </c>
      <c r="D4" s="451">
        <f>huishoudens!D8</f>
        <v>75584.762812971807</v>
      </c>
      <c r="E4" s="451">
        <f>huishoudens!E8</f>
        <v>13343.122049976208</v>
      </c>
      <c r="F4" s="451">
        <f>huishoudens!F8</f>
        <v>54931.490342034987</v>
      </c>
      <c r="G4" s="451">
        <f>huishoudens!G8</f>
        <v>0</v>
      </c>
      <c r="H4" s="451">
        <f>huishoudens!H8</f>
        <v>0</v>
      </c>
      <c r="I4" s="451">
        <f>huishoudens!I8</f>
        <v>0</v>
      </c>
      <c r="J4" s="451">
        <f>huishoudens!J8</f>
        <v>0</v>
      </c>
      <c r="K4" s="451">
        <f>huishoudens!K8</f>
        <v>0</v>
      </c>
      <c r="L4" s="451">
        <f>huishoudens!L8</f>
        <v>0</v>
      </c>
      <c r="M4" s="451">
        <f>huishoudens!M8</f>
        <v>0</v>
      </c>
      <c r="N4" s="451">
        <f>huishoudens!N8</f>
        <v>11250.661653517696</v>
      </c>
      <c r="O4" s="451">
        <f>huishoudens!O8</f>
        <v>339.2433333333334</v>
      </c>
      <c r="P4" s="452">
        <f>huishoudens!P8</f>
        <v>1372.8</v>
      </c>
      <c r="Q4" s="453">
        <f>SUM(B4:P4)</f>
        <v>195172.12707257867</v>
      </c>
    </row>
    <row r="5" spans="1:17">
      <c r="A5" s="450" t="s">
        <v>155</v>
      </c>
      <c r="B5" s="451">
        <f ca="1">tertiair!B16</f>
        <v>44114.746401999997</v>
      </c>
      <c r="C5" s="451">
        <f ca="1">tertiair!C16</f>
        <v>35.357142857142861</v>
      </c>
      <c r="D5" s="451">
        <f ca="1">tertiair!D16</f>
        <v>54220.252256354579</v>
      </c>
      <c r="E5" s="451">
        <f>tertiair!E16</f>
        <v>720.01371358475535</v>
      </c>
      <c r="F5" s="451">
        <f ca="1">tertiair!F16</f>
        <v>7624.1448506391516</v>
      </c>
      <c r="G5" s="451">
        <f>tertiair!G16</f>
        <v>0</v>
      </c>
      <c r="H5" s="451">
        <f>tertiair!H16</f>
        <v>0</v>
      </c>
      <c r="I5" s="451">
        <f>tertiair!I16</f>
        <v>0</v>
      </c>
      <c r="J5" s="451">
        <f>tertiair!J16</f>
        <v>5.5394178531079329E-2</v>
      </c>
      <c r="K5" s="451">
        <f>tertiair!K16</f>
        <v>0</v>
      </c>
      <c r="L5" s="451">
        <f ca="1">tertiair!L16</f>
        <v>0</v>
      </c>
      <c r="M5" s="451">
        <f>tertiair!M16</f>
        <v>0</v>
      </c>
      <c r="N5" s="451">
        <f ca="1">tertiair!N16</f>
        <v>2300.0494355546998</v>
      </c>
      <c r="O5" s="451">
        <f>tertiair!O16</f>
        <v>3.1266666666666669</v>
      </c>
      <c r="P5" s="452">
        <f>tertiair!P16</f>
        <v>19.066666666666666</v>
      </c>
      <c r="Q5" s="450">
        <f t="shared" ref="Q5:Q14" ca="1" si="0">SUM(B5:P5)</f>
        <v>109036.8125285022</v>
      </c>
    </row>
    <row r="6" spans="1:17">
      <c r="A6" s="450" t="s">
        <v>193</v>
      </c>
      <c r="B6" s="451">
        <f>'openbare verlichting'!B8</f>
        <v>2021.1379999999999</v>
      </c>
      <c r="C6" s="451"/>
      <c r="D6" s="451"/>
      <c r="E6" s="451"/>
      <c r="F6" s="451"/>
      <c r="G6" s="451"/>
      <c r="H6" s="451"/>
      <c r="I6" s="451"/>
      <c r="J6" s="451"/>
      <c r="K6" s="451"/>
      <c r="L6" s="451"/>
      <c r="M6" s="451"/>
      <c r="N6" s="451"/>
      <c r="O6" s="451"/>
      <c r="P6" s="452"/>
      <c r="Q6" s="450">
        <f t="shared" si="0"/>
        <v>2021.1379999999999</v>
      </c>
    </row>
    <row r="7" spans="1:17">
      <c r="A7" s="450" t="s">
        <v>111</v>
      </c>
      <c r="B7" s="451">
        <f>landbouw!B8</f>
        <v>1619.6196</v>
      </c>
      <c r="C7" s="451">
        <f>landbouw!C8</f>
        <v>20250</v>
      </c>
      <c r="D7" s="451">
        <f>landbouw!D8</f>
        <v>0</v>
      </c>
      <c r="E7" s="451">
        <f>landbouw!E8</f>
        <v>47.605566933235771</v>
      </c>
      <c r="F7" s="451">
        <f>landbouw!F8</f>
        <v>6747.2477339505185</v>
      </c>
      <c r="G7" s="451">
        <f>landbouw!G8</f>
        <v>0</v>
      </c>
      <c r="H7" s="451">
        <f>landbouw!H8</f>
        <v>0</v>
      </c>
      <c r="I7" s="451">
        <f>landbouw!I8</f>
        <v>0</v>
      </c>
      <c r="J7" s="451">
        <f>landbouw!J8</f>
        <v>234.64809831094746</v>
      </c>
      <c r="K7" s="451">
        <f>landbouw!K8</f>
        <v>0</v>
      </c>
      <c r="L7" s="451">
        <f>landbouw!L8</f>
        <v>0</v>
      </c>
      <c r="M7" s="451">
        <f>landbouw!M8</f>
        <v>0</v>
      </c>
      <c r="N7" s="451">
        <f>landbouw!N8</f>
        <v>0</v>
      </c>
      <c r="O7" s="451">
        <f>landbouw!O8</f>
        <v>0</v>
      </c>
      <c r="P7" s="452">
        <f>landbouw!P8</f>
        <v>0</v>
      </c>
      <c r="Q7" s="450">
        <f t="shared" si="0"/>
        <v>28899.1209991947</v>
      </c>
    </row>
    <row r="8" spans="1:17">
      <c r="A8" s="450" t="s">
        <v>634</v>
      </c>
      <c r="B8" s="451">
        <f>industrie!B18</f>
        <v>25492.636538000002</v>
      </c>
      <c r="C8" s="451">
        <f>industrie!C18</f>
        <v>0</v>
      </c>
      <c r="D8" s="451">
        <f>industrie!D18</f>
        <v>16272.27835085984</v>
      </c>
      <c r="E8" s="451">
        <f>industrie!E18</f>
        <v>4545.5412497186553</v>
      </c>
      <c r="F8" s="451">
        <f>industrie!F18</f>
        <v>13216.659703552034</v>
      </c>
      <c r="G8" s="451">
        <f>industrie!G18</f>
        <v>0</v>
      </c>
      <c r="H8" s="451">
        <f>industrie!H18</f>
        <v>0</v>
      </c>
      <c r="I8" s="451">
        <f>industrie!I18</f>
        <v>0</v>
      </c>
      <c r="J8" s="451">
        <f>industrie!J18</f>
        <v>1.3114218111239246</v>
      </c>
      <c r="K8" s="451">
        <f>industrie!K18</f>
        <v>0</v>
      </c>
      <c r="L8" s="451">
        <f>industrie!L18</f>
        <v>0</v>
      </c>
      <c r="M8" s="451">
        <f>industrie!M18</f>
        <v>0</v>
      </c>
      <c r="N8" s="451">
        <f>industrie!N18</f>
        <v>2249.9571759868149</v>
      </c>
      <c r="O8" s="451">
        <f>industrie!O18</f>
        <v>0</v>
      </c>
      <c r="P8" s="452">
        <f>industrie!P18</f>
        <v>0</v>
      </c>
      <c r="Q8" s="450">
        <f t="shared" si="0"/>
        <v>61778.384439928464</v>
      </c>
    </row>
    <row r="9" spans="1:17" s="456" customFormat="1">
      <c r="A9" s="454" t="s">
        <v>560</v>
      </c>
      <c r="B9" s="455">
        <f>transport!B14</f>
        <v>57.719951278101938</v>
      </c>
      <c r="C9" s="455">
        <f>transport!C14</f>
        <v>0</v>
      </c>
      <c r="D9" s="455">
        <f>transport!D14</f>
        <v>153.40194393567828</v>
      </c>
      <c r="E9" s="455">
        <f>transport!E14</f>
        <v>275.35339856829768</v>
      </c>
      <c r="F9" s="455">
        <f>transport!F14</f>
        <v>0</v>
      </c>
      <c r="G9" s="455">
        <f>transport!G14</f>
        <v>115198.78013872761</v>
      </c>
      <c r="H9" s="455">
        <f>transport!H14</f>
        <v>26218.688942306868</v>
      </c>
      <c r="I9" s="455">
        <f>transport!I14</f>
        <v>0</v>
      </c>
      <c r="J9" s="455">
        <f>transport!J14</f>
        <v>0</v>
      </c>
      <c r="K9" s="455">
        <f>transport!K14</f>
        <v>0</v>
      </c>
      <c r="L9" s="455">
        <f>transport!L14</f>
        <v>0</v>
      </c>
      <c r="M9" s="455">
        <f>transport!M14</f>
        <v>7502.427797214702</v>
      </c>
      <c r="N9" s="455">
        <f>transport!N14</f>
        <v>0</v>
      </c>
      <c r="O9" s="455">
        <f>transport!O14</f>
        <v>0</v>
      </c>
      <c r="P9" s="455">
        <f>transport!P14</f>
        <v>0</v>
      </c>
      <c r="Q9" s="454">
        <f>SUM(B9:P9)</f>
        <v>149406.37217203126</v>
      </c>
    </row>
    <row r="10" spans="1:17">
      <c r="A10" s="450" t="s">
        <v>550</v>
      </c>
      <c r="B10" s="451">
        <f>transport!B54</f>
        <v>0</v>
      </c>
      <c r="C10" s="451">
        <f>transport!C54</f>
        <v>0</v>
      </c>
      <c r="D10" s="451">
        <f>transport!D54</f>
        <v>0</v>
      </c>
      <c r="E10" s="451">
        <f>transport!E54</f>
        <v>0</v>
      </c>
      <c r="F10" s="451">
        <f>transport!F54</f>
        <v>0</v>
      </c>
      <c r="G10" s="451">
        <f>transport!G54</f>
        <v>2918.7133507552235</v>
      </c>
      <c r="H10" s="451">
        <f>transport!H54</f>
        <v>0</v>
      </c>
      <c r="I10" s="451">
        <f>transport!I54</f>
        <v>0</v>
      </c>
      <c r="J10" s="451">
        <f>transport!J54</f>
        <v>0</v>
      </c>
      <c r="K10" s="451">
        <f>transport!K54</f>
        <v>0</v>
      </c>
      <c r="L10" s="451">
        <f>transport!L54</f>
        <v>0</v>
      </c>
      <c r="M10" s="451">
        <f>transport!M54</f>
        <v>165.75751131321061</v>
      </c>
      <c r="N10" s="451">
        <f>transport!N54</f>
        <v>0</v>
      </c>
      <c r="O10" s="451">
        <f>transport!O54</f>
        <v>0</v>
      </c>
      <c r="P10" s="452">
        <f>transport!P54</f>
        <v>0</v>
      </c>
      <c r="Q10" s="450">
        <f t="shared" si="0"/>
        <v>3084.4708620684341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1349.929521</v>
      </c>
      <c r="C14" s="458"/>
      <c r="D14" s="458">
        <f>'SEAP template'!E25</f>
        <v>3039.2847078467998</v>
      </c>
      <c r="E14" s="458"/>
      <c r="F14" s="458"/>
      <c r="G14" s="458"/>
      <c r="H14" s="458"/>
      <c r="I14" s="458"/>
      <c r="J14" s="458"/>
      <c r="K14" s="458"/>
      <c r="L14" s="458"/>
      <c r="M14" s="458"/>
      <c r="N14" s="458"/>
      <c r="O14" s="458"/>
      <c r="P14" s="459"/>
      <c r="Q14" s="450">
        <f t="shared" si="0"/>
        <v>4389.2142288468003</v>
      </c>
    </row>
    <row r="15" spans="1:17" s="460" customFormat="1">
      <c r="A15" s="1005" t="s">
        <v>554</v>
      </c>
      <c r="B15" s="953">
        <f ca="1">SUM(B4:B14)</f>
        <v>113005.83689302277</v>
      </c>
      <c r="C15" s="953">
        <f t="shared" ref="C15:Q15" ca="1" si="1">SUM(C4:C14)</f>
        <v>20285.357142857141</v>
      </c>
      <c r="D15" s="953">
        <f t="shared" ca="1" si="1"/>
        <v>149269.98007196872</v>
      </c>
      <c r="E15" s="953">
        <f t="shared" si="1"/>
        <v>18931.635978781156</v>
      </c>
      <c r="F15" s="953">
        <f t="shared" ca="1" si="1"/>
        <v>82519.5426301767</v>
      </c>
      <c r="G15" s="953">
        <f t="shared" si="1"/>
        <v>118117.49348948283</v>
      </c>
      <c r="H15" s="953">
        <f t="shared" si="1"/>
        <v>26218.688942306868</v>
      </c>
      <c r="I15" s="953">
        <f t="shared" si="1"/>
        <v>0</v>
      </c>
      <c r="J15" s="953">
        <f t="shared" si="1"/>
        <v>236.01491430060247</v>
      </c>
      <c r="K15" s="953">
        <f t="shared" si="1"/>
        <v>0</v>
      </c>
      <c r="L15" s="953">
        <f t="shared" ca="1" si="1"/>
        <v>0</v>
      </c>
      <c r="M15" s="953">
        <f t="shared" si="1"/>
        <v>7668.1853085279126</v>
      </c>
      <c r="N15" s="953">
        <f t="shared" ca="1" si="1"/>
        <v>15800.668265059212</v>
      </c>
      <c r="O15" s="953">
        <f t="shared" si="1"/>
        <v>342.37000000000006</v>
      </c>
      <c r="P15" s="953">
        <f t="shared" si="1"/>
        <v>1391.8666666666666</v>
      </c>
      <c r="Q15" s="953">
        <f t="shared" ca="1" si="1"/>
        <v>553787.64030315052</v>
      </c>
    </row>
    <row r="17" spans="1:17">
      <c r="A17" s="461" t="s">
        <v>555</v>
      </c>
      <c r="B17" s="760">
        <f ca="1">huishoudens!B10</f>
        <v>0.16619584889231381</v>
      </c>
      <c r="C17" s="760">
        <f ca="1">huishoudens!C10</f>
        <v>0.23764705882352938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6373.6185964053875</v>
      </c>
      <c r="C22" s="451">
        <f t="shared" ref="C22:C32" ca="1" si="3">C4*$C$17</f>
        <v>0</v>
      </c>
      <c r="D22" s="451">
        <f t="shared" ref="D22:D32" si="4">D4*$D$17</f>
        <v>15268.122088220305</v>
      </c>
      <c r="E22" s="451">
        <f t="shared" ref="E22:E32" si="5">E4*$E$17</f>
        <v>3028.8887053445992</v>
      </c>
      <c r="F22" s="451">
        <f t="shared" ref="F22:F32" si="6">F4*$F$17</f>
        <v>14666.707921323343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39337.337311293632</v>
      </c>
    </row>
    <row r="23" spans="1:17">
      <c r="A23" s="450" t="s">
        <v>155</v>
      </c>
      <c r="B23" s="451">
        <f t="shared" ca="1" si="2"/>
        <v>7331.6877269495362</v>
      </c>
      <c r="C23" s="451">
        <f t="shared" ca="1" si="3"/>
        <v>8.4025210084033617</v>
      </c>
      <c r="D23" s="451">
        <f t="shared" ca="1" si="4"/>
        <v>10952.490955783625</v>
      </c>
      <c r="E23" s="451">
        <f t="shared" si="5"/>
        <v>163.44311298373947</v>
      </c>
      <c r="F23" s="451">
        <f t="shared" ca="1" si="6"/>
        <v>2035.6466751206535</v>
      </c>
      <c r="G23" s="451">
        <f t="shared" si="7"/>
        <v>0</v>
      </c>
      <c r="H23" s="451">
        <f t="shared" si="8"/>
        <v>0</v>
      </c>
      <c r="I23" s="451">
        <f t="shared" si="9"/>
        <v>0</v>
      </c>
      <c r="J23" s="451">
        <f t="shared" si="10"/>
        <v>1.960953920000208E-2</v>
      </c>
      <c r="K23" s="451">
        <f t="shared" si="11"/>
        <v>0</v>
      </c>
      <c r="L23" s="451">
        <f t="shared" ca="1" si="12"/>
        <v>0</v>
      </c>
      <c r="M23" s="451">
        <f t="shared" si="13"/>
        <v>0</v>
      </c>
      <c r="N23" s="451">
        <f t="shared" ca="1" si="14"/>
        <v>0</v>
      </c>
      <c r="O23" s="451">
        <f t="shared" si="15"/>
        <v>0</v>
      </c>
      <c r="P23" s="452">
        <f t="shared" si="16"/>
        <v>0</v>
      </c>
      <c r="Q23" s="450">
        <f t="shared" ref="Q23:Q32" ca="1" si="17">SUM(B23:P23)</f>
        <v>20491.690601385159</v>
      </c>
    </row>
    <row r="24" spans="1:17">
      <c r="A24" s="450" t="s">
        <v>193</v>
      </c>
      <c r="B24" s="451">
        <f t="shared" ca="1" si="2"/>
        <v>335.90474563851336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335.90474563851336</v>
      </c>
    </row>
    <row r="25" spans="1:17">
      <c r="A25" s="450" t="s">
        <v>111</v>
      </c>
      <c r="B25" s="451">
        <f t="shared" ca="1" si="2"/>
        <v>269.17405430462975</v>
      </c>
      <c r="C25" s="451">
        <f t="shared" ca="1" si="3"/>
        <v>4812.3529411764703</v>
      </c>
      <c r="D25" s="451">
        <f t="shared" si="4"/>
        <v>0</v>
      </c>
      <c r="E25" s="451">
        <f t="shared" si="5"/>
        <v>10.80646369384452</v>
      </c>
      <c r="F25" s="451">
        <f t="shared" si="6"/>
        <v>1801.5151449647885</v>
      </c>
      <c r="G25" s="451">
        <f t="shared" si="7"/>
        <v>0</v>
      </c>
      <c r="H25" s="451">
        <f t="shared" si="8"/>
        <v>0</v>
      </c>
      <c r="I25" s="451">
        <f t="shared" si="9"/>
        <v>0</v>
      </c>
      <c r="J25" s="451">
        <f t="shared" si="10"/>
        <v>83.065426802075393</v>
      </c>
      <c r="K25" s="451">
        <f t="shared" si="11"/>
        <v>0</v>
      </c>
      <c r="L25" s="451">
        <f t="shared" si="12"/>
        <v>0</v>
      </c>
      <c r="M25" s="451">
        <f t="shared" si="13"/>
        <v>0</v>
      </c>
      <c r="N25" s="451">
        <f t="shared" si="14"/>
        <v>0</v>
      </c>
      <c r="O25" s="451">
        <f t="shared" si="15"/>
        <v>0</v>
      </c>
      <c r="P25" s="452">
        <f t="shared" si="16"/>
        <v>0</v>
      </c>
      <c r="Q25" s="450">
        <f t="shared" ca="1" si="17"/>
        <v>6976.9140309418081</v>
      </c>
    </row>
    <row r="26" spans="1:17">
      <c r="A26" s="450" t="s">
        <v>634</v>
      </c>
      <c r="B26" s="451">
        <f t="shared" ca="1" si="2"/>
        <v>4236.7703699361264</v>
      </c>
      <c r="C26" s="451">
        <f t="shared" ca="1" si="3"/>
        <v>0</v>
      </c>
      <c r="D26" s="451">
        <f t="shared" si="4"/>
        <v>3287.000226873688</v>
      </c>
      <c r="E26" s="451">
        <f t="shared" si="5"/>
        <v>1031.8378636861348</v>
      </c>
      <c r="F26" s="451">
        <f t="shared" si="6"/>
        <v>3528.8481408483931</v>
      </c>
      <c r="G26" s="451">
        <f t="shared" si="7"/>
        <v>0</v>
      </c>
      <c r="H26" s="451">
        <f t="shared" si="8"/>
        <v>0</v>
      </c>
      <c r="I26" s="451">
        <f t="shared" si="9"/>
        <v>0</v>
      </c>
      <c r="J26" s="451">
        <f t="shared" si="10"/>
        <v>0.46424332113786931</v>
      </c>
      <c r="K26" s="451">
        <f t="shared" si="11"/>
        <v>0</v>
      </c>
      <c r="L26" s="451">
        <f t="shared" si="12"/>
        <v>0</v>
      </c>
      <c r="M26" s="451">
        <f t="shared" si="13"/>
        <v>0</v>
      </c>
      <c r="N26" s="451">
        <f t="shared" si="14"/>
        <v>0</v>
      </c>
      <c r="O26" s="451">
        <f t="shared" si="15"/>
        <v>0</v>
      </c>
      <c r="P26" s="452">
        <f t="shared" si="16"/>
        <v>0</v>
      </c>
      <c r="Q26" s="450">
        <f t="shared" ca="1" si="17"/>
        <v>12084.920844665479</v>
      </c>
    </row>
    <row r="27" spans="1:17" s="456" customFormat="1">
      <c r="A27" s="454" t="s">
        <v>560</v>
      </c>
      <c r="B27" s="754">
        <f t="shared" ca="1" si="2"/>
        <v>9.5928163006871454</v>
      </c>
      <c r="C27" s="455">
        <f t="shared" ca="1" si="3"/>
        <v>0</v>
      </c>
      <c r="D27" s="455">
        <f t="shared" si="4"/>
        <v>30.987192675007012</v>
      </c>
      <c r="E27" s="455">
        <f t="shared" si="5"/>
        <v>62.505221475003573</v>
      </c>
      <c r="F27" s="455">
        <f t="shared" si="6"/>
        <v>0</v>
      </c>
      <c r="G27" s="455">
        <f t="shared" si="7"/>
        <v>30758.074297040275</v>
      </c>
      <c r="H27" s="455">
        <f t="shared" si="8"/>
        <v>6528.4535466344105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37389.613074125387</v>
      </c>
    </row>
    <row r="28" spans="1:17">
      <c r="A28" s="450" t="s">
        <v>550</v>
      </c>
      <c r="B28" s="451">
        <f t="shared" ca="1" si="2"/>
        <v>0</v>
      </c>
      <c r="C28" s="451">
        <f t="shared" ca="1" si="3"/>
        <v>0</v>
      </c>
      <c r="D28" s="451">
        <f t="shared" si="4"/>
        <v>0</v>
      </c>
      <c r="E28" s="451">
        <f t="shared" si="5"/>
        <v>0</v>
      </c>
      <c r="F28" s="451">
        <f t="shared" si="6"/>
        <v>0</v>
      </c>
      <c r="G28" s="451">
        <f t="shared" si="7"/>
        <v>779.29646465164467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779.29646465164467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224.35268268738957</v>
      </c>
      <c r="C32" s="451">
        <f t="shared" ca="1" si="3"/>
        <v>0</v>
      </c>
      <c r="D32" s="451">
        <f t="shared" si="4"/>
        <v>613.93551098505361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838.28819367244319</v>
      </c>
    </row>
    <row r="33" spans="1:17" s="460" customFormat="1">
      <c r="A33" s="1005" t="s">
        <v>554</v>
      </c>
      <c r="B33" s="953">
        <f ca="1">SUM(B22:B32)</f>
        <v>18781.100992222269</v>
      </c>
      <c r="C33" s="953">
        <f t="shared" ref="C33:Q33" ca="1" si="18">SUM(C22:C32)</f>
        <v>4820.755462184874</v>
      </c>
      <c r="D33" s="953">
        <f t="shared" ca="1" si="18"/>
        <v>30152.535974537681</v>
      </c>
      <c r="E33" s="953">
        <f t="shared" si="18"/>
        <v>4297.4813671833217</v>
      </c>
      <c r="F33" s="953">
        <f t="shared" ca="1" si="18"/>
        <v>22032.71788225718</v>
      </c>
      <c r="G33" s="953">
        <f t="shared" si="18"/>
        <v>31537.37076169192</v>
      </c>
      <c r="H33" s="953">
        <f t="shared" si="18"/>
        <v>6528.4535466344105</v>
      </c>
      <c r="I33" s="953">
        <f t="shared" si="18"/>
        <v>0</v>
      </c>
      <c r="J33" s="953">
        <f t="shared" si="18"/>
        <v>83.549279662413269</v>
      </c>
      <c r="K33" s="953">
        <f t="shared" si="18"/>
        <v>0</v>
      </c>
      <c r="L33" s="953">
        <f t="shared" ca="1" si="18"/>
        <v>0</v>
      </c>
      <c r="M33" s="953">
        <f t="shared" si="18"/>
        <v>0</v>
      </c>
      <c r="N33" s="953">
        <f t="shared" ca="1" si="18"/>
        <v>0</v>
      </c>
      <c r="O33" s="953">
        <f t="shared" si="18"/>
        <v>0</v>
      </c>
      <c r="P33" s="953">
        <f t="shared" si="18"/>
        <v>0</v>
      </c>
      <c r="Q33" s="953">
        <f t="shared" ca="1" si="18"/>
        <v>118233.96526637409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15846.522752342617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13246.56790225089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14199.75</v>
      </c>
      <c r="D8" s="1022">
        <f>'SEAP template'!D76</f>
        <v>16705.588235294115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3374.5288235294115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29093.090654593507</v>
      </c>
      <c r="C10" s="1026">
        <f>SUM(C4:C9)</f>
        <v>14199.75</v>
      </c>
      <c r="D10" s="1026">
        <f t="shared" ref="D10:H10" si="0">SUM(D8:D9)</f>
        <v>16705.588235294115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3374.5288235294115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0.16619584889231381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20285.357142857141</v>
      </c>
      <c r="D17" s="1023">
        <f>'SEAP template'!D87</f>
        <v>23865.126050420164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4820.7554621848731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20285.357142857141</v>
      </c>
      <c r="D20" s="1026">
        <f t="shared" ref="D20:H20" si="2">SUM(D17:D19)</f>
        <v>23865.126050420164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4820.7554621848731</v>
      </c>
    </row>
    <row r="22" spans="1:16">
      <c r="A22" s="461" t="s">
        <v>848</v>
      </c>
      <c r="B22" s="760" t="s">
        <v>842</v>
      </c>
      <c r="C22" s="760">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0.16619584889231381</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2020-06-20T15:42:31Z</dcterms:modified>
</cp:coreProperties>
</file>