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F49" i="18"/>
  <c r="I8"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J5" i="48"/>
  <c r="J23" i="48" s="1"/>
  <c r="K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J15"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<sst xmlns="http://schemas.openxmlformats.org/spreadsheetml/2006/main" count="2407" uniqueCount="893">
  <si>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</si>
  <si>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</si>
  <si>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</si>
  <si>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</si>
  <si>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</si>
  <si>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</si>
  <si>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</si>
  <si>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</si>
  <si>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</si>
  <si>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</si>
  <si>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</si>
  <si>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</si>
  <si>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</si>
  <si>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</si>
  <si>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</si>
  <si>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</si>
  <si>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</si>
  <si>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</si>
  <si>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</si>
  <si>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</si>
  <si>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</si>
  <si>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</si>
  <si>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</si>
  <si>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</si>
  <si>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</si>
  <si>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</si>
  <si>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</si>
  <si>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</si>
  <si>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</si>
  <si>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</si>
  <si>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</si>
  <si>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</si>
  <si>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</si>
  <si>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</si>
  <si>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</si>
  <si>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</si>
  <si>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</si>
  <si>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</si>
  <si>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</si>
  <si>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</si>
  <si>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</si>
  <si>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</si>
  <si>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</si>
  <si>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</si>
  <si>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</si>
  <si>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</si>
  <si>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</si>
  <si>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</si>
  <si>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</si>
  <si>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</si>
  <si>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</si>
  <si>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</si>
  <si>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</si>
  <si>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</si>
  <si>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</si>
  <si>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</si>
  <si>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</si>
  <si>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</si>
  <si>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</si>
  <si>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</si>
  <si>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</si>
  <si>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</si>
  <si>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</si>
  <si>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</si>
  <si>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</si>
  <si>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</si>
  <si>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</si>
  <si>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</si>
  <si>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</si>
  <si>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</si>
  <si>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</si>
  <si>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</si>
  <si>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</si>
  <si>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</si>
  <si>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</si>
  <si>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</si>
  <si>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</si>
  <si>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</si>
  <si>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</si>
  <si>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</si>
  <si>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</si>
  <si>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</si>
  <si>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</si>
  <si>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</si>
  <si>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</si>
  <si>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</si>
  <si>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</si>
  <si>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</si>
  <si>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</si>
  <si>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</si>
  <si>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</si>
  <si>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</si>
  <si>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</si>
  <si>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</si>
  <si>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</si>
  <si>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</si>
  <si>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</si>
  <si>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</si>
  <si>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</si>
  <si>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</si>
  <si>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</si>
  <si>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</si>
  <si>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</si>
  <si>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</si>
  <si>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</si>
  <si>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</si>
  <si>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</si>
  <si>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</si>
  <si>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</si>
  <si>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</si>
  <si>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</si>
  <si>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</si>
  <si>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</si>
  <si>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</si>
  <si>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</si>
  <si>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</si>
  <si>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</si>
  <si>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</si>
  <si>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</si>
  <si>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</si>
  <si>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</si>
  <si>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</si>
  <si>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</si>
  <si>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</si>
  <si>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</si>
  <si>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</si>
  <si>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</si>
  <si>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</si>
  <si>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</si>
  <si>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</si>
  <si>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</si>
  <si>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</si>
  <si>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</si>
  <si>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</si>
  <si>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</si>
  <si>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</si>
  <si>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</si>
  <si>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</si>
  <si>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</si>
  <si>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</si>
  <si>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</si>
  <si>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</si>
  <si>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</si>
  <si>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</si>
  <si>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</si>
  <si>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</si>
  <si>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</si>
  <si>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</si>
  <si>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</si>
  <si>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</si>
  <si>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</si>
  <si>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</si>
  <si>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</si>
  <si>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</si>
  <si>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</si>
  <si>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</si>
  <si>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</si>
  <si>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</si>
  <si>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</si>
  <si>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</si>
  <si>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</si>
  <si>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</si>
  <si>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</si>
  <si>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</si>
  <si>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</si>
  <si>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</si>
  <si>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</si>
  <si>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</si>
  <si>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</si>
  <si>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</si>
  <si>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</si>
  <si>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</si>
  <si>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</si>
  <si>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</si>
  <si>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</si>
  <si>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</si>
  <si>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</si>
  <si>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</si>
  <si>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</si>
  <si>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</si>
  <si>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</si>
  <si>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</si>
  <si>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</si>
  <si>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</si>
  <si>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</si>
  <si>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</si>
  <si>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</si>
  <si>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</si>
  <si>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</si>
  <si>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</si>
  <si>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</si>
  <si>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</si>
  <si>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</si>
  <si>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</si>
  <si>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</si>
  <si>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</si>
  <si>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</si>
  <si>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</si>
  <si>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</si>
  <si>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</si>
  <si>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</si>
  <si>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</si>
  <si>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</si>
  <si>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</si>
  <si>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</si>
  <si>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</si>
  <si>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</si>
  <si>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</si>
  <si>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</si>
  <si>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</si>
  <si>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</si>
  <si>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</si>
  <si>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</si>
  <si>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</si>
  <si>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</si>
  <si>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</si>
  <si>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</si>
  <si>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</si>
  <si>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</si>
  <si>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</si>
  <si>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</si>
  <si>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</si>
  <si>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</si>
  <si>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</si>
  <si>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</si>
  <si>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</si>
  <si>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</si>
  <si>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</si>
  <si>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</si>
  <si>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</si>
  <si>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</si>
  <si>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</si>
  <si>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</si>
  <si>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</si>
  <si>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</si>
  <si>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</si>
  <si>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</si>
  <si>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</si>
  <si>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</si>
  <si>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</si>
  <si>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</si>
  <si>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</si>
  <si>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</si>
  <si>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</si>
  <si>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</si>
  <si>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</si>
  <si>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</si>
  <si>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</si>
  <si>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</si>
  <si>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</si>
  <si>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</si>
  <si>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</si>
  <si>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</si>
  <si>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</si>
  <si>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</si>
  <si>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</si>
  <si>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</si>
  <si>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</si>
  <si>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</si>
  <si>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</si>
  <si>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</si>
  <si>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</si>
  <si>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</si>
  <si>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</si>
  <si>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</si>
  <si>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</si>
  <si>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</si>
  <si>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</si>
  <si>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</si>
  <si>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</si>
  <si>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</si>
  <si>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</si>
  <si>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</si>
  <si>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</si>
  <si>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</si>
  <si>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</si>
  <si>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</si>
  <si>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</si>
  <si>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</si>
  <si>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</si>
  <si>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</si>
  <si>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</si>
  <si>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</si>
  <si>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</si>
  <si>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</si>
  <si>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</si>
  <si>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</si>
  <si>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</si>
  <si>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</si>
  <si>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</si>
  <si>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</si>
  <si>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</si>
  <si>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</si>
  <si>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</si>
  <si>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</si>
  <si>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</si>
  <si>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</si>
  <si>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</si>
  <si>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</si>
  <si>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</si>
  <si>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</si>
  <si>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</si>
  <si>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</si>
  <si>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</si>
  <si>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</si>
  <si>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</si>
  <si>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</si>
  <si>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</si>
  <si>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</si>
  <si>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</si>
  <si>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</si>
  <si>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</si>
  <si>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</si>
  <si>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</si>
  <si>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</si>
  <si>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</si>
  <si>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</si>
  <si>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</si>
  <si>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</si>
  <si>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</si>
  <si>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</si>
  <si>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</si>
  <si>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</si>
  <si>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</si>
  <si>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</si>
  <si>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</si>
  <si>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</si>
  <si>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</si>
  <si>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</si>
  <si>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</si>
  <si>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</si>
  <si>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</si>
  <si>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</si>
  <si>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</si>
  <si>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</si>
  <si>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</si>
  <si>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</si>
  <si>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</si>
  <si>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</si>
  <si>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</si>
  <si>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</si>
  <si>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</si>
  <si>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</si>
  <si>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</si>
  <si>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</si>
  <si>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</si>
  <si>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</si>
  <si>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</si>
  <si>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</si>
  <si>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</si>
  <si>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</si>
  <si>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</si>
  <si>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</si>
  <si>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</si>
  <si>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</si>
  <si>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</si>
  <si>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</si>
  <si>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</si>
  <si>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</si>
  <si>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</si>
  <si>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</si>
  <si>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</si>
  <si>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</si>
  <si>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</si>
  <si>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</si>
  <si>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</si>
  <si>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</si>
  <si>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</si>
  <si>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</si>
  <si>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</si>
  <si>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</si>
  <si>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</si>
  <si>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</si>
  <si>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</si>
  <si>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</si>
  <si>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</si>
  <si>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</si>
  <si>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</si>
  <si>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</si>
  <si>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</si>
  <si>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</si>
  <si>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</si>
  <si>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</si>
  <si>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</si>
  <si>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</si>
  <si>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</si>
  <si>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</si>
  <si>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</si>
  <si>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</si>
  <si>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</si>
  <si>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</si>
  <si>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</si>
  <si>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</si>
  <si>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</si>
  <si>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</si>
  <si>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</si>
  <si>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</si>
  <si>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</si>
  <si>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</si>
  <si>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</si>
  <si>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</si>
  <si>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</si>
  <si>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</si>
  <si>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</si>
  <si>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</si>
  <si>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</si>
  <si>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</si>
  <si>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</si>
  <si>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</si>
  <si>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</si>
  <si>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</si>
  <si>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</si>
  <si>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</si>
  <si>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</si>
  <si>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</si>
  <si>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</si>
  <si>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</si>
  <si>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</si>
  <si>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</si>
  <si>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</si>
  <si>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</si>
  <si>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</si>
  <si>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</si>
  <si>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</si>
  <si>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</si>
  <si>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</si>
  <si>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</si>
  <si>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</si>
  <si>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</si>
  <si>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</si>
  <si>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</si>
  <si>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</si>
  <si>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</si>
  <si>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</si>
  <si>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</si>
  <si>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</si>
  <si>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</si>
  <si>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</si>
  <si>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</si>
  <si>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</si>
  <si>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</si>
  <si>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</si>
  <si>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</si>
  <si>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</si>
  <si>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</si>
  <si>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</si>
  <si>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</si>
  <si>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</si>
  <si>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</si>
  <si>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</si>
  <si>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</si>
  <si>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</si>
  <si>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</si>
  <si>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</si>
  <si>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</si>
  <si>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</si>
  <si>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</si>
  <si>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</si>
  <si>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</si>
  <si>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</si>
  <si>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</si>
  <si>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</si>
  <si>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</si>
  <si>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</si>
  <si>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</si>
  <si>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</si>
  <si>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</si>
  <si>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</si>
  <si>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</si>
  <si>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</si>
  <si>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</si>
  <si>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</si>
  <si>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</si>
  <si>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</si>
  <si>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</si>
  <si>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</si>
  <si>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</si>
  <si>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</si>
  <si>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</si>
  <si>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</si>
  <si>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</si>
  <si>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</si>
  <si>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</si>
  <si>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</si>
  <si>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</si>
  <si>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</si>
  <si>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</si>
  <si>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</si>
  <si>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</si>
  <si>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</si>
  <si>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</si>
  <si>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</si>
  <si>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</si>
  <si>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</si>
  <si>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</si>
  <si>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</si>
  <si>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</si>
  <si>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</si>
  <si>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</si>
  <si>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</si>
  <si>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</si>
  <si>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</si>
  <si>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</si>
  <si>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</si>
  <si>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</si>
  <si>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</si>
  <si>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</si>
  <si>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</si>
  <si>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</si>
  <si>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</si>
  <si>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</si>
  <si>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</si>
  <si>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</si>
  <si>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</si>
  <si>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</si>
  <si>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</si>
  <si>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</si>
  <si>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</si>
  <si>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</si>
  <si>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</si>
  <si>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</si>
  <si>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</si>
  <si>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</si>
  <si>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</si>
  <si>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</si>
  <si>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</si>
  <si>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</si>
  <si>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</si>
  <si>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</si>
  <si>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</si>
  <si>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</si>
  <si>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</si>
  <si>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</si>
  <si>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</si>
  <si>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</si>
  <si>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</si>
  <si>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</si>
  <si>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</si>
  <si>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</si>
  <si>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</si>
  <si>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</si>
  <si>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</si>
  <si>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</si>
  <si>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</si>
  <si>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</si>
  <si>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</si>
  <si>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</si>
  <si>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</si>
  <si>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</si>
  <si>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</si>
  <si>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</si>
  <si>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</si>
  <si>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</si>
  <si>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</si>
  <si>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</si>
  <si>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</si>
  <si>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</si>
  <si>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</si>
  <si>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</si>
  <si>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</si>
  <si>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</si>
  <si>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</si>
  <si>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</si>
  <si>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</si>
  <si>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</si>
  <si>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</si>
  <si>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</si>
  <si>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</si>
  <si>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</si>
  <si>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</si>
  <si>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</si>
  <si>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</si>
  <si>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</si>
  <si>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</si>
  <si>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</si>
  <si>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</si>
  <si>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</si>
  <si>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</si>
  <si>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</si>
  <si>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</si>
  <si>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</si>
  <si>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</si>
  <si>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</si>
  <si>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</si>
  <si>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</si>
  <si>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</si>
  <si>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</si>
  <si>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</si>
  <si>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</si>
  <si>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</si>
  <si>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</si>
  <si>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</si>
  <si>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</si>
  <si>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</si>
  <si>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</si>
  <si>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</si>
  <si>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</si>
  <si>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</si>
  <si>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</si>
  <si>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</si>
  <si>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</si>
  <si>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</si>
  <si>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</si>
  <si>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</si>
  <si>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</si>
  <si>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</si>
  <si>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</si>
  <si>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</si>
  <si>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</si>
  <si>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</si>
  <si>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</si>
  <si>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</si>
  <si>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</si>
  <si>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</si>
  <si>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</si>
  <si>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</si>
  <si>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</si>
  <si>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</si>
  <si>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</si>
  <si>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</si>
  <si>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</si>
  <si>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</si>
  <si>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</si>
  <si>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</si>
  <si>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</si>
  <si>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</si>
  <si>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</si>
  <si>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</si>
  <si>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</si>
  <si>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</si>
  <si>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</si>
  <si>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</si>
  <si>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</si>
  <si>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</si>
  <si>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</si>
  <si>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</si>
  <si>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</si>
  <si>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</si>
  <si>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</si>
  <si>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</si>
  <si>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</si>
  <si>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</si>
  <si>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</si>
  <si>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</si>
  <si>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</si>
  <si>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</si>
  <si>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</si>
  <si>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</si>
  <si>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</si>
  <si>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</si>
  <si>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</si>
  <si>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</si>
  <si>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</si>
  <si>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</si>
  <si>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</si>
  <si>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</si>
  <si>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</si>
  <si>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</si>
  <si>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</si>
  <si>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</si>
  <si>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</si>
  <si>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</si>
  <si>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</si>
  <si>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</si>
  <si>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</si>
  <si>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</si>
  <si>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</si>
  <si>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</si>
  <si>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</si>
  <si>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</si>
  <si>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</si>
  <si>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</si>
  <si>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</si>
  <si>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</si>
  <si>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</si>
  <si>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</si>
  <si>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</si>
  <si>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</si>
  <si>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</si>
  <si>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</si>
  <si>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</si>
  <si>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</si>
  <si>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</si>
  <si>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</si>
  <si>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</si>
  <si>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</si>
  <si>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</si>
  <si>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</si>
  <si>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</si>
  <si>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</si>
  <si>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</si>
  <si>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</si>
  <si>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</si>
  <si>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</si>
  <si>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</si>
  <si>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</si>
  <si>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</si>
  <si>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</si>
  <si>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</si>
  <si>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</si>
  <si>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</si>
  <si>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</si>
  <si>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</si>
  <si>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</si>
  <si>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</si>
  <si>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</si>
  <si>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</si>
  <si>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</si>
  <si>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</si>
  <si>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</si>
  <si>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</si>
  <si>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</si>
  <si>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</si>
  <si>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</si>
  <si>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</si>
  <si>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</si>
  <si>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</si>
  <si>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</si>
  <si>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</si>
  <si>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</si>
  <si>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</si>
  <si>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</si>
  <si>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</si>
  <si>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</si>
  <si>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</si>
  <si>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</si>
  <si>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</si>
  <si>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</si>
  <si>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</si>
  <si>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</si>
  <si>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</si>
  <si>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</si>
  <si>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</si>
  <si>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</si>
  <si>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</si>
  <si>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</si>
  <si>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</si>
  <si>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</si>
  <si>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</si>
  <si>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</si>
  <si>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</si>
  <si>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</si>
  <si>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</si>
  <si>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</si>
  <si>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</si>
  <si>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</si>
  <si>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</si>
  <si>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</si>
  <si>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</si>
  <si>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</si>
  <si>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</si>
  <si>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</si>
  <si>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</si>
  <si>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</si>
  <si>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</si>
  <si>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</si>
  <si>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</si>
  <si>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</si>
  <si>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</si>
  <si>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</si>
  <si>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</si>
  <si>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</si>
  <si>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</si>
  <si>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</si>
  <si>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</si>
  <si>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</si>
  <si>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</si>
  <si>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</si>
  <si>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</si>
  <si>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</si>
  <si>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</si>
  <si>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</si>
  <si>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</si>
  <si>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</si>
  <si>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</si>
  <si>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</si>
  <si>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</si>
  <si>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</si>
  <si>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</si>
  <si>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</si>
  <si>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</si>
  <si>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</si>
  <si>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</si>
  <si>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</si>
  <si>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</si>
  <si>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</si>
  <si>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</si>
  <si>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</si>
  <si>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</si>
  <si>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</si>
  <si>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</si>
  <si>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</si>
  <si>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</si>
  <si>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</si>
  <si>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</si>
  <si>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</si>
  <si>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</si>
  <si>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</si>
  <si>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</si>
  <si>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</si>
  <si>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</si>
  <si>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</si>
  <si>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</si>
  <si>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</si>
  <si>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</si>
  <si>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</si>
  <si>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</si>
  <si>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</si>
  <si>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</si>
  <si>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</si>
  <si>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</si>
  <si>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</si>
  <si>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</si>
  <si>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</si>
  <si>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</si>
  <si>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</si>
  <si>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</si>
  <si>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</si>
  <si>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</si>
  <si>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</si>
  <si>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</si>
  <si>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</si>
  <si>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</si>
  <si>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</si>
  <si>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</si>
  <si>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</si>
  <si>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</si>
  <si>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</si>
  <si>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</si>
  <si>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</si>
  <si>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</si>
  <si>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</si>
  <si>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</si>
  <si>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</si>
  <si>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</si>
  <si>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</si>
  <si>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</si>
  <si>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</si>
  <si>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</si>
  <si>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</si>
  <si>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</si>
  <si>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</si>
  <si>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</si>
  <si>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</si>
  <si>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</si>
  <si>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</si>
  <si>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</si>
  <si>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</si>
  <si>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</si>
  <si>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</si>
  <si>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</si>
  <si>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</si>
  <si>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</si>
  <si>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</si>
  <si>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</si>
  <si>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</si>
  <si>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</si>
  <si>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</si>
  <si>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</si>
  <si>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</si>
  <si>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</si>
  <si>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</si>
  <si>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</si>
  <si>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</si>
  <si>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</si>
  <si>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</si>
  <si>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</si>
  <si>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</si>
  <si>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</si>
  <si>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</si>
  <si>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</si>
  <si>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</si>
  <si>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</si>
  <si>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</si>
  <si>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</si>
  <si>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</si>
  <si>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</si>
  <si>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</si>
  <si>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</si>
  <si>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</si>
  <si>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</si>
  <si>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</si>
  <si>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</si>
  <si>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23105</t>
  </si>
  <si>
    <t>AFFLIGEM</t>
  </si>
  <si>
    <t>Fluvius</t>
  </si>
  <si>
    <t>referentietaak LNE (2017); Jaarverslag De Lijn</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</si>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</sst>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110872.49766690466</c:v>
                </c:pt>
                <c:pt idx="1">
                  <c:v>19172.028117721915</c:v>
                </c:pt>
                <c:pt idx="2">
                  <c:v>845.30899999999997</c:v>
                </c:pt>
                <c:pt idx="3">
                  <c:v>995.77137147354199</c:v>
                </c:pt>
                <c:pt idx="4">
                  <c:v>4227.6619747008544</c:v>
                </c:pt>
                <c:pt idx="5">
                  <c:v>217074.12843436029</c:v>
                </c:pt>
                <c:pt idx="6">
                  <c:v>1442.5495514235913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110872.49766690466</c:v>
                </c:pt>
                <c:pt idx="1">
                  <c:v>19172.028117721915</c:v>
                </c:pt>
                <c:pt idx="2">
                  <c:v>845.30899999999997</c:v>
                </c:pt>
                <c:pt idx="3">
                  <c:v>995.77137147354199</c:v>
                </c:pt>
                <c:pt idx="4">
                  <c:v>4227.6619747008544</c:v>
                </c:pt>
                <c:pt idx="5">
                  <c:v>217074.12843436029</c:v>
                </c:pt>
                <c:pt idx="6">
                  <c:v>1442.5495514235913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23192.467085643035</c:v>
                </c:pt>
                <c:pt idx="2">
                  <c:v>3850.2734378502591</c:v>
                </c:pt>
                <c:pt idx="3">
                  <c:v>172.10317594964954</c:v>
                </c:pt>
                <c:pt idx="4">
                  <c:v>253.25981949719758</c:v>
                </c:pt>
                <c:pt idx="5">
                  <c:v>873.54676469421588</c:v>
                </c:pt>
                <c:pt idx="6">
                  <c:v>54368.311732613089</c:v>
                </c:pt>
                <c:pt idx="7">
                  <c:v>364.46243643726763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23192.467085643035</c:v>
                </c:pt>
                <c:pt idx="2">
                  <c:v>3850.2734378502591</c:v>
                </c:pt>
                <c:pt idx="3">
                  <c:v>172.10317594964954</c:v>
                </c:pt>
                <c:pt idx="4">
                  <c:v>253.25981949719758</c:v>
                </c:pt>
                <c:pt idx="5">
                  <c:v>873.54676469421588</c:v>
                </c:pt>
                <c:pt idx="6">
                  <c:v>54368.311732613089</c:v>
                </c:pt>
                <c:pt idx="7">
                  <c:v>364.46243643726763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23105</v>
      </c>
      <c r="B6" s="390"/>
      <c r="C6" s="391"/>
    </row>
    <row r="7" spans="1:7" s="388" customFormat="1" ht="15.75" customHeight="1">
      <c r="A7" s="392" t="str">
        <f>txtMunicipality</f>
        <v>AFFLIGEM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0.20359794578035909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0.20359794578035909</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5150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594.57000000000005</v>
      </c>
      <c r="C14" s="330"/>
      <c r="D14" s="330"/>
      <c r="E14" s="330"/>
      <c r="F14" s="330"/>
    </row>
    <row r="15" spans="1:6">
      <c r="A15" s="1293" t="s">
        <v>183</v>
      </c>
      <c r="B15" s="1294">
        <v>1</v>
      </c>
      <c r="C15" s="330"/>
      <c r="D15" s="330"/>
      <c r="E15" s="330"/>
      <c r="F15" s="330"/>
    </row>
    <row r="16" spans="1:6">
      <c r="A16" s="1293" t="s">
        <v>6</v>
      </c>
      <c r="B16" s="1294">
        <v>79</v>
      </c>
      <c r="C16" s="330"/>
      <c r="D16" s="330"/>
      <c r="E16" s="330"/>
      <c r="F16" s="330"/>
    </row>
    <row r="17" spans="1:6">
      <c r="A17" s="1293" t="s">
        <v>7</v>
      </c>
      <c r="B17" s="1294">
        <v>67</v>
      </c>
      <c r="C17" s="330"/>
      <c r="D17" s="330"/>
      <c r="E17" s="330"/>
      <c r="F17" s="330"/>
    </row>
    <row r="18" spans="1:6">
      <c r="A18" s="1293" t="s">
        <v>8</v>
      </c>
      <c r="B18" s="1294">
        <v>102</v>
      </c>
      <c r="C18" s="330"/>
      <c r="D18" s="330"/>
      <c r="E18" s="330"/>
      <c r="F18" s="330"/>
    </row>
    <row r="19" spans="1:6">
      <c r="A19" s="1293" t="s">
        <v>9</v>
      </c>
      <c r="B19" s="1294">
        <v>85</v>
      </c>
      <c r="C19" s="330"/>
      <c r="D19" s="330"/>
      <c r="E19" s="330"/>
      <c r="F19" s="330"/>
    </row>
    <row r="20" spans="1:6">
      <c r="A20" s="1293" t="s">
        <v>10</v>
      </c>
      <c r="B20" s="1294">
        <v>220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106</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2359</v>
      </c>
      <c r="D39" s="1294">
        <v>41309279.422599301</v>
      </c>
      <c r="E39" s="1294">
        <v>4991</v>
      </c>
      <c r="F39" s="1294">
        <v>21826429.208960701</v>
      </c>
    </row>
    <row r="40" spans="1:6">
      <c r="A40" s="1293" t="s">
        <v>29</v>
      </c>
      <c r="B40" s="1293" t="s">
        <v>28</v>
      </c>
      <c r="C40" s="1294">
        <v>1</v>
      </c>
      <c r="D40" s="1294">
        <v>31085.121776684799</v>
      </c>
      <c r="E40" s="1294">
        <v>1</v>
      </c>
      <c r="F40" s="1294">
        <v>7379.4356806704</v>
      </c>
    </row>
    <row r="41" spans="1:6">
      <c r="A41" s="1293" t="s">
        <v>31</v>
      </c>
      <c r="B41" s="1293" t="s">
        <v>32</v>
      </c>
      <c r="C41" s="1294">
        <v>29</v>
      </c>
      <c r="D41" s="1294">
        <v>658078.24714014598</v>
      </c>
      <c r="E41" s="1294">
        <v>77</v>
      </c>
      <c r="F41" s="1294">
        <v>442845.79450562602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50174.5260537102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18</v>
      </c>
      <c r="D48" s="1294">
        <v>892949.90661136794</v>
      </c>
      <c r="E48" s="1294">
        <v>31</v>
      </c>
      <c r="F48" s="1294">
        <v>911169.20126174798</v>
      </c>
    </row>
    <row r="49" spans="1:6">
      <c r="A49" s="1293" t="s">
        <v>31</v>
      </c>
      <c r="B49" s="1293" t="s">
        <v>39</v>
      </c>
      <c r="C49" s="1294">
        <v>0</v>
      </c>
      <c r="D49" s="1294">
        <v>0</v>
      </c>
      <c r="E49" s="1294">
        <v>0</v>
      </c>
      <c r="F49" s="1294">
        <v>0</v>
      </c>
    </row>
    <row r="50" spans="1:6">
      <c r="A50" s="1293" t="s">
        <v>31</v>
      </c>
      <c r="B50" s="1293" t="s">
        <v>40</v>
      </c>
      <c r="C50" s="1294">
        <v>4</v>
      </c>
      <c r="D50" s="1294">
        <v>238097.687316494</v>
      </c>
      <c r="E50" s="1294">
        <v>10</v>
      </c>
      <c r="F50" s="1294">
        <v>339949.43077582301</v>
      </c>
    </row>
    <row r="51" spans="1:6">
      <c r="A51" s="1293" t="s">
        <v>41</v>
      </c>
      <c r="B51" s="1293" t="s">
        <v>42</v>
      </c>
      <c r="C51" s="1294">
        <v>0</v>
      </c>
      <c r="D51" s="1294">
        <v>0</v>
      </c>
      <c r="E51" s="1294">
        <v>20</v>
      </c>
      <c r="F51" s="1294">
        <v>152443.693363839</v>
      </c>
    </row>
    <row r="52" spans="1:6">
      <c r="A52" s="1293" t="s">
        <v>41</v>
      </c>
      <c r="B52" s="1293" t="s">
        <v>28</v>
      </c>
      <c r="C52" s="1294">
        <v>2</v>
      </c>
      <c r="D52" s="1294">
        <v>58571.183389872</v>
      </c>
      <c r="E52" s="1294">
        <v>2</v>
      </c>
      <c r="F52" s="1294">
        <v>24129.668423365601</v>
      </c>
    </row>
    <row r="53" spans="1:6">
      <c r="A53" s="1293" t="s">
        <v>43</v>
      </c>
      <c r="B53" s="1293" t="s">
        <v>44</v>
      </c>
      <c r="C53" s="1294">
        <v>44</v>
      </c>
      <c r="D53" s="1294">
        <v>944200.98810547695</v>
      </c>
      <c r="E53" s="1294">
        <v>151</v>
      </c>
      <c r="F53" s="1294">
        <v>636615.42710322095</v>
      </c>
    </row>
    <row r="54" spans="1:6">
      <c r="A54" s="1293" t="s">
        <v>45</v>
      </c>
      <c r="B54" s="1293" t="s">
        <v>46</v>
      </c>
      <c r="C54" s="1294">
        <v>0</v>
      </c>
      <c r="D54" s="1294">
        <v>0</v>
      </c>
      <c r="E54" s="1294">
        <v>1</v>
      </c>
      <c r="F54" s="1294">
        <v>845309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14</v>
      </c>
      <c r="D57" s="1294">
        <v>1256425.88723854</v>
      </c>
      <c r="E57" s="1294">
        <v>48</v>
      </c>
      <c r="F57" s="1294">
        <v>512552.92246615002</v>
      </c>
    </row>
    <row r="58" spans="1:6">
      <c r="A58" s="1293" t="s">
        <v>48</v>
      </c>
      <c r="B58" s="1293" t="s">
        <v>50</v>
      </c>
      <c r="C58" s="1294">
        <v>10</v>
      </c>
      <c r="D58" s="1294">
        <v>337122.94482857699</v>
      </c>
      <c r="E58" s="1294">
        <v>31</v>
      </c>
      <c r="F58" s="1294">
        <v>309578.116722418</v>
      </c>
    </row>
    <row r="59" spans="1:6">
      <c r="A59" s="1293" t="s">
        <v>48</v>
      </c>
      <c r="B59" s="1293" t="s">
        <v>51</v>
      </c>
      <c r="C59" s="1294">
        <v>32</v>
      </c>
      <c r="D59" s="1294">
        <v>1186698.3570494601</v>
      </c>
      <c r="E59" s="1294">
        <v>93</v>
      </c>
      <c r="F59" s="1294">
        <v>1794346.6641236399</v>
      </c>
    </row>
    <row r="60" spans="1:6">
      <c r="A60" s="1293" t="s">
        <v>48</v>
      </c>
      <c r="B60" s="1293" t="s">
        <v>52</v>
      </c>
      <c r="C60" s="1294">
        <v>26</v>
      </c>
      <c r="D60" s="1294">
        <v>1886656.6103713301</v>
      </c>
      <c r="E60" s="1294">
        <v>48</v>
      </c>
      <c r="F60" s="1294">
        <v>1588497.7210108</v>
      </c>
    </row>
    <row r="61" spans="1:6">
      <c r="A61" s="1293" t="s">
        <v>48</v>
      </c>
      <c r="B61" s="1293" t="s">
        <v>53</v>
      </c>
      <c r="C61" s="1294">
        <v>51</v>
      </c>
      <c r="D61" s="1294">
        <v>2254990.9383926601</v>
      </c>
      <c r="E61" s="1294">
        <v>167</v>
      </c>
      <c r="F61" s="1294">
        <v>1777113.68419783</v>
      </c>
    </row>
    <row r="62" spans="1:6">
      <c r="A62" s="1293" t="s">
        <v>48</v>
      </c>
      <c r="B62" s="1293" t="s">
        <v>54</v>
      </c>
      <c r="C62" s="1294">
        <v>0</v>
      </c>
      <c r="D62" s="1294">
        <v>0</v>
      </c>
      <c r="E62" s="1294">
        <v>3</v>
      </c>
      <c r="F62" s="1294">
        <v>30011</v>
      </c>
    </row>
    <row r="63" spans="1:6">
      <c r="A63" s="1293" t="s">
        <v>48</v>
      </c>
      <c r="B63" s="1293" t="s">
        <v>28</v>
      </c>
      <c r="C63" s="1294">
        <v>76</v>
      </c>
      <c r="D63" s="1294">
        <v>4398507.6552264802</v>
      </c>
      <c r="E63" s="1294">
        <v>89</v>
      </c>
      <c r="F63" s="1294">
        <v>1100647.54269359</v>
      </c>
    </row>
    <row r="64" spans="1:6">
      <c r="A64" s="1293" t="s">
        <v>55</v>
      </c>
      <c r="B64" s="1293" t="s">
        <v>56</v>
      </c>
      <c r="C64" s="1294">
        <v>0</v>
      </c>
      <c r="D64" s="1294">
        <v>0</v>
      </c>
      <c r="E64" s="1294">
        <v>0</v>
      </c>
      <c r="F64" s="1294">
        <v>0</v>
      </c>
    </row>
    <row r="65" spans="1:6">
      <c r="A65" s="1293" t="s">
        <v>55</v>
      </c>
      <c r="B65" s="1293" t="s">
        <v>28</v>
      </c>
      <c r="C65" s="1294">
        <v>4</v>
      </c>
      <c r="D65" s="1294">
        <v>106878.131812109</v>
      </c>
      <c r="E65" s="1294">
        <v>3</v>
      </c>
      <c r="F65" s="1294">
        <v>79285.998226139607</v>
      </c>
    </row>
    <row r="66" spans="1:6">
      <c r="A66" s="1293" t="s">
        <v>55</v>
      </c>
      <c r="B66" s="1293" t="s">
        <v>57</v>
      </c>
      <c r="C66" s="1294">
        <v>0</v>
      </c>
      <c r="D66" s="1294">
        <v>0</v>
      </c>
      <c r="E66" s="1294">
        <v>7</v>
      </c>
      <c r="F66" s="1294">
        <v>117008.806838155</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49668.504945993198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19015520</v>
      </c>
      <c r="E73" s="449"/>
      <c r="F73" s="330"/>
    </row>
    <row r="74" spans="1:6">
      <c r="A74" s="1293" t="s">
        <v>63</v>
      </c>
      <c r="B74" s="1293" t="s">
        <v>656</v>
      </c>
      <c r="C74" s="1307" t="s">
        <v>658</v>
      </c>
      <c r="D74" s="1308">
        <v>1047631.5</v>
      </c>
      <c r="E74" s="449"/>
      <c r="F74" s="330"/>
    </row>
    <row r="75" spans="1:6">
      <c r="A75" s="1293" t="s">
        <v>64</v>
      </c>
      <c r="B75" s="1293" t="s">
        <v>655</v>
      </c>
      <c r="C75" s="1307" t="s">
        <v>659</v>
      </c>
      <c r="D75" s="1308">
        <v>27558634</v>
      </c>
      <c r="E75" s="449"/>
      <c r="F75" s="330"/>
    </row>
    <row r="76" spans="1:6">
      <c r="A76" s="1293" t="s">
        <v>64</v>
      </c>
      <c r="B76" s="1293" t="s">
        <v>656</v>
      </c>
      <c r="C76" s="1307" t="s">
        <v>660</v>
      </c>
      <c r="D76" s="1308">
        <v>1249996.5</v>
      </c>
      <c r="E76" s="449"/>
      <c r="F76" s="330"/>
    </row>
    <row r="77" spans="1:6">
      <c r="A77" s="1293" t="s">
        <v>65</v>
      </c>
      <c r="B77" s="1293" t="s">
        <v>655</v>
      </c>
      <c r="C77" s="1307" t="s">
        <v>661</v>
      </c>
      <c r="D77" s="1308">
        <v>172258456</v>
      </c>
      <c r="E77" s="449"/>
      <c r="F77" s="330"/>
    </row>
    <row r="78" spans="1:6">
      <c r="A78" s="1288" t="s">
        <v>65</v>
      </c>
      <c r="B78" s="1288" t="s">
        <v>656</v>
      </c>
      <c r="C78" s="1288" t="s">
        <v>662</v>
      </c>
      <c r="D78" s="1309">
        <v>21677427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393429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2623.1718500613988</v>
      </c>
      <c r="C91" s="330"/>
      <c r="D91" s="330"/>
      <c r="E91" s="330"/>
      <c r="F91" s="330"/>
    </row>
    <row r="92" spans="1:6">
      <c r="A92" s="1288" t="s">
        <v>68</v>
      </c>
      <c r="B92" s="1289">
        <v>142.63609737997436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664</v>
      </c>
      <c r="C97" s="330"/>
      <c r="D97" s="330"/>
      <c r="E97" s="330"/>
      <c r="F97" s="330"/>
    </row>
    <row r="98" spans="1:6">
      <c r="A98" s="1293" t="s">
        <v>71</v>
      </c>
      <c r="B98" s="1294">
        <v>1</v>
      </c>
      <c r="C98" s="330"/>
      <c r="D98" s="330"/>
      <c r="E98" s="330"/>
      <c r="F98" s="330"/>
    </row>
    <row r="99" spans="1:6">
      <c r="A99" s="1293" t="s">
        <v>72</v>
      </c>
      <c r="B99" s="1294">
        <v>102</v>
      </c>
      <c r="C99" s="330"/>
      <c r="D99" s="330"/>
      <c r="E99" s="330"/>
      <c r="F99" s="330"/>
    </row>
    <row r="100" spans="1:6">
      <c r="A100" s="1293" t="s">
        <v>73</v>
      </c>
      <c r="B100" s="1294">
        <v>471</v>
      </c>
      <c r="C100" s="330"/>
      <c r="D100" s="330"/>
      <c r="E100" s="330"/>
      <c r="F100" s="330"/>
    </row>
    <row r="101" spans="1:6">
      <c r="A101" s="1293" t="s">
        <v>74</v>
      </c>
      <c r="B101" s="1294">
        <v>40</v>
      </c>
      <c r="C101" s="330"/>
      <c r="D101" s="330"/>
      <c r="E101" s="330"/>
      <c r="F101" s="330"/>
    </row>
    <row r="102" spans="1:6">
      <c r="A102" s="1293" t="s">
        <v>75</v>
      </c>
      <c r="B102" s="1294">
        <v>52</v>
      </c>
      <c r="C102" s="330"/>
      <c r="D102" s="330"/>
      <c r="E102" s="330"/>
      <c r="F102" s="330"/>
    </row>
    <row r="103" spans="1:6">
      <c r="A103" s="1293" t="s">
        <v>76</v>
      </c>
      <c r="B103" s="1294">
        <v>128</v>
      </c>
      <c r="C103" s="330"/>
      <c r="D103" s="330"/>
      <c r="E103" s="330"/>
      <c r="F103" s="330"/>
    </row>
    <row r="104" spans="1:6">
      <c r="A104" s="1293" t="s">
        <v>77</v>
      </c>
      <c r="B104" s="1294">
        <v>2995</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35</v>
      </c>
      <c r="C123" s="1294">
        <v>20</v>
      </c>
      <c r="D123" s="330"/>
      <c r="E123" s="330"/>
      <c r="F123" s="330"/>
    </row>
    <row r="124" spans="1:6" s="43" customFormat="1">
      <c r="A124" s="1295" t="s">
        <v>88</v>
      </c>
      <c r="B124" s="1316">
        <v>3</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108</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35086.050347611701</v>
      </c>
      <c r="C3" s="43" t="s">
        <v>169</v>
      </c>
      <c r="D3" s="43"/>
      <c r="E3" s="154"/>
      <c r="F3" s="43"/>
      <c r="G3" s="43"/>
      <c r="H3" s="43"/>
      <c r="I3" s="43"/>
      <c r="J3" s="43"/>
      <c r="K3" s="96"/>
    </row>
    <row r="4" spans="1:11">
      <c r="A4" s="358" t="s">
        <v>170</v>
      </c>
      <c r="B4" s="49">
        <f>IF(ISERROR('SEAP template'!B78+'SEAP template'!C78),0,'SEAP template'!B78+'SEAP template'!C78)</f>
        <v>2806.307947441373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9.6247058823529414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0.20359794578035909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13.749579831932778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57.857142857142861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845.30899999999997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845.30899999999997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0.20359794578035909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172.10317594964954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21833.808644641369</v>
      </c>
      <c r="C5" s="17">
        <f>IF(ISERROR('Eigen informatie GS &amp; warmtenet'!B57),0,'Eigen informatie GS &amp; warmtenet'!B57)</f>
        <v>0</v>
      </c>
      <c r="D5" s="30">
        <f>(SUM(HH_hh_gas_kWh,HH_rest_gas_kWh)/1000)*0.902</f>
        <v>37289.008819027142</v>
      </c>
      <c r="E5" s="17">
        <f>B46*B57</f>
        <v>11019.10165874907</v>
      </c>
      <c r="F5" s="17">
        <f>B51*B62</f>
        <v>30634.308011055127</v>
      </c>
      <c r="G5" s="18"/>
      <c r="H5" s="17"/>
      <c r="I5" s="17"/>
      <c r="J5" s="17">
        <f>B50*B61+C50*C61</f>
        <v>0</v>
      </c>
      <c r="K5" s="17"/>
      <c r="L5" s="17"/>
      <c r="M5" s="17"/>
      <c r="N5" s="17">
        <f>B48*B59+C48*C59</f>
        <v>5955.828683370557</v>
      </c>
      <c r="O5" s="17">
        <f>B69*B70*B71</f>
        <v>201.67000000000004</v>
      </c>
      <c r="P5" s="17">
        <f>B77*B78*B79/1000-B77*B78*B79/1000/B80</f>
        <v>1315.6</v>
      </c>
    </row>
    <row r="6" spans="1:16">
      <c r="A6" s="16" t="s">
        <v>620</v>
      </c>
      <c r="B6" s="762">
        <f>kWh_PV_kleiner_dan_10kW</f>
        <v>2623.1718500613988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24456.980494702766</v>
      </c>
      <c r="C8" s="21">
        <f>C5</f>
        <v>0</v>
      </c>
      <c r="D8" s="21">
        <f>D5</f>
        <v>37289.008819027142</v>
      </c>
      <c r="E8" s="21">
        <f>E5</f>
        <v>11019.10165874907</v>
      </c>
      <c r="F8" s="21">
        <f>F5</f>
        <v>30634.308011055127</v>
      </c>
      <c r="G8" s="21"/>
      <c r="H8" s="21"/>
      <c r="I8" s="21"/>
      <c r="J8" s="21">
        <f>J5</f>
        <v>0</v>
      </c>
      <c r="K8" s="21"/>
      <c r="L8" s="21">
        <f>L5</f>
        <v>0</v>
      </c>
      <c r="M8" s="21">
        <f>M5</f>
        <v>0</v>
      </c>
      <c r="N8" s="21">
        <f>N5</f>
        <v>5955.828683370557</v>
      </c>
      <c r="O8" s="21">
        <f>O5</f>
        <v>201.67000000000004</v>
      </c>
      <c r="P8" s="21">
        <f>P5</f>
        <v>1315.6</v>
      </c>
    </row>
    <row r="9" spans="1:16">
      <c r="B9" s="19"/>
      <c r="C9" s="19"/>
      <c r="D9" s="258"/>
      <c r="E9" s="19"/>
      <c r="F9" s="19"/>
      <c r="G9" s="19"/>
      <c r="H9" s="19"/>
      <c r="I9" s="19"/>
      <c r="J9" s="19"/>
      <c r="K9" s="19"/>
      <c r="L9" s="19"/>
      <c r="M9" s="19"/>
      <c r="N9" s="19"/>
      <c r="O9" s="19"/>
      <c r="P9" s="19"/>
    </row>
    <row r="10" spans="1:16">
      <c r="A10" s="24" t="s">
        <v>213</v>
      </c>
      <c r="B10" s="25">
        <f ca="1">'EF ele_warmte'!B12</f>
        <v>0.20359794578035909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4979.3909887117934</v>
      </c>
      <c r="C12" s="23">
        <f ca="1">C10*C8</f>
        <v>0</v>
      </c>
      <c r="D12" s="23">
        <f>D8*D10</f>
        <v>7532.3797814434829</v>
      </c>
      <c r="E12" s="23">
        <f>E10*E8</f>
        <v>2501.3360765360389</v>
      </c>
      <c r="F12" s="23">
        <f>F10*F8</f>
        <v>8179.3602389517191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664</v>
      </c>
      <c r="C18" s="166" t="s">
        <v>110</v>
      </c>
      <c r="D18" s="228"/>
      <c r="E18" s="15"/>
    </row>
    <row r="19" spans="1:7">
      <c r="A19" s="171" t="s">
        <v>71</v>
      </c>
      <c r="B19" s="37">
        <f>aantalw2001_ander</f>
        <v>1</v>
      </c>
      <c r="C19" s="166" t="s">
        <v>110</v>
      </c>
      <c r="D19" s="229"/>
      <c r="E19" s="15"/>
    </row>
    <row r="20" spans="1:7">
      <c r="A20" s="171" t="s">
        <v>72</v>
      </c>
      <c r="B20" s="37">
        <f>aantalw2001_propaan</f>
        <v>102</v>
      </c>
      <c r="C20" s="167">
        <f>IF(ISERROR(B20/SUM($B$20,$B$21,$B$22)*100),0,B20/SUM($B$20,$B$21,$B$22)*100)</f>
        <v>16.639477977161501</v>
      </c>
      <c r="D20" s="229"/>
      <c r="E20" s="15"/>
    </row>
    <row r="21" spans="1:7">
      <c r="A21" s="171" t="s">
        <v>73</v>
      </c>
      <c r="B21" s="37">
        <f>aantalw2001_elektriciteit</f>
        <v>471</v>
      </c>
      <c r="C21" s="167">
        <f>IF(ISERROR(B21/SUM($B$20,$B$21,$B$22)*100),0,B21/SUM($B$20,$B$21,$B$22)*100)</f>
        <v>76.83523654159869</v>
      </c>
      <c r="D21" s="229"/>
      <c r="E21" s="15"/>
    </row>
    <row r="22" spans="1:7">
      <c r="A22" s="171" t="s">
        <v>74</v>
      </c>
      <c r="B22" s="37">
        <f>aantalw2001_hout</f>
        <v>40</v>
      </c>
      <c r="C22" s="167">
        <f>IF(ISERROR(B22/SUM($B$20,$B$21,$B$22)*100),0,B22/SUM($B$20,$B$21,$B$22)*100)</f>
        <v>6.5252854812398038</v>
      </c>
      <c r="D22" s="229"/>
      <c r="E22" s="15"/>
    </row>
    <row r="23" spans="1:7">
      <c r="A23" s="171" t="s">
        <v>75</v>
      </c>
      <c r="B23" s="37">
        <f>aantalw2001_niet_gespec</f>
        <v>52</v>
      </c>
      <c r="C23" s="166" t="s">
        <v>110</v>
      </c>
      <c r="D23" s="228"/>
      <c r="E23" s="15"/>
    </row>
    <row r="24" spans="1:7">
      <c r="A24" s="171" t="s">
        <v>76</v>
      </c>
      <c r="B24" s="37">
        <f>aantalw2001_steenkool</f>
        <v>128</v>
      </c>
      <c r="C24" s="166" t="s">
        <v>110</v>
      </c>
      <c r="D24" s="229"/>
      <c r="E24" s="15"/>
    </row>
    <row r="25" spans="1:7">
      <c r="A25" s="171" t="s">
        <v>77</v>
      </c>
      <c r="B25" s="37">
        <f>aantalw2001_stookolie</f>
        <v>2995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5150</v>
      </c>
      <c r="C28" s="36"/>
      <c r="D28" s="228"/>
    </row>
    <row r="29" spans="1:7" s="15" customFormat="1">
      <c r="A29" s="230" t="s">
        <v>781</v>
      </c>
      <c r="B29" s="37">
        <f>SUM(HH_hh_gas_aantal,HH_rest_gas_aantal)</f>
        <v>2360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2360</v>
      </c>
      <c r="C32" s="167">
        <f>IF(ISERROR(B32/SUM($B$32,$B$34,$B$35,$B$36,$B$38,$B$39)*100),0,B32/SUM($B$32,$B$34,$B$35,$B$36,$B$38,$B$39)*100)</f>
        <v>46.447549694941941</v>
      </c>
      <c r="D32" s="233"/>
      <c r="G32" s="15"/>
    </row>
    <row r="33" spans="1:7">
      <c r="A33" s="171" t="s">
        <v>71</v>
      </c>
      <c r="B33" s="34" t="s">
        <v>110</v>
      </c>
      <c r="C33" s="167"/>
      <c r="D33" s="233"/>
      <c r="G33" s="15"/>
    </row>
    <row r="34" spans="1:7">
      <c r="A34" s="171" t="s">
        <v>72</v>
      </c>
      <c r="B34" s="33">
        <f>IF((($B$28-$B$32-$B$39-$B$77-$B$38)*C20/100)&lt;0,0,($B$28-$B$32-$B$39-$B$77-$B$38)*C20/100)</f>
        <v>208.39282218597066</v>
      </c>
      <c r="C34" s="167">
        <f>IF(ISERROR(B34/SUM($B$32,$B$34,$B$35,$B$36,$B$38,$B$39)*100),0,B34/SUM($B$32,$B$34,$B$35,$B$36,$B$38,$B$39)*100)</f>
        <v>4.1014135443017254</v>
      </c>
      <c r="D34" s="233"/>
      <c r="G34" s="15"/>
    </row>
    <row r="35" spans="1:7">
      <c r="A35" s="171" t="s">
        <v>73</v>
      </c>
      <c r="B35" s="33">
        <f>IF((($B$28-$B$32-$B$39-$B$77-$B$38)*C21/100)&lt;0,0,($B$28-$B$32-$B$39-$B$77-$B$38)*C21/100)</f>
        <v>962.28450244698206</v>
      </c>
      <c r="C35" s="167">
        <f>IF(ISERROR(B35/SUM($B$32,$B$34,$B$35,$B$36,$B$38,$B$39)*100),0,B35/SUM($B$32,$B$34,$B$35,$B$36,$B$38,$B$39)*100)</f>
        <v>18.938880189863845</v>
      </c>
      <c r="D35" s="233"/>
      <c r="G35" s="15"/>
    </row>
    <row r="36" spans="1:7">
      <c r="A36" s="171" t="s">
        <v>74</v>
      </c>
      <c r="B36" s="33">
        <f>IF((($B$28-$B$32-$B$39-$B$77-$B$38)*C22/100)&lt;0,0,($B$28-$B$32-$B$39-$B$77-$B$38)*C22/100)</f>
        <v>81.722675367047302</v>
      </c>
      <c r="C36" s="167">
        <f>IF(ISERROR(B36/SUM($B$32,$B$34,$B$35,$B$36,$B$38,$B$39)*100),0,B36/SUM($B$32,$B$34,$B$35,$B$36,$B$38,$B$39)*100)</f>
        <v>1.6083974683536173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1468.6</v>
      </c>
      <c r="C39" s="167">
        <f>IF(ISERROR(B39/SUM($B$32,$B$34,$B$35,$B$36,$B$38,$B$39)*100),0,B39/SUM($B$32,$B$34,$B$35,$B$36,$B$38,$B$39)*100)</f>
        <v>28.903759102538867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2360</v>
      </c>
      <c r="C44" s="34" t="s">
        <v>110</v>
      </c>
      <c r="D44" s="174"/>
    </row>
    <row r="45" spans="1:7">
      <c r="A45" s="171" t="s">
        <v>71</v>
      </c>
      <c r="B45" s="33" t="str">
        <f t="shared" si="0"/>
        <v>-</v>
      </c>
      <c r="C45" s="34" t="s">
        <v>110</v>
      </c>
      <c r="D45" s="174"/>
    </row>
    <row r="46" spans="1:7">
      <c r="A46" s="171" t="s">
        <v>72</v>
      </c>
      <c r="B46" s="33">
        <f t="shared" si="0"/>
        <v>208.39282218597066</v>
      </c>
      <c r="C46" s="34" t="s">
        <v>110</v>
      </c>
      <c r="D46" s="174"/>
    </row>
    <row r="47" spans="1:7">
      <c r="A47" s="171" t="s">
        <v>73</v>
      </c>
      <c r="B47" s="33">
        <f t="shared" si="0"/>
        <v>962.28450244698206</v>
      </c>
      <c r="C47" s="34" t="s">
        <v>110</v>
      </c>
      <c r="D47" s="174"/>
    </row>
    <row r="48" spans="1:7">
      <c r="A48" s="171" t="s">
        <v>74</v>
      </c>
      <c r="B48" s="33">
        <f t="shared" si="0"/>
        <v>81.722675367047302</v>
      </c>
      <c r="C48" s="33">
        <f>B48*10</f>
        <v>817.22675367047304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1468.6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7112.7476512144276</v>
      </c>
      <c r="C5" s="17">
        <f>IF(ISERROR('Eigen informatie GS &amp; warmtenet'!B58),0,'Eigen informatie GS &amp; warmtenet'!B58)</f>
        <v>0</v>
      </c>
      <c r="D5" s="30">
        <f>SUM(D6:D12)</f>
        <v>10211.002958582558</v>
      </c>
      <c r="E5" s="17">
        <f>SUM(E6:E12)</f>
        <v>102.58986020866229</v>
      </c>
      <c r="F5" s="17">
        <f>SUM(F6:F12)</f>
        <v>1189.4990204377589</v>
      </c>
      <c r="G5" s="18"/>
      <c r="H5" s="17"/>
      <c r="I5" s="17"/>
      <c r="J5" s="17">
        <f>SUM(J6:J12)</f>
        <v>1.379076059590487E-2</v>
      </c>
      <c r="K5" s="17"/>
      <c r="L5" s="17"/>
      <c r="M5" s="17"/>
      <c r="N5" s="17">
        <f>SUM(N6:N12)</f>
        <v>551.33864604172163</v>
      </c>
      <c r="O5" s="17">
        <f>B38*B39*B40</f>
        <v>3.1266666666666669</v>
      </c>
      <c r="P5" s="17">
        <f>B46*B47*B48/1000-B46*B47*B48/1000/B49</f>
        <v>19.066666666666666</v>
      </c>
      <c r="R5" s="32"/>
    </row>
    <row r="6" spans="1:18">
      <c r="A6" s="32" t="s">
        <v>53</v>
      </c>
      <c r="B6" s="37">
        <f>B26</f>
        <v>1777.11368419783</v>
      </c>
      <c r="C6" s="33"/>
      <c r="D6" s="37">
        <f>IF(ISERROR(TER_kantoor_gas_kWh/1000),0,TER_kantoor_gas_kWh/1000)*0.902</f>
        <v>2034.0018264301796</v>
      </c>
      <c r="E6" s="33">
        <f>$C$26*'E Balans VL '!I12/100/3.6*1000000</f>
        <v>1.1138357513800405E-2</v>
      </c>
      <c r="F6" s="33">
        <f>$C$26*('E Balans VL '!L12+'E Balans VL '!N12)/100/3.6*1000000</f>
        <v>267.05052944259461</v>
      </c>
      <c r="G6" s="34"/>
      <c r="H6" s="33"/>
      <c r="I6" s="33"/>
      <c r="J6" s="33">
        <f>$C$26*('E Balans VL '!D12+'E Balans VL '!E12)/100/3.6*1000000</f>
        <v>0</v>
      </c>
      <c r="K6" s="33"/>
      <c r="L6" s="33"/>
      <c r="M6" s="33"/>
      <c r="N6" s="33">
        <f>$C$26*'E Balans VL '!Y12/100/3.6*1000000</f>
        <v>1.6995457529154889</v>
      </c>
      <c r="O6" s="33"/>
      <c r="P6" s="33"/>
      <c r="R6" s="32"/>
    </row>
    <row r="7" spans="1:18">
      <c r="A7" s="32" t="s">
        <v>52</v>
      </c>
      <c r="B7" s="37">
        <f t="shared" ref="B7:B12" si="0">B27</f>
        <v>1588.4977210108</v>
      </c>
      <c r="C7" s="33"/>
      <c r="D7" s="37">
        <f>IF(ISERROR(TER_horeca_gas_kWh/1000),0,TER_horeca_gas_kWh/1000)*0.902</f>
        <v>1701.7642625549397</v>
      </c>
      <c r="E7" s="33">
        <f>$C$27*'E Balans VL '!I9/100/3.6*1000000</f>
        <v>22.747022771664682</v>
      </c>
      <c r="F7" s="33">
        <f>$C$27*('E Balans VL '!L9+'E Balans VL '!N9)/100/3.6*1000000</f>
        <v>201.15620215320217</v>
      </c>
      <c r="G7" s="34"/>
      <c r="H7" s="33"/>
      <c r="I7" s="33"/>
      <c r="J7" s="33">
        <f>$C$27*('E Balans VL '!D9+'E Balans VL '!E9)/100/3.6*1000000</f>
        <v>0</v>
      </c>
      <c r="K7" s="33"/>
      <c r="L7" s="33"/>
      <c r="M7" s="33"/>
      <c r="N7" s="33">
        <f>$C$27*'E Balans VL '!Y9/100/3.6*1000000</f>
        <v>0.45665807142225096</v>
      </c>
      <c r="O7" s="33"/>
      <c r="P7" s="33"/>
      <c r="R7" s="32"/>
    </row>
    <row r="8" spans="1:18">
      <c r="A8" s="6" t="s">
        <v>51</v>
      </c>
      <c r="B8" s="37">
        <f t="shared" si="0"/>
        <v>1794.34666412364</v>
      </c>
      <c r="C8" s="33"/>
      <c r="D8" s="37">
        <f>IF(ISERROR(TER_handel_gas_kWh/1000),0,TER_handel_gas_kWh/1000)*0.902</f>
        <v>1070.4019180586131</v>
      </c>
      <c r="E8" s="33">
        <f>$C$28*'E Balans VL '!I13/100/3.6*1000000</f>
        <v>65.080732238847006</v>
      </c>
      <c r="F8" s="33">
        <f>$C$28*('E Balans VL '!L13+'E Balans VL '!N13)/100/3.6*1000000</f>
        <v>345.60933642533087</v>
      </c>
      <c r="G8" s="34"/>
      <c r="H8" s="33"/>
      <c r="I8" s="33"/>
      <c r="J8" s="33">
        <f>$C$28*('E Balans VL '!D13+'E Balans VL '!E13)/100/3.6*1000000</f>
        <v>0</v>
      </c>
      <c r="K8" s="33"/>
      <c r="L8" s="33"/>
      <c r="M8" s="33"/>
      <c r="N8" s="33">
        <f>$C$28*'E Balans VL '!Y13/100/3.6*1000000</f>
        <v>2.4855829905656188</v>
      </c>
      <c r="O8" s="33"/>
      <c r="P8" s="33"/>
      <c r="R8" s="32"/>
    </row>
    <row r="9" spans="1:18">
      <c r="A9" s="32" t="s">
        <v>50</v>
      </c>
      <c r="B9" s="37">
        <f t="shared" si="0"/>
        <v>309.57811672241797</v>
      </c>
      <c r="C9" s="33"/>
      <c r="D9" s="37">
        <f>IF(ISERROR(TER_gezond_gas_kWh/1000),0,TER_gezond_gas_kWh/1000)*0.902</f>
        <v>304.08489623537645</v>
      </c>
      <c r="E9" s="33">
        <f>$C$29*'E Balans VL '!I10/100/3.6*1000000</f>
        <v>1.9382646638531616E-2</v>
      </c>
      <c r="F9" s="33">
        <f>$C$29*('E Balans VL '!L10+'E Balans VL '!N10)/100/3.6*1000000</f>
        <v>45.988771814714454</v>
      </c>
      <c r="G9" s="34"/>
      <c r="H9" s="33"/>
      <c r="I9" s="33"/>
      <c r="J9" s="33">
        <f>$C$29*('E Balans VL '!D10+'E Balans VL '!E10)/100/3.6*1000000</f>
        <v>0</v>
      </c>
      <c r="K9" s="33"/>
      <c r="L9" s="33"/>
      <c r="M9" s="33"/>
      <c r="N9" s="33">
        <f>$C$29*'E Balans VL '!Y10/100/3.6*1000000</f>
        <v>4.7885841811971837</v>
      </c>
      <c r="O9" s="33"/>
      <c r="P9" s="33"/>
      <c r="R9" s="32"/>
    </row>
    <row r="10" spans="1:18">
      <c r="A10" s="32" t="s">
        <v>49</v>
      </c>
      <c r="B10" s="37">
        <f t="shared" si="0"/>
        <v>512.55292246614999</v>
      </c>
      <c r="C10" s="33"/>
      <c r="D10" s="37">
        <f>IF(ISERROR(TER_ander_gas_kWh/1000),0,TER_ander_gas_kWh/1000)*0.902</f>
        <v>1133.2961502891633</v>
      </c>
      <c r="E10" s="33">
        <f>$C$30*'E Balans VL '!I14/100/3.6*1000000</f>
        <v>0.61094476803298536</v>
      </c>
      <c r="F10" s="33">
        <f>$C$30*('E Balans VL '!L14+'E Balans VL '!N14)/100/3.6*1000000</f>
        <v>134.10663083036903</v>
      </c>
      <c r="G10" s="34"/>
      <c r="H10" s="33"/>
      <c r="I10" s="33"/>
      <c r="J10" s="33">
        <f>$C$30*('E Balans VL '!D14+'E Balans VL '!E14)/100/3.6*1000000</f>
        <v>1.1125514794760672E-2</v>
      </c>
      <c r="K10" s="33"/>
      <c r="L10" s="33"/>
      <c r="M10" s="33"/>
      <c r="N10" s="33">
        <f>$C$30*'E Balans VL '!Y14/100/3.6*1000000</f>
        <v>435.24739976478293</v>
      </c>
      <c r="O10" s="33"/>
      <c r="P10" s="33"/>
      <c r="R10" s="32"/>
    </row>
    <row r="11" spans="1:18">
      <c r="A11" s="32" t="s">
        <v>54</v>
      </c>
      <c r="B11" s="37">
        <f t="shared" si="0"/>
        <v>30.010999999999999</v>
      </c>
      <c r="C11" s="33"/>
      <c r="D11" s="37">
        <f>IF(ISERROR(TER_onderwijs_gas_kWh/1000),0,TER_onderwijs_gas_kWh/1000)*0.902</f>
        <v>0</v>
      </c>
      <c r="E11" s="33">
        <f>$C$31*'E Balans VL '!I11/100/3.6*1000000</f>
        <v>0.4528176526881198</v>
      </c>
      <c r="F11" s="33">
        <f>$C$31*('E Balans VL '!L11+'E Balans VL '!N11)/100/3.6*1000000</f>
        <v>5.2584066399881788</v>
      </c>
      <c r="G11" s="34"/>
      <c r="H11" s="33"/>
      <c r="I11" s="33"/>
      <c r="J11" s="33">
        <f>$C$31*('E Balans VL '!D11+'E Balans VL '!E11)/100/3.6*1000000</f>
        <v>0</v>
      </c>
      <c r="K11" s="33"/>
      <c r="L11" s="33"/>
      <c r="M11" s="33"/>
      <c r="N11" s="33">
        <f>$C$31*'E Balans VL '!Y11/100/3.6*1000000</f>
        <v>8.4453235523104672E-2</v>
      </c>
      <c r="O11" s="33"/>
      <c r="P11" s="33"/>
      <c r="R11" s="32"/>
    </row>
    <row r="12" spans="1:18">
      <c r="A12" s="32" t="s">
        <v>259</v>
      </c>
      <c r="B12" s="37">
        <f t="shared" si="0"/>
        <v>1100.6475426935901</v>
      </c>
      <c r="C12" s="33"/>
      <c r="D12" s="37">
        <f>IF(ISERROR(TER_rest_gas_kWh/1000),0,TER_rest_gas_kWh/1000)*0.902</f>
        <v>3967.4539050142848</v>
      </c>
      <c r="E12" s="33">
        <f>$C$32*'E Balans VL '!I8/100/3.6*1000000</f>
        <v>13.667821773277163</v>
      </c>
      <c r="F12" s="33">
        <f>$C$32*('E Balans VL '!L8+'E Balans VL '!N8)/100/3.6*1000000</f>
        <v>190.32914313155968</v>
      </c>
      <c r="G12" s="34"/>
      <c r="H12" s="33"/>
      <c r="I12" s="33"/>
      <c r="J12" s="33">
        <f>$C$32*('E Balans VL '!D8+'E Balans VL '!E8)/100/3.6*1000000</f>
        <v>2.6652458011441984E-3</v>
      </c>
      <c r="K12" s="33"/>
      <c r="L12" s="33"/>
      <c r="M12" s="33"/>
      <c r="N12" s="33">
        <f>$C$32*'E Balans VL '!Y8/100/3.6*1000000</f>
        <v>106.57642204531514</v>
      </c>
      <c r="O12" s="33"/>
      <c r="P12" s="33"/>
      <c r="R12" s="32"/>
    </row>
    <row r="13" spans="1:18">
      <c r="A13" s="16" t="s">
        <v>487</v>
      </c>
      <c r="B13" s="247">
        <f ca="1">'lokale energieproductie'!N38+'lokale energieproductie'!N31</f>
        <v>40.5</v>
      </c>
      <c r="C13" s="247">
        <f ca="1">'lokale energieproductie'!O38+'lokale energieproductie'!O31</f>
        <v>57.857142857142861</v>
      </c>
      <c r="D13" s="308">
        <f ca="1">('lokale energieproductie'!P31+'lokale energieproductie'!P38)*(-1)</f>
        <v>-115.71428571428572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7153.2476512144276</v>
      </c>
      <c r="C16" s="21">
        <f t="shared" ca="1" si="1"/>
        <v>57.857142857142861</v>
      </c>
      <c r="D16" s="21">
        <f t="shared" ca="1" si="1"/>
        <v>10095.288672868272</v>
      </c>
      <c r="E16" s="21">
        <f t="shared" si="1"/>
        <v>102.58986020866229</v>
      </c>
      <c r="F16" s="21">
        <f t="shared" ca="1" si="1"/>
        <v>1189.4990204377589</v>
      </c>
      <c r="G16" s="21">
        <f t="shared" si="1"/>
        <v>0</v>
      </c>
      <c r="H16" s="21">
        <f t="shared" si="1"/>
        <v>0</v>
      </c>
      <c r="I16" s="21">
        <f t="shared" si="1"/>
        <v>0</v>
      </c>
      <c r="J16" s="21">
        <f t="shared" si="1"/>
        <v>1.379076059590487E-2</v>
      </c>
      <c r="K16" s="21">
        <f t="shared" si="1"/>
        <v>0</v>
      </c>
      <c r="L16" s="21">
        <f t="shared" ca="1" si="1"/>
        <v>0</v>
      </c>
      <c r="M16" s="21">
        <f t="shared" si="1"/>
        <v>0</v>
      </c>
      <c r="N16" s="21">
        <f t="shared" ca="1" si="1"/>
        <v>551.33864604172163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0.20359794578035909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1456.3865274454361</v>
      </c>
      <c r="C20" s="23">
        <f t="shared" ref="C20:P20" ca="1" si="2">C16*C18</f>
        <v>13.749579831932778</v>
      </c>
      <c r="D20" s="23">
        <f t="shared" ca="1" si="2"/>
        <v>2039.248311919391</v>
      </c>
      <c r="E20" s="23">
        <f t="shared" si="2"/>
        <v>23.287898267366341</v>
      </c>
      <c r="F20" s="23">
        <f t="shared" ca="1" si="2"/>
        <v>317.59623845688162</v>
      </c>
      <c r="G20" s="23">
        <f t="shared" si="2"/>
        <v>0</v>
      </c>
      <c r="H20" s="23">
        <f t="shared" si="2"/>
        <v>0</v>
      </c>
      <c r="I20" s="23">
        <f t="shared" si="2"/>
        <v>0</v>
      </c>
      <c r="J20" s="23">
        <f t="shared" si="2"/>
        <v>4.881929250950324E-3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1777.11368419783</v>
      </c>
      <c r="C26" s="39">
        <f>IF(ISERROR(B26*3.6/1000000/'E Balans VL '!Z12*100),0,B26*3.6/1000000/'E Balans VL '!Z12*100)</f>
        <v>3.7565368108470366E-2</v>
      </c>
      <c r="D26" s="237" t="s">
        <v>744</v>
      </c>
      <c r="F26" s="6"/>
    </row>
    <row r="27" spans="1:18">
      <c r="A27" s="231" t="s">
        <v>52</v>
      </c>
      <c r="B27" s="33">
        <f>IF(ISERROR(TER_horeca_ele_kWh/1000),0,TER_horeca_ele_kWh/1000)</f>
        <v>1588.4977210108</v>
      </c>
      <c r="C27" s="39">
        <f>IF(ISERROR(B27*3.6/1000000/'E Balans VL '!Z9*100),0,B27*3.6/1000000/'E Balans VL '!Z9*100)</f>
        <v>0.12522068328395483</v>
      </c>
      <c r="D27" s="237" t="s">
        <v>744</v>
      </c>
      <c r="F27" s="6"/>
    </row>
    <row r="28" spans="1:18">
      <c r="A28" s="171" t="s">
        <v>51</v>
      </c>
      <c r="B28" s="33">
        <f>IF(ISERROR(TER_handel_ele_kWh/1000),0,TER_handel_ele_kWh/1000)</f>
        <v>1794.34666412364</v>
      </c>
      <c r="C28" s="39">
        <f>IF(ISERROR(B28*3.6/1000000/'E Balans VL '!Z13*100),0,B28*3.6/1000000/'E Balans VL '!Z13*100)</f>
        <v>5.207919016579482E-2</v>
      </c>
      <c r="D28" s="237" t="s">
        <v>744</v>
      </c>
      <c r="F28" s="6"/>
    </row>
    <row r="29" spans="1:18">
      <c r="A29" s="231" t="s">
        <v>50</v>
      </c>
      <c r="B29" s="33">
        <f>IF(ISERROR(TER_gezond_ele_kWh/1000),0,TER_gezond_ele_kWh/1000)</f>
        <v>309.57811672241797</v>
      </c>
      <c r="C29" s="39">
        <f>IF(ISERROR(B29*3.6/1000000/'E Balans VL '!Z10*100),0,B29*3.6/1000000/'E Balans VL '!Z10*100)</f>
        <v>3.2603659097729484E-2</v>
      </c>
      <c r="D29" s="237" t="s">
        <v>744</v>
      </c>
      <c r="F29" s="6"/>
    </row>
    <row r="30" spans="1:18">
      <c r="A30" s="231" t="s">
        <v>49</v>
      </c>
      <c r="B30" s="33">
        <f>IF(ISERROR(TER_ander_ele_kWh/1000),0,TER_ander_ele_kWh/1000)</f>
        <v>512.55292246614999</v>
      </c>
      <c r="C30" s="39">
        <f>IF(ISERROR(B30*3.6/1000000/'E Balans VL '!Z14*100),0,B30*3.6/1000000/'E Balans VL '!Z14*100)</f>
        <v>3.7806014887044208E-2</v>
      </c>
      <c r="D30" s="237" t="s">
        <v>744</v>
      </c>
      <c r="F30" s="6"/>
    </row>
    <row r="31" spans="1:18">
      <c r="A31" s="231" t="s">
        <v>54</v>
      </c>
      <c r="B31" s="33">
        <f>IF(ISERROR(TER_onderwijs_ele_kWh/1000),0,TER_onderwijs_ele_kWh/1000)</f>
        <v>30.010999999999999</v>
      </c>
      <c r="C31" s="39">
        <f>IF(ISERROR(B31*3.6/1000000/'E Balans VL '!Z11*100),0,B31*3.6/1000000/'E Balans VL '!Z11*100)</f>
        <v>7.4531370980303411E-3</v>
      </c>
      <c r="D31" s="237" t="s">
        <v>744</v>
      </c>
    </row>
    <row r="32" spans="1:18">
      <c r="A32" s="231" t="s">
        <v>259</v>
      </c>
      <c r="B32" s="33">
        <f>IF(ISERROR(TER_rest_ele_kWh/1000),0,TER_rest_ele_kWh/1000)</f>
        <v>1100.6475426935901</v>
      </c>
      <c r="C32" s="39">
        <f>IF(ISERROR(B32*3.6/1000000/'E Balans VL '!Z8*100),0,B32*3.6/1000000/'E Balans VL '!Z8*100)</f>
        <v>9.0568683152658716E-3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1744.1389525969073</v>
      </c>
      <c r="C5" s="17">
        <f>IF(ISERROR('Eigen informatie GS &amp; warmtenet'!B59),0,'Eigen informatie GS &amp; warmtenet'!B59)</f>
        <v>0</v>
      </c>
      <c r="D5" s="30">
        <f>SUM(D6:D15)</f>
        <v>1613.7915086433431</v>
      </c>
      <c r="E5" s="17">
        <f>SUM(E6:E15)</f>
        <v>180.94398662279482</v>
      </c>
      <c r="F5" s="17">
        <f>SUM(F6:F15)</f>
        <v>562.65449536355982</v>
      </c>
      <c r="G5" s="18"/>
      <c r="H5" s="17"/>
      <c r="I5" s="17"/>
      <c r="J5" s="17">
        <f>SUM(J6:J15)</f>
        <v>3.2619684140626952</v>
      </c>
      <c r="K5" s="17"/>
      <c r="L5" s="17"/>
      <c r="M5" s="17"/>
      <c r="N5" s="17">
        <f>SUM(N6:N15)</f>
        <v>122.87106306018626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50.174526053710203</v>
      </c>
      <c r="C8" s="33"/>
      <c r="D8" s="37">
        <f>IF( ISERROR(IND_metaal_Gas_kWH/1000),0,IND_metaal_Gas_kWH/1000)*0.902</f>
        <v>0</v>
      </c>
      <c r="E8" s="33">
        <f>C30*'E Balans VL '!I18/100/3.6*1000000</f>
        <v>0.46130630804575595</v>
      </c>
      <c r="F8" s="33">
        <f>C30*'E Balans VL '!L18/100/3.6*1000000+C30*'E Balans VL '!N18/100/3.6*1000000</f>
        <v>4.7047000647721395</v>
      </c>
      <c r="G8" s="34"/>
      <c r="H8" s="33"/>
      <c r="I8" s="33"/>
      <c r="J8" s="40">
        <f>C30*'E Balans VL '!D18/100/3.6*1000000+C30*'E Balans VL '!E18/100/3.6*1000000</f>
        <v>0</v>
      </c>
      <c r="K8" s="33"/>
      <c r="L8" s="33"/>
      <c r="M8" s="33"/>
      <c r="N8" s="33">
        <f>C30*'E Balans VL '!Y18/100/3.6*1000000</f>
        <v>0.71582253105219718</v>
      </c>
      <c r="O8" s="33"/>
      <c r="P8" s="33"/>
      <c r="R8" s="32"/>
    </row>
    <row r="9" spans="1:18">
      <c r="A9" s="6" t="s">
        <v>32</v>
      </c>
      <c r="B9" s="37">
        <f t="shared" si="0"/>
        <v>442.84579450562603</v>
      </c>
      <c r="C9" s="33"/>
      <c r="D9" s="37">
        <f>IF( ISERROR(IND_andere_gas_kWh/1000),0,IND_andere_gas_kWh/1000)*0.902</f>
        <v>593.58657892041174</v>
      </c>
      <c r="E9" s="33">
        <f>C31*'E Balans VL '!I19/100/3.6*1000000</f>
        <v>129.45244692474992</v>
      </c>
      <c r="F9" s="33">
        <f>C31*'E Balans VL '!L19/100/3.6*1000000+C31*'E Balans VL '!N19/100/3.6*1000000</f>
        <v>355.86011623186664</v>
      </c>
      <c r="G9" s="34"/>
      <c r="H9" s="33"/>
      <c r="I9" s="33"/>
      <c r="J9" s="40">
        <f>C31*'E Balans VL '!D19/100/3.6*1000000+C31*'E Balans VL '!E19/100/3.6*1000000</f>
        <v>0</v>
      </c>
      <c r="K9" s="33"/>
      <c r="L9" s="33"/>
      <c r="M9" s="33"/>
      <c r="N9" s="33">
        <f>C31*'E Balans VL '!Y19/100/3.6*1000000</f>
        <v>34.736222661648924</v>
      </c>
      <c r="O9" s="33"/>
      <c r="P9" s="33"/>
      <c r="R9" s="32"/>
    </row>
    <row r="10" spans="1:18">
      <c r="A10" s="6" t="s">
        <v>40</v>
      </c>
      <c r="B10" s="37">
        <f t="shared" si="0"/>
        <v>339.94943077582303</v>
      </c>
      <c r="C10" s="33"/>
      <c r="D10" s="37">
        <f>IF( ISERROR(IND_voed_gas_kWh/1000),0,IND_voed_gas_kWh/1000)*0.902</f>
        <v>214.76411395947761</v>
      </c>
      <c r="E10" s="33">
        <f>C32*'E Balans VL '!I20/100/3.6*1000000</f>
        <v>0.71916829178460651</v>
      </c>
      <c r="F10" s="33">
        <f>C32*'E Balans VL '!L20/100/3.6*1000000+C32*'E Balans VL '!N20/100/3.6*1000000</f>
        <v>21.61433205688747</v>
      </c>
      <c r="G10" s="34"/>
      <c r="H10" s="33"/>
      <c r="I10" s="33"/>
      <c r="J10" s="40">
        <f>C32*'E Balans VL '!D20/100/3.6*1000000+C32*'E Balans VL '!E20/100/3.6*1000000</f>
        <v>0</v>
      </c>
      <c r="K10" s="33"/>
      <c r="L10" s="33"/>
      <c r="M10" s="33"/>
      <c r="N10" s="33">
        <f>C32*'E Balans VL '!Y20/100/3.6*1000000</f>
        <v>23.45986542648545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911.16920126174796</v>
      </c>
      <c r="C15" s="33"/>
      <c r="D15" s="37">
        <f>IF( ISERROR(IND_rest_gas_kWh/1000),0,IND_rest_gas_kWh/1000)*0.902</f>
        <v>805.44081576345388</v>
      </c>
      <c r="E15" s="33">
        <f>C37*'E Balans VL '!I15/100/3.6*1000000</f>
        <v>50.311065098214563</v>
      </c>
      <c r="F15" s="33">
        <f>C37*'E Balans VL '!L15/100/3.6*1000000+C37*'E Balans VL '!N15/100/3.6*1000000</f>
        <v>180.47534701003363</v>
      </c>
      <c r="G15" s="34"/>
      <c r="H15" s="33"/>
      <c r="I15" s="33"/>
      <c r="J15" s="40">
        <f>C37*'E Balans VL '!D15/100/3.6*1000000+C37*'E Balans VL '!E15/100/3.6*1000000</f>
        <v>3.2619684140626952</v>
      </c>
      <c r="K15" s="33"/>
      <c r="L15" s="33"/>
      <c r="M15" s="33"/>
      <c r="N15" s="33">
        <f>C37*'E Balans VL '!Y15/100/3.6*1000000</f>
        <v>63.959152440999688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1744.1389525969073</v>
      </c>
      <c r="C18" s="21">
        <f>C5+C16</f>
        <v>0</v>
      </c>
      <c r="D18" s="21">
        <f>MAX((D5+D16),0)</f>
        <v>1613.7915086433431</v>
      </c>
      <c r="E18" s="21">
        <f>MAX((E5+E16),0)</f>
        <v>180.94398662279482</v>
      </c>
      <c r="F18" s="21">
        <f>MAX((F5+F16),0)</f>
        <v>562.65449536355982</v>
      </c>
      <c r="G18" s="21"/>
      <c r="H18" s="21"/>
      <c r="I18" s="21"/>
      <c r="J18" s="21">
        <f>MAX((J5+J16),0)</f>
        <v>3.2619684140626952</v>
      </c>
      <c r="K18" s="21"/>
      <c r="L18" s="21">
        <f>MAX((L5+L16),0)</f>
        <v>0</v>
      </c>
      <c r="M18" s="21"/>
      <c r="N18" s="21">
        <f>MAX((N5+N16),0)</f>
        <v>122.87106306018626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0.20359794578035909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355.10310790423739</v>
      </c>
      <c r="C22" s="23">
        <f ca="1">C18*C20</f>
        <v>0</v>
      </c>
      <c r="D22" s="23">
        <f>D18*D20</f>
        <v>325.98588474595533</v>
      </c>
      <c r="E22" s="23">
        <f>E18*E20</f>
        <v>41.074284963374424</v>
      </c>
      <c r="F22" s="23">
        <f>F18*F20</f>
        <v>150.22875026207049</v>
      </c>
      <c r="G22" s="23"/>
      <c r="H22" s="23"/>
      <c r="I22" s="23"/>
      <c r="J22" s="23">
        <f>J18*J20</f>
        <v>1.1547368185781941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50.174526053710203</v>
      </c>
      <c r="C30" s="39">
        <f>IF(ISERROR(B30*3.6/1000000/'E Balans VL '!Z18*100),0,B30*3.6/1000000/'E Balans VL '!Z18*100)</f>
        <v>2.8435190473632774E-3</v>
      </c>
      <c r="D30" s="237" t="s">
        <v>744</v>
      </c>
    </row>
    <row r="31" spans="1:18">
      <c r="A31" s="6" t="s">
        <v>32</v>
      </c>
      <c r="B31" s="37">
        <f>IF( ISERROR(IND_ander_ele_kWh/1000),0,IND_ander_ele_kWh/1000)</f>
        <v>442.84579450562603</v>
      </c>
      <c r="C31" s="39">
        <f>IF(ISERROR(B31*3.6/1000000/'E Balans VL '!Z19*100),0,B31*3.6/1000000/'E Balans VL '!Z19*100)</f>
        <v>2.0085641260980742E-2</v>
      </c>
      <c r="D31" s="237" t="s">
        <v>744</v>
      </c>
    </row>
    <row r="32" spans="1:18">
      <c r="A32" s="171" t="s">
        <v>40</v>
      </c>
      <c r="B32" s="37">
        <f>IF( ISERROR(IND_voed_ele_kWh/1000),0,IND_voed_ele_kWh/1000)</f>
        <v>339.94943077582303</v>
      </c>
      <c r="C32" s="39">
        <f>IF(ISERROR(B32*3.6/1000000/'E Balans VL '!Z20*100),0,B32*3.6/1000000/'E Balans VL '!Z20*100)</f>
        <v>1.0516179134007687E-2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911.16920126174796</v>
      </c>
      <c r="C37" s="39">
        <f>IF(ISERROR(B37*3.6/1000000/'E Balans VL '!Z15*100),0,B37*3.6/1000000/'E Balans VL '!Z15*100)</f>
        <v>7.2221349422028989E-3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176.57336178720459</v>
      </c>
      <c r="C5" s="17">
        <f>'Eigen informatie GS &amp; warmtenet'!B60</f>
        <v>0</v>
      </c>
      <c r="D5" s="30">
        <f>IF(ISERROR(SUM(LB_lb_gas_kWh,LB_rest_gas_kWh)/1000),0,SUM(LB_lb_gas_kWh,LB_rest_gas_kWh)/1000)*0.902</f>
        <v>52.831207417664544</v>
      </c>
      <c r="E5" s="17">
        <f>B17*'E Balans VL '!I25/3.6*1000000/100</f>
        <v>5.1900304202216514</v>
      </c>
      <c r="F5" s="17">
        <f>B17*('E Balans VL '!L25/3.6*1000000+'E Balans VL '!N25/3.6*1000000)/100</f>
        <v>735.59508368183572</v>
      </c>
      <c r="G5" s="18"/>
      <c r="H5" s="17"/>
      <c r="I5" s="17"/>
      <c r="J5" s="17">
        <f>('E Balans VL '!D25+'E Balans VL '!E25)/3.6*1000000*landbouw!B17/100</f>
        <v>25.581688166615468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176.57336178720459</v>
      </c>
      <c r="C8" s="21">
        <f>C5+C6</f>
        <v>0</v>
      </c>
      <c r="D8" s="21">
        <f>MAX((D5+D6),0)</f>
        <v>52.831207417664544</v>
      </c>
      <c r="E8" s="21">
        <f>MAX((E5+E6),0)</f>
        <v>5.1900304202216514</v>
      </c>
      <c r="F8" s="21">
        <f>MAX((F5+F6),0)</f>
        <v>735.59508368183572</v>
      </c>
      <c r="G8" s="21"/>
      <c r="H8" s="21"/>
      <c r="I8" s="21"/>
      <c r="J8" s="21">
        <f>MAX((J5+J6),0)</f>
        <v>25.581688166615468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0.20359794578035909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35.949973739407007</v>
      </c>
      <c r="C12" s="23">
        <f ca="1">C8*C10</f>
        <v>0</v>
      </c>
      <c r="D12" s="23">
        <f>D8*D10</f>
        <v>10.671903898368239</v>
      </c>
      <c r="E12" s="23">
        <f>E8*E10</f>
        <v>1.178136905390315</v>
      </c>
      <c r="F12" s="23">
        <f>F8*F10</f>
        <v>196.40388734305014</v>
      </c>
      <c r="G12" s="23"/>
      <c r="H12" s="23"/>
      <c r="I12" s="23"/>
      <c r="J12" s="23">
        <f>J8*J10</f>
        <v>9.0559176109818758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2.5056314019632209E-2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38.151355760648514</v>
      </c>
      <c r="C26" s="247">
        <f>B26*'GWP N2O_CH4'!B5</f>
        <v>801.1784709736188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4.6951462091488869</v>
      </c>
      <c r="C27" s="247">
        <f>B27*'GWP N2O_CH4'!B5</f>
        <v>98.59807039212663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0.50619142045089072</v>
      </c>
      <c r="C28" s="247">
        <f>B28*'GWP N2O_CH4'!B4</f>
        <v>156.91934033977611</v>
      </c>
      <c r="D28" s="50"/>
    </row>
    <row r="29" spans="1:4">
      <c r="A29" s="41" t="s">
        <v>276</v>
      </c>
      <c r="B29" s="247">
        <f>B34*'ha_N2O bodem landbouw'!B4</f>
        <v>3.8684153457208961</v>
      </c>
      <c r="C29" s="247">
        <f>B29*'GWP N2O_CH4'!B4</f>
        <v>1199.2087571734778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8.8275905074116311E-4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2.6346765674582903E-4</v>
      </c>
      <c r="C5" s="437" t="s">
        <v>210</v>
      </c>
      <c r="D5" s="422">
        <f>SUM(D6:D11)</f>
        <v>7.0942417136919287E-4</v>
      </c>
      <c r="E5" s="422">
        <f>SUM(E6:E11)</f>
        <v>1.4235604356940014E-3</v>
      </c>
      <c r="F5" s="435" t="s">
        <v>210</v>
      </c>
      <c r="G5" s="422">
        <f>SUM(G6:G11)</f>
        <v>0.61561402387899311</v>
      </c>
      <c r="H5" s="422">
        <f>SUM(H6:H11)</f>
        <v>0.12384290958435258</v>
      </c>
      <c r="I5" s="437" t="s">
        <v>210</v>
      </c>
      <c r="J5" s="437" t="s">
        <v>210</v>
      </c>
      <c r="K5" s="437" t="s">
        <v>210</v>
      </c>
      <c r="L5" s="437" t="s">
        <v>210</v>
      </c>
      <c r="M5" s="422">
        <f>SUM(M6:M11)</f>
        <v>3.9613476636542251E-2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2.2894094697328E-5</v>
      </c>
      <c r="C6" s="423"/>
      <c r="D6" s="865">
        <f>vkm_GW_PW*SUMIFS(TableVerdeelsleutelVkm[CNG],TableVerdeelsleutelVkm[Voertuigtype],"Lichte voertuigen")*SUMIFS(TableECFTransport[EnergieConsumptieFactor (PJ per km)],TableECFTransport[Index],CONCATENATE($A6,"_CNG_CNG"))</f>
        <v>5.6737156676137385E-5</v>
      </c>
      <c r="E6" s="865">
        <f>vkm_GW_PW*SUMIFS(TableVerdeelsleutelVkm[LPG],TableVerdeelsleutelVkm[Voertuigtype],"Lichte voertuigen")*SUMIFS(TableECFTransport[EnergieConsumptieFactor (PJ per km)],TableECFTransport[Index],CONCATENATE($A6,"_LPG_LPG"))</f>
        <v>9.7403529961028663E-5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2.9845856070041657E-2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9.6398799342217144E-3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2.0275637901480108E-3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9.8423699951887024E-3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1.6464494698578872E-7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5.7504593949707741E-4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3.3179738262482596E-5</v>
      </c>
      <c r="C8" s="423"/>
      <c r="D8" s="425">
        <f>vkm_NGW_PW*SUMIFS(TableVerdeelsleutelVkm[CNG],TableVerdeelsleutelVkm[Voertuigtype],"Lichte voertuigen")*SUMIFS(TableECFTransport[EnergieConsumptieFactor (PJ per km)],TableECFTransport[Index],CONCATENATE($A8,"_CNG_CNG"))</f>
        <v>1.3898230321637538E-4</v>
      </c>
      <c r="E8" s="425">
        <f>vkm_NGW_PW*SUMIFS(TableVerdeelsleutelVkm[LPG],TableVerdeelsleutelVkm[Voertuigtype],"Lichte voertuigen")*SUMIFS(TableECFTransport[EnergieConsumptieFactor (PJ per km)],TableECFTransport[Index],CONCATENATE($A8,"_LPG_LPG"))</f>
        <v>2.2658617256134252E-4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6.5307512724907535E-2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2.3094301684732515E-2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4.4955389880400138E-3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1.5109025004721397E-2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3.1135079921664417E-7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8.8275491221052849E-4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2.073938237860184E-4</v>
      </c>
      <c r="C10" s="423"/>
      <c r="D10" s="425">
        <f>vkm_SW_PW*SUMIFS(TableVerdeelsleutelVkm[CNG],TableVerdeelsleutelVkm[Voertuigtype],"Lichte voertuigen")*SUMIFS(TableECFTransport[EnergieConsumptieFactor (PJ per km)],TableECFTransport[Index],CONCATENATE($A10,"_CNG_CNG"))</f>
        <v>5.1370471147668012E-4</v>
      </c>
      <c r="E10" s="425">
        <f>vkm_SW_PW*SUMIFS(TableVerdeelsleutelVkm[LPG],TableVerdeelsleutelVkm[Voertuigtype],"Lichte voertuigen")*SUMIFS(TableECFTransport[EnergieConsumptieFactor (PJ per km)],TableECFTransport[Index],CONCATENATE($A10,"_LPG_LPG"))</f>
        <v>1.0995707331716302E-3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0.30142382342085777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9.1104793402348921E-2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2.0293017216816048E-2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0.19408543666327602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3.4585673032318934E-6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1.133955578983057E-2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73.185460207174728</v>
      </c>
      <c r="C14" s="21"/>
      <c r="D14" s="21">
        <f t="shared" ref="D14:M14" si="0">((D5)*10^9/3600)+D12</f>
        <v>197.0622698247758</v>
      </c>
      <c r="E14" s="21">
        <f t="shared" si="0"/>
        <v>395.43345435944485</v>
      </c>
      <c r="F14" s="21"/>
      <c r="G14" s="21">
        <f t="shared" si="0"/>
        <v>171003.89552194256</v>
      </c>
      <c r="H14" s="21">
        <f t="shared" si="0"/>
        <v>34400.808217875718</v>
      </c>
      <c r="I14" s="21"/>
      <c r="J14" s="21"/>
      <c r="K14" s="21"/>
      <c r="L14" s="21"/>
      <c r="M14" s="21">
        <f t="shared" si="0"/>
        <v>11003.743510150625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0.20359794578035909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14.900409359170988</v>
      </c>
      <c r="C18" s="23"/>
      <c r="D18" s="23">
        <f t="shared" ref="D18:M18" si="1">D14*D16</f>
        <v>39.806578504604715</v>
      </c>
      <c r="E18" s="23">
        <f t="shared" si="1"/>
        <v>89.763394139593984</v>
      </c>
      <c r="F18" s="23"/>
      <c r="G18" s="23">
        <f t="shared" si="1"/>
        <v>45658.040104358668</v>
      </c>
      <c r="H18" s="23">
        <f t="shared" si="1"/>
        <v>8565.8012462510542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4.9141002665699001E-3</v>
      </c>
      <c r="H50" s="319">
        <f t="shared" si="2"/>
        <v>0</v>
      </c>
      <c r="I50" s="319">
        <f t="shared" si="2"/>
        <v>0</v>
      </c>
      <c r="J50" s="319">
        <f t="shared" si="2"/>
        <v>0</v>
      </c>
      <c r="K50" s="319">
        <f t="shared" si="2"/>
        <v>0</v>
      </c>
      <c r="L50" s="319">
        <f t="shared" si="2"/>
        <v>0</v>
      </c>
      <c r="M50" s="319">
        <f t="shared" si="2"/>
        <v>2.7907811855502874E-4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4.9141002665699001E-3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2.7907811855502874E-4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1365.0278518249722</v>
      </c>
      <c r="H54" s="21">
        <f t="shared" si="3"/>
        <v>0</v>
      </c>
      <c r="I54" s="21">
        <f t="shared" si="3"/>
        <v>0</v>
      </c>
      <c r="J54" s="21">
        <f t="shared" si="3"/>
        <v>0</v>
      </c>
      <c r="K54" s="21">
        <f t="shared" si="3"/>
        <v>0</v>
      </c>
      <c r="L54" s="21">
        <f t="shared" si="3"/>
        <v>0</v>
      </c>
      <c r="M54" s="21">
        <f t="shared" si="3"/>
        <v>77.521699598619094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0.20359794578035909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364.46243643726763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7998.5566512144278</v>
      </c>
      <c r="D10" s="979">
        <f ca="1">tertiair!C16</f>
        <v>57.857142857142861</v>
      </c>
      <c r="E10" s="979">
        <f ca="1">tertiair!D16</f>
        <v>10095.288672868272</v>
      </c>
      <c r="F10" s="979">
        <f>tertiair!E16</f>
        <v>102.58986020866229</v>
      </c>
      <c r="G10" s="979">
        <f ca="1">tertiair!F16</f>
        <v>1189.4990204377589</v>
      </c>
      <c r="H10" s="979">
        <f>tertiair!G16</f>
        <v>0</v>
      </c>
      <c r="I10" s="979">
        <f>tertiair!H16</f>
        <v>0</v>
      </c>
      <c r="J10" s="979">
        <f>tertiair!I16</f>
        <v>0</v>
      </c>
      <c r="K10" s="979">
        <f>tertiair!J16</f>
        <v>1.379076059590487E-2</v>
      </c>
      <c r="L10" s="979">
        <f>tertiair!K16</f>
        <v>0</v>
      </c>
      <c r="M10" s="979">
        <f ca="1">tertiair!L16</f>
        <v>0</v>
      </c>
      <c r="N10" s="979">
        <f>tertiair!M16</f>
        <v>0</v>
      </c>
      <c r="O10" s="979">
        <f ca="1">tertiair!N16</f>
        <v>551.33864604172163</v>
      </c>
      <c r="P10" s="979">
        <f>tertiair!O16</f>
        <v>3.1266666666666669</v>
      </c>
      <c r="Q10" s="980">
        <f>tertiair!P16</f>
        <v>19.066666666666666</v>
      </c>
      <c r="R10" s="674">
        <f ca="1">SUM(C10:Q10)</f>
        <v>20017.337117721912</v>
      </c>
      <c r="S10" s="67"/>
    </row>
    <row r="11" spans="1:19" s="447" customFormat="1">
      <c r="A11" s="783" t="s">
        <v>224</v>
      </c>
      <c r="B11" s="788"/>
      <c r="C11" s="979">
        <f>huishoudens!B8</f>
        <v>24456.980494702766</v>
      </c>
      <c r="D11" s="979">
        <f>huishoudens!C8</f>
        <v>0</v>
      </c>
      <c r="E11" s="979">
        <f>huishoudens!D8</f>
        <v>37289.008819027142</v>
      </c>
      <c r="F11" s="979">
        <f>huishoudens!E8</f>
        <v>11019.10165874907</v>
      </c>
      <c r="G11" s="979">
        <f>huishoudens!F8</f>
        <v>30634.308011055127</v>
      </c>
      <c r="H11" s="979">
        <f>huishoudens!G8</f>
        <v>0</v>
      </c>
      <c r="I11" s="979">
        <f>huishoudens!H8</f>
        <v>0</v>
      </c>
      <c r="J11" s="979">
        <f>huishoudens!I8</f>
        <v>0</v>
      </c>
      <c r="K11" s="979">
        <f>huishoudens!J8</f>
        <v>0</v>
      </c>
      <c r="L11" s="979">
        <f>huishoudens!K8</f>
        <v>0</v>
      </c>
      <c r="M11" s="979">
        <f>huishoudens!L8</f>
        <v>0</v>
      </c>
      <c r="N11" s="979">
        <f>huishoudens!M8</f>
        <v>0</v>
      </c>
      <c r="O11" s="979">
        <f>huishoudens!N8</f>
        <v>5955.828683370557</v>
      </c>
      <c r="P11" s="979">
        <f>huishoudens!O8</f>
        <v>201.67000000000004</v>
      </c>
      <c r="Q11" s="980">
        <f>huishoudens!P8</f>
        <v>1315.6</v>
      </c>
      <c r="R11" s="674">
        <f>SUM(C11:Q11)</f>
        <v>110872.49766690466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1744.1389525969073</v>
      </c>
      <c r="D13" s="979">
        <f>industrie!C18</f>
        <v>0</v>
      </c>
      <c r="E13" s="979">
        <f>industrie!D18</f>
        <v>1613.7915086433431</v>
      </c>
      <c r="F13" s="979">
        <f>industrie!E18</f>
        <v>180.94398662279482</v>
      </c>
      <c r="G13" s="979">
        <f>industrie!F18</f>
        <v>562.65449536355982</v>
      </c>
      <c r="H13" s="979">
        <f>industrie!G18</f>
        <v>0</v>
      </c>
      <c r="I13" s="979">
        <f>industrie!H18</f>
        <v>0</v>
      </c>
      <c r="J13" s="979">
        <f>industrie!I18</f>
        <v>0</v>
      </c>
      <c r="K13" s="979">
        <f>industrie!J18</f>
        <v>3.2619684140626952</v>
      </c>
      <c r="L13" s="979">
        <f>industrie!K18</f>
        <v>0</v>
      </c>
      <c r="M13" s="979">
        <f>industrie!L18</f>
        <v>0</v>
      </c>
      <c r="N13" s="979">
        <f>industrie!M18</f>
        <v>0</v>
      </c>
      <c r="O13" s="979">
        <f>industrie!N18</f>
        <v>122.87106306018626</v>
      </c>
      <c r="P13" s="979">
        <f>industrie!O18</f>
        <v>0</v>
      </c>
      <c r="Q13" s="980">
        <f>industrie!P18</f>
        <v>0</v>
      </c>
      <c r="R13" s="674">
        <f>SUM(C13:Q13)</f>
        <v>4227.6619747008544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34199.676098514101</v>
      </c>
      <c r="D16" s="706">
        <f t="shared" ref="D16:R16" ca="1" si="0">SUM(D9:D15)</f>
        <v>57.857142857142861</v>
      </c>
      <c r="E16" s="706">
        <f t="shared" ca="1" si="0"/>
        <v>48998.089000538755</v>
      </c>
      <c r="F16" s="706">
        <f t="shared" si="0"/>
        <v>11302.635505580527</v>
      </c>
      <c r="G16" s="706">
        <f t="shared" ca="1" si="0"/>
        <v>32386.461526856445</v>
      </c>
      <c r="H16" s="706">
        <f t="shared" si="0"/>
        <v>0</v>
      </c>
      <c r="I16" s="706">
        <f t="shared" si="0"/>
        <v>0</v>
      </c>
      <c r="J16" s="706">
        <f t="shared" si="0"/>
        <v>0</v>
      </c>
      <c r="K16" s="706">
        <f t="shared" si="0"/>
        <v>3.2757591746585999</v>
      </c>
      <c r="L16" s="706">
        <f t="shared" si="0"/>
        <v>0</v>
      </c>
      <c r="M16" s="706">
        <f t="shared" ca="1" si="0"/>
        <v>0</v>
      </c>
      <c r="N16" s="706">
        <f t="shared" si="0"/>
        <v>0</v>
      </c>
      <c r="O16" s="706">
        <f t="shared" ca="1" si="0"/>
        <v>6630.0383924724647</v>
      </c>
      <c r="P16" s="706">
        <f t="shared" si="0"/>
        <v>204.79666666666671</v>
      </c>
      <c r="Q16" s="706">
        <f t="shared" si="0"/>
        <v>1334.6666666666665</v>
      </c>
      <c r="R16" s="706">
        <f t="shared" ca="1" si="0"/>
        <v>135117.49675932742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1365.0278518249722</v>
      </c>
      <c r="I19" s="979">
        <f>transport!H54</f>
        <v>0</v>
      </c>
      <c r="J19" s="979">
        <f>transport!I54</f>
        <v>0</v>
      </c>
      <c r="K19" s="979">
        <f>transport!J54</f>
        <v>0</v>
      </c>
      <c r="L19" s="979">
        <f>transport!K54</f>
        <v>0</v>
      </c>
      <c r="M19" s="979">
        <f>transport!L54</f>
        <v>0</v>
      </c>
      <c r="N19" s="979">
        <f>transport!M54</f>
        <v>77.521699598619094</v>
      </c>
      <c r="O19" s="979">
        <f>transport!N54</f>
        <v>0</v>
      </c>
      <c r="P19" s="979">
        <f>transport!O54</f>
        <v>0</v>
      </c>
      <c r="Q19" s="980">
        <f>transport!P54</f>
        <v>0</v>
      </c>
      <c r="R19" s="674">
        <f>SUM(C19:Q19)</f>
        <v>1442.5495514235913</v>
      </c>
      <c r="S19" s="67"/>
    </row>
    <row r="20" spans="1:19" s="447" customFormat="1">
      <c r="A20" s="783" t="s">
        <v>306</v>
      </c>
      <c r="B20" s="788"/>
      <c r="C20" s="979">
        <f>transport!B14</f>
        <v>73.185460207174728</v>
      </c>
      <c r="D20" s="979">
        <f>transport!C14</f>
        <v>0</v>
      </c>
      <c r="E20" s="979">
        <f>transport!D14</f>
        <v>197.0622698247758</v>
      </c>
      <c r="F20" s="979">
        <f>transport!E14</f>
        <v>395.43345435944485</v>
      </c>
      <c r="G20" s="979">
        <f>transport!F14</f>
        <v>0</v>
      </c>
      <c r="H20" s="979">
        <f>transport!G14</f>
        <v>171003.89552194256</v>
      </c>
      <c r="I20" s="979">
        <f>transport!H14</f>
        <v>34400.808217875718</v>
      </c>
      <c r="J20" s="979">
        <f>transport!I14</f>
        <v>0</v>
      </c>
      <c r="K20" s="979">
        <f>transport!J14</f>
        <v>0</v>
      </c>
      <c r="L20" s="979">
        <f>transport!K14</f>
        <v>0</v>
      </c>
      <c r="M20" s="979">
        <f>transport!L14</f>
        <v>0</v>
      </c>
      <c r="N20" s="979">
        <f>transport!M14</f>
        <v>11003.743510150625</v>
      </c>
      <c r="O20" s="979">
        <f>transport!N14</f>
        <v>0</v>
      </c>
      <c r="P20" s="979">
        <f>transport!O14</f>
        <v>0</v>
      </c>
      <c r="Q20" s="980">
        <f>transport!P14</f>
        <v>0</v>
      </c>
      <c r="R20" s="674">
        <f>SUM(C20:Q20)</f>
        <v>217074.12843436029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73.185460207174728</v>
      </c>
      <c r="D22" s="786">
        <f t="shared" ref="D22:R22" si="1">SUM(D18:D21)</f>
        <v>0</v>
      </c>
      <c r="E22" s="786">
        <f t="shared" si="1"/>
        <v>197.0622698247758</v>
      </c>
      <c r="F22" s="786">
        <f t="shared" si="1"/>
        <v>395.43345435944485</v>
      </c>
      <c r="G22" s="786">
        <f t="shared" si="1"/>
        <v>0</v>
      </c>
      <c r="H22" s="786">
        <f t="shared" si="1"/>
        <v>172368.92337376752</v>
      </c>
      <c r="I22" s="786">
        <f t="shared" si="1"/>
        <v>34400.808217875718</v>
      </c>
      <c r="J22" s="786">
        <f t="shared" si="1"/>
        <v>0</v>
      </c>
      <c r="K22" s="786">
        <f t="shared" si="1"/>
        <v>0</v>
      </c>
      <c r="L22" s="786">
        <f t="shared" si="1"/>
        <v>0</v>
      </c>
      <c r="M22" s="786">
        <f t="shared" si="1"/>
        <v>0</v>
      </c>
      <c r="N22" s="786">
        <f t="shared" si="1"/>
        <v>11081.265209749245</v>
      </c>
      <c r="O22" s="786">
        <f t="shared" si="1"/>
        <v>0</v>
      </c>
      <c r="P22" s="786">
        <f t="shared" si="1"/>
        <v>0</v>
      </c>
      <c r="Q22" s="786">
        <f t="shared" si="1"/>
        <v>0</v>
      </c>
      <c r="R22" s="786">
        <f t="shared" si="1"/>
        <v>218516.67798578387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176.57336178720459</v>
      </c>
      <c r="D24" s="979">
        <f>+landbouw!C8</f>
        <v>0</v>
      </c>
      <c r="E24" s="979">
        <f>+landbouw!D8</f>
        <v>52.831207417664544</v>
      </c>
      <c r="F24" s="979">
        <f>+landbouw!E8</f>
        <v>5.1900304202216514</v>
      </c>
      <c r="G24" s="979">
        <f>+landbouw!F8</f>
        <v>735.59508368183572</v>
      </c>
      <c r="H24" s="979">
        <f>+landbouw!G8</f>
        <v>0</v>
      </c>
      <c r="I24" s="979">
        <f>+landbouw!H8</f>
        <v>0</v>
      </c>
      <c r="J24" s="979">
        <f>+landbouw!I8</f>
        <v>0</v>
      </c>
      <c r="K24" s="979">
        <f>+landbouw!J8</f>
        <v>25.581688166615468</v>
      </c>
      <c r="L24" s="979">
        <f>+landbouw!K8</f>
        <v>0</v>
      </c>
      <c r="M24" s="979">
        <f>+landbouw!L8</f>
        <v>0</v>
      </c>
      <c r="N24" s="979">
        <f>+landbouw!M8</f>
        <v>0</v>
      </c>
      <c r="O24" s="979">
        <f>+landbouw!N8</f>
        <v>0</v>
      </c>
      <c r="P24" s="979">
        <f>+landbouw!O8</f>
        <v>0</v>
      </c>
      <c r="Q24" s="980">
        <f>+landbouw!P8</f>
        <v>0</v>
      </c>
      <c r="R24" s="674">
        <f>SUM(C24:Q24)</f>
        <v>995.77137147354199</v>
      </c>
      <c r="S24" s="67"/>
    </row>
    <row r="25" spans="1:19" s="447" customFormat="1" ht="15" thickBot="1">
      <c r="A25" s="805" t="s">
        <v>823</v>
      </c>
      <c r="B25" s="982"/>
      <c r="C25" s="983">
        <f>IF(Onbekend_ele_kWh="---",0,Onbekend_ele_kWh)/1000+IF(REST_rest_ele_kWh="---",0,REST_rest_ele_kWh)/1000</f>
        <v>636.6154271032209</v>
      </c>
      <c r="D25" s="983"/>
      <c r="E25" s="983">
        <f>IF(onbekend_gas_kWh="---",0,onbekend_gas_kWh)/1000+IF(REST_rest_gas_kWh="---",0,REST_rest_gas_kWh)/1000</f>
        <v>944.20098810547699</v>
      </c>
      <c r="F25" s="983"/>
      <c r="G25" s="983"/>
      <c r="H25" s="983"/>
      <c r="I25" s="983"/>
      <c r="J25" s="983"/>
      <c r="K25" s="983"/>
      <c r="L25" s="983"/>
      <c r="M25" s="983"/>
      <c r="N25" s="983"/>
      <c r="O25" s="983"/>
      <c r="P25" s="983"/>
      <c r="Q25" s="984"/>
      <c r="R25" s="674">
        <f>SUM(C25:Q25)</f>
        <v>1580.8164152086979</v>
      </c>
      <c r="S25" s="67"/>
    </row>
    <row r="26" spans="1:19" s="447" customFormat="1" ht="15.75" thickBot="1">
      <c r="A26" s="679" t="s">
        <v>824</v>
      </c>
      <c r="B26" s="791"/>
      <c r="C26" s="786">
        <f>SUM(C24:C25)</f>
        <v>813.18878889042549</v>
      </c>
      <c r="D26" s="786">
        <f t="shared" ref="D26:R26" si="2">SUM(D24:D25)</f>
        <v>0</v>
      </c>
      <c r="E26" s="786">
        <f t="shared" si="2"/>
        <v>997.03219552314158</v>
      </c>
      <c r="F26" s="786">
        <f t="shared" si="2"/>
        <v>5.1900304202216514</v>
      </c>
      <c r="G26" s="786">
        <f t="shared" si="2"/>
        <v>735.59508368183572</v>
      </c>
      <c r="H26" s="786">
        <f t="shared" si="2"/>
        <v>0</v>
      </c>
      <c r="I26" s="786">
        <f t="shared" si="2"/>
        <v>0</v>
      </c>
      <c r="J26" s="786">
        <f t="shared" si="2"/>
        <v>0</v>
      </c>
      <c r="K26" s="786">
        <f t="shared" si="2"/>
        <v>25.581688166615468</v>
      </c>
      <c r="L26" s="786">
        <f t="shared" si="2"/>
        <v>0</v>
      </c>
      <c r="M26" s="786">
        <f t="shared" si="2"/>
        <v>0</v>
      </c>
      <c r="N26" s="786">
        <f t="shared" si="2"/>
        <v>0</v>
      </c>
      <c r="O26" s="786">
        <f t="shared" si="2"/>
        <v>0</v>
      </c>
      <c r="P26" s="786">
        <f t="shared" si="2"/>
        <v>0</v>
      </c>
      <c r="Q26" s="786">
        <f t="shared" si="2"/>
        <v>0</v>
      </c>
      <c r="R26" s="786">
        <f t="shared" si="2"/>
        <v>2576.5877866822398</v>
      </c>
      <c r="S26" s="67"/>
    </row>
    <row r="27" spans="1:19" s="447" customFormat="1" ht="17.25" thickTop="1" thickBot="1">
      <c r="A27" s="680" t="s">
        <v>115</v>
      </c>
      <c r="B27" s="779"/>
      <c r="C27" s="681">
        <f ca="1">C22+C16+C26</f>
        <v>35086.050347611701</v>
      </c>
      <c r="D27" s="681">
        <f t="shared" ref="D27:R27" ca="1" si="3">D22+D16+D26</f>
        <v>57.857142857142861</v>
      </c>
      <c r="E27" s="681">
        <f t="shared" ca="1" si="3"/>
        <v>50192.183465886672</v>
      </c>
      <c r="F27" s="681">
        <f t="shared" si="3"/>
        <v>11703.258990360193</v>
      </c>
      <c r="G27" s="681">
        <f t="shared" ca="1" si="3"/>
        <v>33122.056610538282</v>
      </c>
      <c r="H27" s="681">
        <f t="shared" si="3"/>
        <v>172368.92337376752</v>
      </c>
      <c r="I27" s="681">
        <f t="shared" si="3"/>
        <v>34400.808217875718</v>
      </c>
      <c r="J27" s="681">
        <f t="shared" si="3"/>
        <v>0</v>
      </c>
      <c r="K27" s="681">
        <f t="shared" si="3"/>
        <v>28.857447341274067</v>
      </c>
      <c r="L27" s="681">
        <f t="shared" si="3"/>
        <v>0</v>
      </c>
      <c r="M27" s="681">
        <f t="shared" ca="1" si="3"/>
        <v>0</v>
      </c>
      <c r="N27" s="681">
        <f t="shared" si="3"/>
        <v>11081.265209749245</v>
      </c>
      <c r="O27" s="681">
        <f t="shared" ca="1" si="3"/>
        <v>6630.0383924724647</v>
      </c>
      <c r="P27" s="681">
        <f t="shared" si="3"/>
        <v>204.79666666666671</v>
      </c>
      <c r="Q27" s="681">
        <f t="shared" si="3"/>
        <v>1334.6666666666665</v>
      </c>
      <c r="R27" s="681">
        <f t="shared" ca="1" si="3"/>
        <v>356210.7625317935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1628.4897033950856</v>
      </c>
      <c r="D40" s="979">
        <f ca="1">tertiair!C20</f>
        <v>13.749579831932778</v>
      </c>
      <c r="E40" s="979">
        <f ca="1">tertiair!D20</f>
        <v>2039.248311919391</v>
      </c>
      <c r="F40" s="979">
        <f>tertiair!E20</f>
        <v>23.287898267366341</v>
      </c>
      <c r="G40" s="979">
        <f ca="1">tertiair!F20</f>
        <v>317.59623845688162</v>
      </c>
      <c r="H40" s="979">
        <f>tertiair!G20</f>
        <v>0</v>
      </c>
      <c r="I40" s="979">
        <f>tertiair!H20</f>
        <v>0</v>
      </c>
      <c r="J40" s="979">
        <f>tertiair!I20</f>
        <v>0</v>
      </c>
      <c r="K40" s="979">
        <f>tertiair!J20</f>
        <v>4.881929250950324E-3</v>
      </c>
      <c r="L40" s="979">
        <f>tertiair!K20</f>
        <v>0</v>
      </c>
      <c r="M40" s="979">
        <f ca="1">tertiair!L20</f>
        <v>0</v>
      </c>
      <c r="N40" s="979">
        <f>tertiair!M20</f>
        <v>0</v>
      </c>
      <c r="O40" s="979">
        <f ca="1">tertiair!N20</f>
        <v>0</v>
      </c>
      <c r="P40" s="979">
        <f>tertiair!O20</f>
        <v>0</v>
      </c>
      <c r="Q40" s="748">
        <f>tertiair!P20</f>
        <v>0</v>
      </c>
      <c r="R40" s="824">
        <f t="shared" ca="1" si="4"/>
        <v>4022.3766137999082</v>
      </c>
    </row>
    <row r="41" spans="1:18">
      <c r="A41" s="796" t="s">
        <v>224</v>
      </c>
      <c r="B41" s="803"/>
      <c r="C41" s="979">
        <f ca="1">huishoudens!B12</f>
        <v>4979.3909887117934</v>
      </c>
      <c r="D41" s="979">
        <f ca="1">huishoudens!C12</f>
        <v>0</v>
      </c>
      <c r="E41" s="979">
        <f>huishoudens!D12</f>
        <v>7532.3797814434829</v>
      </c>
      <c r="F41" s="979">
        <f>huishoudens!E12</f>
        <v>2501.3360765360389</v>
      </c>
      <c r="G41" s="979">
        <f>huishoudens!F12</f>
        <v>8179.3602389517191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23192.467085643035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355.10310790423739</v>
      </c>
      <c r="D43" s="979">
        <f ca="1">industrie!C22</f>
        <v>0</v>
      </c>
      <c r="E43" s="979">
        <f>industrie!D22</f>
        <v>325.98588474595533</v>
      </c>
      <c r="F43" s="979">
        <f>industrie!E22</f>
        <v>41.074284963374424</v>
      </c>
      <c r="G43" s="979">
        <f>industrie!F22</f>
        <v>150.22875026207049</v>
      </c>
      <c r="H43" s="979">
        <f>industrie!G22</f>
        <v>0</v>
      </c>
      <c r="I43" s="979">
        <f>industrie!H22</f>
        <v>0</v>
      </c>
      <c r="J43" s="979">
        <f>industrie!I22</f>
        <v>0</v>
      </c>
      <c r="K43" s="979">
        <f>industrie!J22</f>
        <v>1.1547368185781941</v>
      </c>
      <c r="L43" s="979">
        <f>industrie!K22</f>
        <v>0</v>
      </c>
      <c r="M43" s="979">
        <f>industrie!L22</f>
        <v>0</v>
      </c>
      <c r="N43" s="979">
        <f>industrie!M22</f>
        <v>0</v>
      </c>
      <c r="O43" s="979">
        <f>industrie!N22</f>
        <v>0</v>
      </c>
      <c r="P43" s="979">
        <f>industrie!O22</f>
        <v>0</v>
      </c>
      <c r="Q43" s="748">
        <f>industrie!P22</f>
        <v>0</v>
      </c>
      <c r="R43" s="823">
        <f t="shared" ca="1" si="4"/>
        <v>873.54676469421588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6962.9838000111167</v>
      </c>
      <c r="D46" s="706">
        <f t="shared" ref="D46:Q46" ca="1" si="5">SUM(D39:D45)</f>
        <v>13.749579831932778</v>
      </c>
      <c r="E46" s="706">
        <f t="shared" ca="1" si="5"/>
        <v>9897.6139781088277</v>
      </c>
      <c r="F46" s="706">
        <f t="shared" si="5"/>
        <v>2565.6982597667798</v>
      </c>
      <c r="G46" s="706">
        <f t="shared" ca="1" si="5"/>
        <v>8647.1852276706722</v>
      </c>
      <c r="H46" s="706">
        <f t="shared" si="5"/>
        <v>0</v>
      </c>
      <c r="I46" s="706">
        <f t="shared" si="5"/>
        <v>0</v>
      </c>
      <c r="J46" s="706">
        <f t="shared" si="5"/>
        <v>0</v>
      </c>
      <c r="K46" s="706">
        <f t="shared" si="5"/>
        <v>1.1596187478291444</v>
      </c>
      <c r="L46" s="706">
        <f t="shared" si="5"/>
        <v>0</v>
      </c>
      <c r="M46" s="706">
        <f t="shared" ca="1" si="5"/>
        <v>0</v>
      </c>
      <c r="N46" s="706">
        <f t="shared" si="5"/>
        <v>0</v>
      </c>
      <c r="O46" s="706">
        <f t="shared" ca="1" si="5"/>
        <v>0</v>
      </c>
      <c r="P46" s="706">
        <f t="shared" si="5"/>
        <v>0</v>
      </c>
      <c r="Q46" s="706">
        <f t="shared" si="5"/>
        <v>0</v>
      </c>
      <c r="R46" s="706">
        <f ca="1">SUM(R39:R45)</f>
        <v>28088.390464137159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364.46243643726763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364.46243643726763</v>
      </c>
    </row>
    <row r="50" spans="1:18">
      <c r="A50" s="799" t="s">
        <v>306</v>
      </c>
      <c r="B50" s="809"/>
      <c r="C50" s="677">
        <f ca="1">transport!B18</f>
        <v>14.900409359170988</v>
      </c>
      <c r="D50" s="677">
        <f>transport!C18</f>
        <v>0</v>
      </c>
      <c r="E50" s="677">
        <f>transport!D18</f>
        <v>39.806578504604715</v>
      </c>
      <c r="F50" s="677">
        <f>transport!E18</f>
        <v>89.763394139593984</v>
      </c>
      <c r="G50" s="677">
        <f>transport!F18</f>
        <v>0</v>
      </c>
      <c r="H50" s="677">
        <f>transport!G18</f>
        <v>45658.040104358668</v>
      </c>
      <c r="I50" s="677">
        <f>transport!H18</f>
        <v>8565.8012462510542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54368.311732613089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14.900409359170988</v>
      </c>
      <c r="D52" s="706">
        <f t="shared" ref="D52:Q52" ca="1" si="6">SUM(D48:D51)</f>
        <v>0</v>
      </c>
      <c r="E52" s="706">
        <f t="shared" si="6"/>
        <v>39.806578504604715</v>
      </c>
      <c r="F52" s="706">
        <f t="shared" si="6"/>
        <v>89.763394139593984</v>
      </c>
      <c r="G52" s="706">
        <f t="shared" si="6"/>
        <v>0</v>
      </c>
      <c r="H52" s="706">
        <f t="shared" si="6"/>
        <v>46022.502540795933</v>
      </c>
      <c r="I52" s="706">
        <f t="shared" si="6"/>
        <v>8565.8012462510542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54732.774169050354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35.949973739407007</v>
      </c>
      <c r="D54" s="677">
        <f ca="1">+landbouw!C12</f>
        <v>0</v>
      </c>
      <c r="E54" s="677">
        <f>+landbouw!D12</f>
        <v>10.671903898368239</v>
      </c>
      <c r="F54" s="677">
        <f>+landbouw!E12</f>
        <v>1.178136905390315</v>
      </c>
      <c r="G54" s="677">
        <f>+landbouw!F12</f>
        <v>196.40388734305014</v>
      </c>
      <c r="H54" s="677">
        <f>+landbouw!G12</f>
        <v>0</v>
      </c>
      <c r="I54" s="677">
        <f>+landbouw!H12</f>
        <v>0</v>
      </c>
      <c r="J54" s="677">
        <f>+landbouw!I12</f>
        <v>0</v>
      </c>
      <c r="K54" s="677">
        <f>+landbouw!J12</f>
        <v>9.0559176109818758</v>
      </c>
      <c r="L54" s="677">
        <f>+landbouw!K12</f>
        <v>0</v>
      </c>
      <c r="M54" s="677">
        <f>+landbouw!L12</f>
        <v>0</v>
      </c>
      <c r="N54" s="677">
        <f>+landbouw!M12</f>
        <v>0</v>
      </c>
      <c r="O54" s="677">
        <f>+landbouw!N12</f>
        <v>0</v>
      </c>
      <c r="P54" s="677">
        <f>+landbouw!O12</f>
        <v>0</v>
      </c>
      <c r="Q54" s="678">
        <f>+landbouw!P12</f>
        <v>0</v>
      </c>
      <c r="R54" s="705">
        <f ca="1">SUM(C54:Q54)</f>
        <v>253.25981949719758</v>
      </c>
    </row>
    <row r="55" spans="1:18" ht="15" thickBot="1">
      <c r="A55" s="799" t="s">
        <v>823</v>
      </c>
      <c r="B55" s="809"/>
      <c r="C55" s="677">
        <f ca="1">C25*'EF ele_warmte'!B12</f>
        <v>129.6135932103017</v>
      </c>
      <c r="D55" s="677"/>
      <c r="E55" s="677">
        <f>E25*EF_CO2_aardgas</f>
        <v>190.72859959730636</v>
      </c>
      <c r="F55" s="677"/>
      <c r="G55" s="677"/>
      <c r="H55" s="677"/>
      <c r="I55" s="677"/>
      <c r="J55" s="677"/>
      <c r="K55" s="677"/>
      <c r="L55" s="677"/>
      <c r="M55" s="677"/>
      <c r="N55" s="677"/>
      <c r="O55" s="677"/>
      <c r="P55" s="677"/>
      <c r="Q55" s="678"/>
      <c r="R55" s="705">
        <f ca="1">SUM(C55:Q55)</f>
        <v>320.34219280760806</v>
      </c>
    </row>
    <row r="56" spans="1:18" ht="15.75" thickBot="1">
      <c r="A56" s="797" t="s">
        <v>824</v>
      </c>
      <c r="B56" s="810"/>
      <c r="C56" s="706">
        <f ca="1">SUM(C54:C55)</f>
        <v>165.5635669497087</v>
      </c>
      <c r="D56" s="706">
        <f t="shared" ref="D56:Q56" ca="1" si="7">SUM(D54:D55)</f>
        <v>0</v>
      </c>
      <c r="E56" s="706">
        <f t="shared" si="7"/>
        <v>201.4005034956746</v>
      </c>
      <c r="F56" s="706">
        <f t="shared" si="7"/>
        <v>1.178136905390315</v>
      </c>
      <c r="G56" s="706">
        <f t="shared" si="7"/>
        <v>196.40388734305014</v>
      </c>
      <c r="H56" s="706">
        <f t="shared" si="7"/>
        <v>0</v>
      </c>
      <c r="I56" s="706">
        <f t="shared" si="7"/>
        <v>0</v>
      </c>
      <c r="J56" s="706">
        <f t="shared" si="7"/>
        <v>0</v>
      </c>
      <c r="K56" s="706">
        <f t="shared" si="7"/>
        <v>9.0559176109818758</v>
      </c>
      <c r="L56" s="706">
        <f t="shared" si="7"/>
        <v>0</v>
      </c>
      <c r="M56" s="706">
        <f t="shared" si="7"/>
        <v>0</v>
      </c>
      <c r="N56" s="706">
        <f t="shared" si="7"/>
        <v>0</v>
      </c>
      <c r="O56" s="706">
        <f t="shared" si="7"/>
        <v>0</v>
      </c>
      <c r="P56" s="706">
        <f t="shared" si="7"/>
        <v>0</v>
      </c>
      <c r="Q56" s="707">
        <f t="shared" si="7"/>
        <v>0</v>
      </c>
      <c r="R56" s="708">
        <f ca="1">SUM(R54:R55)</f>
        <v>573.60201230480561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7143.4477763199966</v>
      </c>
      <c r="D61" s="714">
        <f t="shared" ref="D61:Q61" ca="1" si="8">D46+D52+D56</f>
        <v>13.749579831932778</v>
      </c>
      <c r="E61" s="714">
        <f t="shared" ca="1" si="8"/>
        <v>10138.821060109109</v>
      </c>
      <c r="F61" s="714">
        <f t="shared" si="8"/>
        <v>2656.6397908117638</v>
      </c>
      <c r="G61" s="714">
        <f t="shared" ca="1" si="8"/>
        <v>8843.5891150137231</v>
      </c>
      <c r="H61" s="714">
        <f t="shared" si="8"/>
        <v>46022.502540795933</v>
      </c>
      <c r="I61" s="714">
        <f t="shared" si="8"/>
        <v>8565.8012462510542</v>
      </c>
      <c r="J61" s="714">
        <f t="shared" si="8"/>
        <v>0</v>
      </c>
      <c r="K61" s="714">
        <f t="shared" si="8"/>
        <v>10.21553635881102</v>
      </c>
      <c r="L61" s="714">
        <f t="shared" si="8"/>
        <v>0</v>
      </c>
      <c r="M61" s="714">
        <f t="shared" ca="1" si="8"/>
        <v>0</v>
      </c>
      <c r="N61" s="714">
        <f t="shared" si="8"/>
        <v>0</v>
      </c>
      <c r="O61" s="714">
        <f t="shared" ca="1" si="8"/>
        <v>0</v>
      </c>
      <c r="P61" s="714">
        <f t="shared" si="8"/>
        <v>0</v>
      </c>
      <c r="Q61" s="714">
        <f t="shared" si="8"/>
        <v>0</v>
      </c>
      <c r="R61" s="714">
        <f ca="1">R46+R52+R56</f>
        <v>83394.766645492316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0.20359794578035909</v>
      </c>
      <c r="D63" s="755">
        <f t="shared" ca="1" si="9"/>
        <v>0.23764705882352946</v>
      </c>
      <c r="E63" s="990">
        <f t="shared" ca="1" si="9"/>
        <v>0.20200000000000001</v>
      </c>
      <c r="F63" s="755">
        <f t="shared" si="9"/>
        <v>0.22700000000000001</v>
      </c>
      <c r="G63" s="755">
        <f t="shared" ca="1" si="9"/>
        <v>0.26700000000000007</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2765.807947441373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40.5</v>
      </c>
      <c r="D76" s="1000">
        <f>'lokale energieproductie'!C8</f>
        <v>47.647058823529413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9.6247058823529414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2765.807947441373</v>
      </c>
      <c r="C78" s="729">
        <f>SUM(C72:C77)</f>
        <v>40.5</v>
      </c>
      <c r="D78" s="730">
        <f t="shared" ref="D78:H78" si="10">SUM(D76:D77)</f>
        <v>47.647058823529413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9.6247058823529414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57.857142857142861</v>
      </c>
      <c r="D87" s="751">
        <f>'lokale energieproductie'!C17</f>
        <v>68.067226890756316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13.749579831932778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57.857142857142861</v>
      </c>
      <c r="D90" s="729">
        <f t="shared" ref="D90:H90" si="12">SUM(D87:D89)</f>
        <v>68.067226890756316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13.749579831932778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2765.807947441373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40.5</v>
      </c>
      <c r="C8" s="544">
        <f>B48</f>
        <v>47.647058823529413</v>
      </c>
      <c r="D8" s="1010"/>
      <c r="E8" s="1010">
        <f>E48</f>
        <v>0</v>
      </c>
      <c r="F8" s="1011"/>
      <c r="G8" s="545"/>
      <c r="H8" s="1010">
        <f>I48</f>
        <v>0</v>
      </c>
      <c r="I8" s="1010">
        <f>G48+F48</f>
        <v>0</v>
      </c>
      <c r="J8" s="1010">
        <f>H48+D48+C48</f>
        <v>0</v>
      </c>
      <c r="K8" s="1010"/>
      <c r="L8" s="1010"/>
      <c r="M8" s="1010"/>
      <c r="N8" s="546"/>
      <c r="O8" s="547">
        <f>C8*$C$12+D8*$D$12+E8*$E$12+F8*$F$12+G8*$G$12+H8*$H$12+I8*$I$12+J8*$J$12</f>
        <v>9.6247058823529414</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2806.307947441373</v>
      </c>
      <c r="C10" s="557">
        <f t="shared" ref="C10:L10" si="0">SUM(C8:C9)</f>
        <v>47.647058823529413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9.6247058823529414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57.857142857142861</v>
      </c>
      <c r="C17" s="569">
        <f>B49</f>
        <v>68.067226890756316</v>
      </c>
      <c r="D17" s="570"/>
      <c r="E17" s="570">
        <f>E49</f>
        <v>0</v>
      </c>
      <c r="F17" s="1016"/>
      <c r="G17" s="571"/>
      <c r="H17" s="569">
        <f>I49</f>
        <v>0</v>
      </c>
      <c r="I17" s="570">
        <f>G49+F49</f>
        <v>0</v>
      </c>
      <c r="J17" s="570">
        <f>H49+D49+C49</f>
        <v>0</v>
      </c>
      <c r="K17" s="570"/>
      <c r="L17" s="570"/>
      <c r="M17" s="570"/>
      <c r="N17" s="1017"/>
      <c r="O17" s="572">
        <f>C17*$C$22+E17*$E$22+H17*$H$22+I17*$I$22+J17*$J$22+D17*$D$22+F17*$F$22+G17*$G$22+K17*$K$22+L17*$L$22</f>
        <v>13.749579831932778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57.857142857142861</v>
      </c>
      <c r="C20" s="556">
        <f>SUM(C17:C19)</f>
        <v>68.067226890756316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13.749579831932778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23105</v>
      </c>
      <c r="C28" s="770">
        <v>1790</v>
      </c>
      <c r="D28" s="627" t="s">
        <v>887</v>
      </c>
      <c r="E28" s="626" t="s">
        <v>888</v>
      </c>
      <c r="F28" s="626" t="s">
        <v>889</v>
      </c>
      <c r="G28" s="626" t="s">
        <v>890</v>
      </c>
      <c r="H28" s="626" t="s">
        <v>891</v>
      </c>
      <c r="I28" s="626" t="s">
        <v>888</v>
      </c>
      <c r="J28" s="769">
        <v>40884</v>
      </c>
      <c r="K28" s="769">
        <v>40878</v>
      </c>
      <c r="L28" s="626" t="s">
        <v>892</v>
      </c>
      <c r="M28" s="626">
        <v>9</v>
      </c>
      <c r="N28" s="626">
        <v>40.5</v>
      </c>
      <c r="O28" s="626">
        <v>57.857142857142861</v>
      </c>
      <c r="P28" s="626">
        <v>115.71428571428572</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v>
      </c>
      <c r="N29" s="584">
        <f>SUM(N28:N28)</f>
        <v>40.5</v>
      </c>
      <c r="O29" s="584">
        <f>SUM(O28:O28)</f>
        <v>57.857142857142861</v>
      </c>
      <c r="P29" s="584">
        <f>SUM(P28:P28)</f>
        <v>115.71428571428572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v>
      </c>
      <c r="N31" s="584">
        <f ca="1">SUMIF($Z$28:AD28,"tertiair",N28:N28)</f>
        <v>40.5</v>
      </c>
      <c r="O31" s="584">
        <f ca="1">SUMIF($Z$28:AE28,"tertiair",O28:O28)</f>
        <v>57.857142857142861</v>
      </c>
      <c r="P31" s="584">
        <f ca="1">SUMIF($Z$28:AF28,"tertiair",P28:P28)</f>
        <v>115.71428571428572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47.647058823529413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68.067226890756316</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24456.980494702766</v>
      </c>
      <c r="C4" s="451">
        <f>huishoudens!C8</f>
        <v>0</v>
      </c>
      <c r="D4" s="451">
        <f>huishoudens!D8</f>
        <v>37289.008819027142</v>
      </c>
      <c r="E4" s="451">
        <f>huishoudens!E8</f>
        <v>11019.10165874907</v>
      </c>
      <c r="F4" s="451">
        <f>huishoudens!F8</f>
        <v>30634.308011055127</v>
      </c>
      <c r="G4" s="451">
        <f>huishoudens!G8</f>
        <v>0</v>
      </c>
      <c r="H4" s="451">
        <f>huishoudens!H8</f>
        <v>0</v>
      </c>
      <c r="I4" s="451">
        <f>huishoudens!I8</f>
        <v>0</v>
      </c>
      <c r="J4" s="451">
        <f>huishoudens!J8</f>
        <v>0</v>
      </c>
      <c r="K4" s="451">
        <f>huishoudens!K8</f>
        <v>0</v>
      </c>
      <c r="L4" s="451">
        <f>huishoudens!L8</f>
        <v>0</v>
      </c>
      <c r="M4" s="451">
        <f>huishoudens!M8</f>
        <v>0</v>
      </c>
      <c r="N4" s="451">
        <f>huishoudens!N8</f>
        <v>5955.828683370557</v>
      </c>
      <c r="O4" s="451">
        <f>huishoudens!O8</f>
        <v>201.67000000000004</v>
      </c>
      <c r="P4" s="452">
        <f>huishoudens!P8</f>
        <v>1315.6</v>
      </c>
      <c r="Q4" s="453">
        <f>SUM(B4:P4)</f>
        <v>110872.49766690466</v>
      </c>
    </row>
    <row r="5" spans="1:17">
      <c r="A5" s="450" t="s">
        <v>155</v>
      </c>
      <c r="B5" s="451">
        <f ca="1">tertiair!B16</f>
        <v>7153.2476512144276</v>
      </c>
      <c r="C5" s="451">
        <f ca="1">tertiair!C16</f>
        <v>57.857142857142861</v>
      </c>
      <c r="D5" s="451">
        <f ca="1">tertiair!D16</f>
        <v>10095.288672868272</v>
      </c>
      <c r="E5" s="451">
        <f>tertiair!E16</f>
        <v>102.58986020866229</v>
      </c>
      <c r="F5" s="451">
        <f ca="1">tertiair!F16</f>
        <v>1189.4990204377589</v>
      </c>
      <c r="G5" s="451">
        <f>tertiair!G16</f>
        <v>0</v>
      </c>
      <c r="H5" s="451">
        <f>tertiair!H16</f>
        <v>0</v>
      </c>
      <c r="I5" s="451">
        <f>tertiair!I16</f>
        <v>0</v>
      </c>
      <c r="J5" s="451">
        <f>tertiair!J16</f>
        <v>1.379076059590487E-2</v>
      </c>
      <c r="K5" s="451">
        <f>tertiair!K16</f>
        <v>0</v>
      </c>
      <c r="L5" s="451">
        <f ca="1">tertiair!L16</f>
        <v>0</v>
      </c>
      <c r="M5" s="451">
        <f>tertiair!M16</f>
        <v>0</v>
      </c>
      <c r="N5" s="451">
        <f ca="1">tertiair!N16</f>
        <v>551.33864604172163</v>
      </c>
      <c r="O5" s="451">
        <f>tertiair!O16</f>
        <v>3.1266666666666669</v>
      </c>
      <c r="P5" s="452">
        <f>tertiair!P16</f>
        <v>19.066666666666666</v>
      </c>
      <c r="Q5" s="450">
        <f t="shared" ref="Q5:Q14" ca="1" si="0">SUM(B5:P5)</f>
        <v>19172.028117721915</v>
      </c>
    </row>
    <row r="6" spans="1:17">
      <c r="A6" s="450" t="s">
        <v>193</v>
      </c>
      <c r="B6" s="451">
        <f>'openbare verlichting'!B8</f>
        <v>845.30899999999997</v>
      </c>
      <c r="C6" s="451"/>
      <c r="D6" s="451"/>
      <c r="E6" s="451"/>
      <c r="F6" s="451"/>
      <c r="G6" s="451"/>
      <c r="H6" s="451"/>
      <c r="I6" s="451"/>
      <c r="J6" s="451"/>
      <c r="K6" s="451"/>
      <c r="L6" s="451"/>
      <c r="M6" s="451"/>
      <c r="N6" s="451"/>
      <c r="O6" s="451"/>
      <c r="P6" s="452"/>
      <c r="Q6" s="450">
        <f t="shared" si="0"/>
        <v>845.30899999999997</v>
      </c>
    </row>
    <row r="7" spans="1:17">
      <c r="A7" s="450" t="s">
        <v>111</v>
      </c>
      <c r="B7" s="451">
        <f>landbouw!B8</f>
        <v>176.57336178720459</v>
      </c>
      <c r="C7" s="451">
        <f>landbouw!C8</f>
        <v>0</v>
      </c>
      <c r="D7" s="451">
        <f>landbouw!D8</f>
        <v>52.831207417664544</v>
      </c>
      <c r="E7" s="451">
        <f>landbouw!E8</f>
        <v>5.1900304202216514</v>
      </c>
      <c r="F7" s="451">
        <f>landbouw!F8</f>
        <v>735.59508368183572</v>
      </c>
      <c r="G7" s="451">
        <f>landbouw!G8</f>
        <v>0</v>
      </c>
      <c r="H7" s="451">
        <f>landbouw!H8</f>
        <v>0</v>
      </c>
      <c r="I7" s="451">
        <f>landbouw!I8</f>
        <v>0</v>
      </c>
      <c r="J7" s="451">
        <f>landbouw!J8</f>
        <v>25.581688166615468</v>
      </c>
      <c r="K7" s="451">
        <f>landbouw!K8</f>
        <v>0</v>
      </c>
      <c r="L7" s="451">
        <f>landbouw!L8</f>
        <v>0</v>
      </c>
      <c r="M7" s="451">
        <f>landbouw!M8</f>
        <v>0</v>
      </c>
      <c r="N7" s="451">
        <f>landbouw!N8</f>
        <v>0</v>
      </c>
      <c r="O7" s="451">
        <f>landbouw!O8</f>
        <v>0</v>
      </c>
      <c r="P7" s="452">
        <f>landbouw!P8</f>
        <v>0</v>
      </c>
      <c r="Q7" s="450">
        <f t="shared" si="0"/>
        <v>995.77137147354199</v>
      </c>
    </row>
    <row r="8" spans="1:17">
      <c r="A8" s="450" t="s">
        <v>634</v>
      </c>
      <c r="B8" s="451">
        <f>industrie!B18</f>
        <v>1744.1389525969073</v>
      </c>
      <c r="C8" s="451">
        <f>industrie!C18</f>
        <v>0</v>
      </c>
      <c r="D8" s="451">
        <f>industrie!D18</f>
        <v>1613.7915086433431</v>
      </c>
      <c r="E8" s="451">
        <f>industrie!E18</f>
        <v>180.94398662279482</v>
      </c>
      <c r="F8" s="451">
        <f>industrie!F18</f>
        <v>562.65449536355982</v>
      </c>
      <c r="G8" s="451">
        <f>industrie!G18</f>
        <v>0</v>
      </c>
      <c r="H8" s="451">
        <f>industrie!H18</f>
        <v>0</v>
      </c>
      <c r="I8" s="451">
        <f>industrie!I18</f>
        <v>0</v>
      </c>
      <c r="J8" s="451">
        <f>industrie!J18</f>
        <v>3.2619684140626952</v>
      </c>
      <c r="K8" s="451">
        <f>industrie!K18</f>
        <v>0</v>
      </c>
      <c r="L8" s="451">
        <f>industrie!L18</f>
        <v>0</v>
      </c>
      <c r="M8" s="451">
        <f>industrie!M18</f>
        <v>0</v>
      </c>
      <c r="N8" s="451">
        <f>industrie!N18</f>
        <v>122.87106306018626</v>
      </c>
      <c r="O8" s="451">
        <f>industrie!O18</f>
        <v>0</v>
      </c>
      <c r="P8" s="452">
        <f>industrie!P18</f>
        <v>0</v>
      </c>
      <c r="Q8" s="450">
        <f t="shared" si="0"/>
        <v>4227.6619747008544</v>
      </c>
    </row>
    <row r="9" spans="1:17" s="456" customFormat="1">
      <c r="A9" s="454" t="s">
        <v>560</v>
      </c>
      <c r="B9" s="455">
        <f>transport!B14</f>
        <v>73.185460207174728</v>
      </c>
      <c r="C9" s="455">
        <f>transport!C14</f>
        <v>0</v>
      </c>
      <c r="D9" s="455">
        <f>transport!D14</f>
        <v>197.0622698247758</v>
      </c>
      <c r="E9" s="455">
        <f>transport!E14</f>
        <v>395.43345435944485</v>
      </c>
      <c r="F9" s="455">
        <f>transport!F14</f>
        <v>0</v>
      </c>
      <c r="G9" s="455">
        <f>transport!G14</f>
        <v>171003.89552194256</v>
      </c>
      <c r="H9" s="455">
        <f>transport!H14</f>
        <v>34400.808217875718</v>
      </c>
      <c r="I9" s="455">
        <f>transport!I14</f>
        <v>0</v>
      </c>
      <c r="J9" s="455">
        <f>transport!J14</f>
        <v>0</v>
      </c>
      <c r="K9" s="455">
        <f>transport!K14</f>
        <v>0</v>
      </c>
      <c r="L9" s="455">
        <f>transport!L14</f>
        <v>0</v>
      </c>
      <c r="M9" s="455">
        <f>transport!M14</f>
        <v>11003.743510150625</v>
      </c>
      <c r="N9" s="455">
        <f>transport!N14</f>
        <v>0</v>
      </c>
      <c r="O9" s="455">
        <f>transport!O14</f>
        <v>0</v>
      </c>
      <c r="P9" s="455">
        <f>transport!P14</f>
        <v>0</v>
      </c>
      <c r="Q9" s="454">
        <f>SUM(B9:P9)</f>
        <v>217074.12843436029</v>
      </c>
    </row>
    <row r="10" spans="1:17">
      <c r="A10" s="450" t="s">
        <v>550</v>
      </c>
      <c r="B10" s="451">
        <f>transport!B54</f>
        <v>0</v>
      </c>
      <c r="C10" s="451">
        <f>transport!C54</f>
        <v>0</v>
      </c>
      <c r="D10" s="451">
        <f>transport!D54</f>
        <v>0</v>
      </c>
      <c r="E10" s="451">
        <f>transport!E54</f>
        <v>0</v>
      </c>
      <c r="F10" s="451">
        <f>transport!F54</f>
        <v>0</v>
      </c>
      <c r="G10" s="451">
        <f>transport!G54</f>
        <v>1365.0278518249722</v>
      </c>
      <c r="H10" s="451">
        <f>transport!H54</f>
        <v>0</v>
      </c>
      <c r="I10" s="451">
        <f>transport!I54</f>
        <v>0</v>
      </c>
      <c r="J10" s="451">
        <f>transport!J54</f>
        <v>0</v>
      </c>
      <c r="K10" s="451">
        <f>transport!K54</f>
        <v>0</v>
      </c>
      <c r="L10" s="451">
        <f>transport!L54</f>
        <v>0</v>
      </c>
      <c r="M10" s="451">
        <f>transport!M54</f>
        <v>77.521699598619094</v>
      </c>
      <c r="N10" s="451">
        <f>transport!N54</f>
        <v>0</v>
      </c>
      <c r="O10" s="451">
        <f>transport!O54</f>
        <v>0</v>
      </c>
      <c r="P10" s="452">
        <f>transport!P54</f>
        <v>0</v>
      </c>
      <c r="Q10" s="450">
        <f t="shared" si="0"/>
        <v>1442.5495514235913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636.6154271032209</v>
      </c>
      <c r="C14" s="458"/>
      <c r="D14" s="458">
        <f>'SEAP template'!E25</f>
        <v>944.20098810547699</v>
      </c>
      <c r="E14" s="458"/>
      <c r="F14" s="458"/>
      <c r="G14" s="458"/>
      <c r="H14" s="458"/>
      <c r="I14" s="458"/>
      <c r="J14" s="458"/>
      <c r="K14" s="458"/>
      <c r="L14" s="458"/>
      <c r="M14" s="458"/>
      <c r="N14" s="458"/>
      <c r="O14" s="458"/>
      <c r="P14" s="459"/>
      <c r="Q14" s="450">
        <f t="shared" si="0"/>
        <v>1580.8164152086979</v>
      </c>
    </row>
    <row r="15" spans="1:17" s="460" customFormat="1">
      <c r="A15" s="1005" t="s">
        <v>554</v>
      </c>
      <c r="B15" s="953">
        <f ca="1">SUM(B4:B14)</f>
        <v>35086.050347611701</v>
      </c>
      <c r="C15" s="953">
        <f t="shared" ref="C15:Q15" ca="1" si="1">SUM(C4:C14)</f>
        <v>57.857142857142861</v>
      </c>
      <c r="D15" s="953">
        <f t="shared" ca="1" si="1"/>
        <v>50192.183465886672</v>
      </c>
      <c r="E15" s="953">
        <f t="shared" si="1"/>
        <v>11703.258990360193</v>
      </c>
      <c r="F15" s="953">
        <f t="shared" ca="1" si="1"/>
        <v>33122.056610538282</v>
      </c>
      <c r="G15" s="953">
        <f t="shared" si="1"/>
        <v>172368.92337376752</v>
      </c>
      <c r="H15" s="953">
        <f t="shared" si="1"/>
        <v>34400.808217875718</v>
      </c>
      <c r="I15" s="953">
        <f t="shared" si="1"/>
        <v>0</v>
      </c>
      <c r="J15" s="953">
        <f t="shared" si="1"/>
        <v>28.857447341274071</v>
      </c>
      <c r="K15" s="953">
        <f t="shared" si="1"/>
        <v>0</v>
      </c>
      <c r="L15" s="953">
        <f t="shared" ca="1" si="1"/>
        <v>0</v>
      </c>
      <c r="M15" s="953">
        <f t="shared" si="1"/>
        <v>11081.265209749245</v>
      </c>
      <c r="N15" s="953">
        <f t="shared" ca="1" si="1"/>
        <v>6630.0383924724647</v>
      </c>
      <c r="O15" s="953">
        <f t="shared" si="1"/>
        <v>204.79666666666671</v>
      </c>
      <c r="P15" s="953">
        <f t="shared" si="1"/>
        <v>1334.6666666666665</v>
      </c>
      <c r="Q15" s="953">
        <f t="shared" ca="1" si="1"/>
        <v>356210.76253179356</v>
      </c>
    </row>
    <row r="17" spans="1:17">
      <c r="A17" s="461" t="s">
        <v>555</v>
      </c>
      <c r="B17" s="760">
        <f ca="1">huishoudens!B10</f>
        <v>0.20359794578035909</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4979.3909887117934</v>
      </c>
      <c r="C22" s="451">
        <f t="shared" ref="C22:C32" ca="1" si="3">C4*$C$17</f>
        <v>0</v>
      </c>
      <c r="D22" s="451">
        <f t="shared" ref="D22:D32" si="4">D4*$D$17</f>
        <v>7532.3797814434829</v>
      </c>
      <c r="E22" s="451">
        <f t="shared" ref="E22:E32" si="5">E4*$E$17</f>
        <v>2501.3360765360389</v>
      </c>
      <c r="F22" s="451">
        <f t="shared" ref="F22:F32" si="6">F4*$F$17</f>
        <v>8179.3602389517191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23192.467085643035</v>
      </c>
    </row>
    <row r="23" spans="1:17">
      <c r="A23" s="450" t="s">
        <v>155</v>
      </c>
      <c r="B23" s="451">
        <f t="shared" ca="1" si="2"/>
        <v>1456.3865274454361</v>
      </c>
      <c r="C23" s="451">
        <f t="shared" ca="1" si="3"/>
        <v>13.749579831932778</v>
      </c>
      <c r="D23" s="451">
        <f t="shared" ca="1" si="4"/>
        <v>2039.248311919391</v>
      </c>
      <c r="E23" s="451">
        <f t="shared" si="5"/>
        <v>23.287898267366341</v>
      </c>
      <c r="F23" s="451">
        <f t="shared" ca="1" si="6"/>
        <v>317.59623845688162</v>
      </c>
      <c r="G23" s="451">
        <f t="shared" si="7"/>
        <v>0</v>
      </c>
      <c r="H23" s="451">
        <f t="shared" si="8"/>
        <v>0</v>
      </c>
      <c r="I23" s="451">
        <f t="shared" si="9"/>
        <v>0</v>
      </c>
      <c r="J23" s="451">
        <f t="shared" si="10"/>
        <v>4.881929250950324E-3</v>
      </c>
      <c r="K23" s="451">
        <f t="shared" si="11"/>
        <v>0</v>
      </c>
      <c r="L23" s="451">
        <f t="shared" ca="1" si="12"/>
        <v>0</v>
      </c>
      <c r="M23" s="451">
        <f t="shared" si="13"/>
        <v>0</v>
      </c>
      <c r="N23" s="451">
        <f t="shared" ca="1" si="14"/>
        <v>0</v>
      </c>
      <c r="O23" s="451">
        <f t="shared" si="15"/>
        <v>0</v>
      </c>
      <c r="P23" s="452">
        <f t="shared" si="16"/>
        <v>0</v>
      </c>
      <c r="Q23" s="450">
        <f t="shared" ref="Q23:Q32" ca="1" si="17">SUM(B23:P23)</f>
        <v>3850.2734378502591</v>
      </c>
    </row>
    <row r="24" spans="1:17">
      <c r="A24" s="450" t="s">
        <v>193</v>
      </c>
      <c r="B24" s="451">
        <f t="shared" ca="1" si="2"/>
        <v>172.10317594964954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172.10317594964954</v>
      </c>
    </row>
    <row r="25" spans="1:17">
      <c r="A25" s="450" t="s">
        <v>111</v>
      </c>
      <c r="B25" s="451">
        <f t="shared" ca="1" si="2"/>
        <v>35.949973739407007</v>
      </c>
      <c r="C25" s="451">
        <f t="shared" ca="1" si="3"/>
        <v>0</v>
      </c>
      <c r="D25" s="451">
        <f t="shared" si="4"/>
        <v>10.671903898368239</v>
      </c>
      <c r="E25" s="451">
        <f t="shared" si="5"/>
        <v>1.178136905390315</v>
      </c>
      <c r="F25" s="451">
        <f t="shared" si="6"/>
        <v>196.40388734305014</v>
      </c>
      <c r="G25" s="451">
        <f t="shared" si="7"/>
        <v>0</v>
      </c>
      <c r="H25" s="451">
        <f t="shared" si="8"/>
        <v>0</v>
      </c>
      <c r="I25" s="451">
        <f t="shared" si="9"/>
        <v>0</v>
      </c>
      <c r="J25" s="451">
        <f t="shared" si="10"/>
        <v>9.0559176109818758</v>
      </c>
      <c r="K25" s="451">
        <f t="shared" si="11"/>
        <v>0</v>
      </c>
      <c r="L25" s="451">
        <f t="shared" si="12"/>
        <v>0</v>
      </c>
      <c r="M25" s="451">
        <f t="shared" si="13"/>
        <v>0</v>
      </c>
      <c r="N25" s="451">
        <f t="shared" si="14"/>
        <v>0</v>
      </c>
      <c r="O25" s="451">
        <f t="shared" si="15"/>
        <v>0</v>
      </c>
      <c r="P25" s="452">
        <f t="shared" si="16"/>
        <v>0</v>
      </c>
      <c r="Q25" s="450">
        <f t="shared" ca="1" si="17"/>
        <v>253.25981949719758</v>
      </c>
    </row>
    <row r="26" spans="1:17">
      <c r="A26" s="450" t="s">
        <v>634</v>
      </c>
      <c r="B26" s="451">
        <f t="shared" ca="1" si="2"/>
        <v>355.10310790423739</v>
      </c>
      <c r="C26" s="451">
        <f t="shared" ca="1" si="3"/>
        <v>0</v>
      </c>
      <c r="D26" s="451">
        <f t="shared" si="4"/>
        <v>325.98588474595533</v>
      </c>
      <c r="E26" s="451">
        <f t="shared" si="5"/>
        <v>41.074284963374424</v>
      </c>
      <c r="F26" s="451">
        <f t="shared" si="6"/>
        <v>150.22875026207049</v>
      </c>
      <c r="G26" s="451">
        <f t="shared" si="7"/>
        <v>0</v>
      </c>
      <c r="H26" s="451">
        <f t="shared" si="8"/>
        <v>0</v>
      </c>
      <c r="I26" s="451">
        <f t="shared" si="9"/>
        <v>0</v>
      </c>
      <c r="J26" s="451">
        <f t="shared" si="10"/>
        <v>1.1547368185781941</v>
      </c>
      <c r="K26" s="451">
        <f t="shared" si="11"/>
        <v>0</v>
      </c>
      <c r="L26" s="451">
        <f t="shared" si="12"/>
        <v>0</v>
      </c>
      <c r="M26" s="451">
        <f t="shared" si="13"/>
        <v>0</v>
      </c>
      <c r="N26" s="451">
        <f t="shared" si="14"/>
        <v>0</v>
      </c>
      <c r="O26" s="451">
        <f t="shared" si="15"/>
        <v>0</v>
      </c>
      <c r="P26" s="452">
        <f t="shared" si="16"/>
        <v>0</v>
      </c>
      <c r="Q26" s="450">
        <f t="shared" ca="1" si="17"/>
        <v>873.54676469421588</v>
      </c>
    </row>
    <row r="27" spans="1:17" s="456" customFormat="1">
      <c r="A27" s="454" t="s">
        <v>560</v>
      </c>
      <c r="B27" s="754">
        <f t="shared" ca="1" si="2"/>
        <v>14.900409359170988</v>
      </c>
      <c r="C27" s="455">
        <f t="shared" ca="1" si="3"/>
        <v>0</v>
      </c>
      <c r="D27" s="455">
        <f t="shared" si="4"/>
        <v>39.806578504604715</v>
      </c>
      <c r="E27" s="455">
        <f t="shared" si="5"/>
        <v>89.763394139593984</v>
      </c>
      <c r="F27" s="455">
        <f t="shared" si="6"/>
        <v>0</v>
      </c>
      <c r="G27" s="455">
        <f t="shared" si="7"/>
        <v>45658.040104358668</v>
      </c>
      <c r="H27" s="455">
        <f t="shared" si="8"/>
        <v>8565.8012462510542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54368.311732613089</v>
      </c>
    </row>
    <row r="28" spans="1:17">
      <c r="A28" s="450" t="s">
        <v>550</v>
      </c>
      <c r="B28" s="451">
        <f t="shared" ca="1" si="2"/>
        <v>0</v>
      </c>
      <c r="C28" s="451">
        <f t="shared" ca="1" si="3"/>
        <v>0</v>
      </c>
      <c r="D28" s="451">
        <f t="shared" si="4"/>
        <v>0</v>
      </c>
      <c r="E28" s="451">
        <f t="shared" si="5"/>
        <v>0</v>
      </c>
      <c r="F28" s="451">
        <f t="shared" si="6"/>
        <v>0</v>
      </c>
      <c r="G28" s="451">
        <f t="shared" si="7"/>
        <v>364.46243643726763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364.46243643726763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129.6135932103017</v>
      </c>
      <c r="C32" s="451">
        <f t="shared" ca="1" si="3"/>
        <v>0</v>
      </c>
      <c r="D32" s="451">
        <f t="shared" si="4"/>
        <v>190.72859959730636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320.34219280760806</v>
      </c>
    </row>
    <row r="33" spans="1:17" s="460" customFormat="1">
      <c r="A33" s="1005" t="s">
        <v>554</v>
      </c>
      <c r="B33" s="953">
        <f ca="1">SUM(B22:B32)</f>
        <v>7143.4477763199966</v>
      </c>
      <c r="C33" s="953">
        <f t="shared" ref="C33:Q33" ca="1" si="18">SUM(C22:C32)</f>
        <v>13.749579831932778</v>
      </c>
      <c r="D33" s="953">
        <f t="shared" ca="1" si="18"/>
        <v>10138.821060109109</v>
      </c>
      <c r="E33" s="953">
        <f t="shared" si="18"/>
        <v>2656.6397908117638</v>
      </c>
      <c r="F33" s="953">
        <f t="shared" ca="1" si="18"/>
        <v>8843.5891150137231</v>
      </c>
      <c r="G33" s="953">
        <f t="shared" si="18"/>
        <v>46022.502540795933</v>
      </c>
      <c r="H33" s="953">
        <f t="shared" si="18"/>
        <v>8565.8012462510542</v>
      </c>
      <c r="I33" s="953">
        <f t="shared" si="18"/>
        <v>0</v>
      </c>
      <c r="J33" s="953">
        <f t="shared" si="18"/>
        <v>10.21553635881102</v>
      </c>
      <c r="K33" s="953">
        <f t="shared" si="18"/>
        <v>0</v>
      </c>
      <c r="L33" s="953">
        <f t="shared" ca="1" si="18"/>
        <v>0</v>
      </c>
      <c r="M33" s="953">
        <f t="shared" si="18"/>
        <v>0</v>
      </c>
      <c r="N33" s="953">
        <f t="shared" ca="1" si="18"/>
        <v>0</v>
      </c>
      <c r="O33" s="953">
        <f t="shared" si="18"/>
        <v>0</v>
      </c>
      <c r="P33" s="953">
        <f t="shared" si="18"/>
        <v>0</v>
      </c>
      <c r="Q33" s="953">
        <f t="shared" ca="1" si="18"/>
        <v>83394.766645492331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2765.807947441373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40.5</v>
      </c>
      <c r="D8" s="1022">
        <f>'SEAP template'!D76</f>
        <v>47.647058823529413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9.6247058823529414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2765.807947441373</v>
      </c>
      <c r="C10" s="1026">
        <f>SUM(C4:C9)</f>
        <v>40.5</v>
      </c>
      <c r="D10" s="1026">
        <f t="shared" ref="D10:H10" si="0">SUM(D8:D9)</f>
        <v>47.647058823529413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9.6247058823529414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0.20359794578035909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57.857142857142861</v>
      </c>
      <c r="D17" s="1023">
        <f>'SEAP template'!D87</f>
        <v>68.067226890756316</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13.749579831932778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57.857142857142861</v>
      </c>
      <c r="D20" s="1026">
        <f t="shared" ref="D20:H20" si="2">SUM(D17:D19)</f>
        <v>68.067226890756316</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13.749579831932778</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0.20359794578035909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2020-06-20T15:42:13Z</dcterms:modified>
</cp:coreProperties>
</file>