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M77" i="14" s="1"/>
  <c r="M9" i="61" s="1"/>
  <c r="C13" i="15"/>
  <c r="C45" i="18"/>
  <c r="H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E48" i="18"/>
  <c r="E8" i="18" s="1"/>
  <c r="G48" i="18"/>
  <c r="F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C48" i="18"/>
  <c r="I48" i="18"/>
  <c r="H8" i="18" s="1"/>
  <c r="M76" i="14" s="1"/>
  <c r="B48" i="18"/>
  <c r="C8" i="18" s="1"/>
  <c r="D76" i="14" s="1"/>
  <c r="D8" i="61" s="1"/>
  <c r="D10" i="61" s="1"/>
  <c r="D48" i="18"/>
  <c r="J8" i="18" s="1"/>
  <c r="O9" i="18"/>
  <c r="H78" i="14"/>
  <c r="H9" i="61"/>
  <c r="H10" i="61" s="1"/>
  <c r="O90" i="14"/>
  <c r="O18" i="61"/>
  <c r="O20" i="61" s="1"/>
  <c r="B88" i="14"/>
  <c r="B18" i="61" s="1"/>
  <c r="B77" i="14"/>
  <c r="B9" i="61" s="1"/>
  <c r="Q77" i="14"/>
  <c r="P9" i="61" s="1"/>
  <c r="J17" i="18"/>
  <c r="H20" i="18"/>
  <c r="M87" i="14"/>
  <c r="H10" i="18"/>
  <c r="E20" i="18"/>
  <c r="F87" i="14"/>
  <c r="C77" i="14"/>
  <c r="C9" i="61" s="1"/>
  <c r="C20" i="18"/>
  <c r="D87" i="14"/>
  <c r="D17" i="61" s="1"/>
  <c r="D20" i="61" s="1"/>
  <c r="C88" i="14"/>
  <c r="C18" i="61" s="1"/>
  <c r="F76" i="14"/>
  <c r="E10" i="18"/>
  <c r="I17" i="18"/>
  <c r="I10" i="18"/>
  <c r="I76" i="14"/>
  <c r="I8" i="61" s="1"/>
  <c r="I10" i="61" s="1"/>
  <c r="Q88" i="14"/>
  <c r="P18" i="61" s="1"/>
  <c r="I33" i="48"/>
  <c r="C10" i="18" l="1"/>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Q63" i="14"/>
  <c r="P16" i="14"/>
  <c r="P27" i="14" s="1"/>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K10" i="14"/>
  <c r="J5" i="48"/>
  <c r="J23" i="48"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F63" i="14" s="1"/>
  <c r="E33" i="48"/>
  <c r="K13" i="14"/>
  <c r="K16" i="14" s="1"/>
  <c r="K27" i="14" s="1"/>
  <c r="J8" i="48"/>
  <c r="J26" i="48" s="1"/>
  <c r="J33"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<sst xmlns="http://schemas.openxmlformats.org/spreadsheetml/2006/main" count="2398" uniqueCount="887">
  <si>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</si>
  <si>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</si>
  <si>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</si>
  <si>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</si>
  <si>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</si>
  <si>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</si>
  <si>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</si>
  <si>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</si>
  <si>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</si>
  <si>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</si>
  <si>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</si>
  <si>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</si>
  <si>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</si>
  <si>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</si>
  <si>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</si>
  <si>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</si>
  <si>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</si>
  <si>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</si>
  <si>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</si>
  <si>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</si>
  <si>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</si>
  <si>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</si>
  <si>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</si>
  <si>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</si>
  <si>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</si>
  <si>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</si>
  <si>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</si>
  <si>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</si>
  <si>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</si>
  <si>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</si>
  <si>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</si>
  <si>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</si>
  <si>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</si>
  <si>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</si>
  <si>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</si>
  <si>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</si>
  <si>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</si>
  <si>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</si>
  <si>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</si>
  <si>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</si>
  <si>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</si>
  <si>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</si>
  <si>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</si>
  <si>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</si>
  <si>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</si>
  <si>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</si>
  <si>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</si>
  <si>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</si>
  <si>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</si>
  <si>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</si>
  <si>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</si>
  <si>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</si>
  <si>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</si>
  <si>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</si>
  <si>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</si>
  <si>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</si>
  <si>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</si>
  <si>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</si>
  <si>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</si>
  <si>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</si>
  <si>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</si>
  <si>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</si>
  <si>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</si>
  <si>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</si>
  <si>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</si>
  <si>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</si>
  <si>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</si>
  <si>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</si>
  <si>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</si>
  <si>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</si>
  <si>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</si>
  <si>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</si>
  <si>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</si>
  <si>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</si>
  <si>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</si>
  <si>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</si>
  <si>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</si>
  <si>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</si>
  <si>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</si>
  <si>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</si>
  <si>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</si>
  <si>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</si>
  <si>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</si>
  <si>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</si>
  <si>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</si>
  <si>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</si>
  <si>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</si>
  <si>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</si>
  <si>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</si>
  <si>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</si>
  <si>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</si>
  <si>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</si>
  <si>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</si>
  <si>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</si>
  <si>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</si>
  <si>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</si>
  <si>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</si>
  <si>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</si>
  <si>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</si>
  <si>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</si>
  <si>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</si>
  <si>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</si>
  <si>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</si>
  <si>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</si>
  <si>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</si>
  <si>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</si>
  <si>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</si>
  <si>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</si>
  <si>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</si>
  <si>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</si>
  <si>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</si>
  <si>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</si>
  <si>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</si>
  <si>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</si>
  <si>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</si>
  <si>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</si>
  <si>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</si>
  <si>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</si>
  <si>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</si>
  <si>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</si>
  <si>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</si>
  <si>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</si>
  <si>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</si>
  <si>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</si>
  <si>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</si>
  <si>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</si>
  <si>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</si>
  <si>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</si>
  <si>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</si>
  <si>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</si>
  <si>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</si>
  <si>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</si>
  <si>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</si>
  <si>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</si>
  <si>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</si>
  <si>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</si>
  <si>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</si>
  <si>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</si>
  <si>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</si>
  <si>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</si>
  <si>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</si>
  <si>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</si>
  <si>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</si>
  <si>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</si>
  <si>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</si>
  <si>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</si>
  <si>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</si>
  <si>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</si>
  <si>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</si>
  <si>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</si>
  <si>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</si>
  <si>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</si>
  <si>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</si>
  <si>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</si>
  <si>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</si>
  <si>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</si>
  <si>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</si>
  <si>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</si>
  <si>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</si>
  <si>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</si>
  <si>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</si>
  <si>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</si>
  <si>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</si>
  <si>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</si>
  <si>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</si>
  <si>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</si>
  <si>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</si>
  <si>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</si>
  <si>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</si>
  <si>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</si>
  <si>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</si>
  <si>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</si>
  <si>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</si>
  <si>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</si>
  <si>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</si>
  <si>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</si>
  <si>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</si>
  <si>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</si>
  <si>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</si>
  <si>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</si>
  <si>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</si>
  <si>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</si>
  <si>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</si>
  <si>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</si>
  <si>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</si>
  <si>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</si>
  <si>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</si>
  <si>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</si>
  <si>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</si>
  <si>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</si>
  <si>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</si>
  <si>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</si>
  <si>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</si>
  <si>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</si>
  <si>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</si>
  <si>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</si>
  <si>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</si>
  <si>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</si>
  <si>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</si>
  <si>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</si>
  <si>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</si>
  <si>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</si>
  <si>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</si>
  <si>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</si>
  <si>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</si>
  <si>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</si>
  <si>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</si>
  <si>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</si>
  <si>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</si>
  <si>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</si>
  <si>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</si>
  <si>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</si>
  <si>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</si>
  <si>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</si>
  <si>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</si>
  <si>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</si>
  <si>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</si>
  <si>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</si>
  <si>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</si>
  <si>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</si>
  <si>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</si>
  <si>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</si>
  <si>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</si>
  <si>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</si>
  <si>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</si>
  <si>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</si>
  <si>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</si>
  <si>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</si>
  <si>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</si>
  <si>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</si>
  <si>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</si>
  <si>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</si>
  <si>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</si>
  <si>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</si>
  <si>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</si>
  <si>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</si>
  <si>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</si>
  <si>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</si>
  <si>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</si>
  <si>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</si>
  <si>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</si>
  <si>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</si>
  <si>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</si>
  <si>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</si>
  <si>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</si>
  <si>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</si>
  <si>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</si>
  <si>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</si>
  <si>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</si>
  <si>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</si>
  <si>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</si>
  <si>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</si>
  <si>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</si>
  <si>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</si>
  <si>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</si>
  <si>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</si>
  <si>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</si>
  <si>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</si>
  <si>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</si>
  <si>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</si>
  <si>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</si>
  <si>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</si>
  <si>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</si>
  <si>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</si>
  <si>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</si>
  <si>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</si>
  <si>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</si>
  <si>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</si>
  <si>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</si>
  <si>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</si>
  <si>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</si>
  <si>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</si>
  <si>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</si>
  <si>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</si>
  <si>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</si>
  <si>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</si>
  <si>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</si>
  <si>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</si>
  <si>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</si>
  <si>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</si>
  <si>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</si>
  <si>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</si>
  <si>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</si>
  <si>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</si>
  <si>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</si>
  <si>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</si>
  <si>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</si>
  <si>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</si>
  <si>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</si>
  <si>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</si>
  <si>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</si>
  <si>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</si>
  <si>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</si>
  <si>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</si>
  <si>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</si>
  <si>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</si>
  <si>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</si>
  <si>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</si>
  <si>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</si>
  <si>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</si>
  <si>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</si>
  <si>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</si>
  <si>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</si>
  <si>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</si>
  <si>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</si>
  <si>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</si>
  <si>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</si>
  <si>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</si>
  <si>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</si>
  <si>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</si>
  <si>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</si>
  <si>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</si>
  <si>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</si>
  <si>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</si>
  <si>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</si>
  <si>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</si>
  <si>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</si>
  <si>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</si>
  <si>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</si>
  <si>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</si>
  <si>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</si>
  <si>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</si>
  <si>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</si>
  <si>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</si>
  <si>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</si>
  <si>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</si>
  <si>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</si>
  <si>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</si>
  <si>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</si>
  <si>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</si>
  <si>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</si>
  <si>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</si>
  <si>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</si>
  <si>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</si>
  <si>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</si>
  <si>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</si>
  <si>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</si>
  <si>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</si>
  <si>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</si>
  <si>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</si>
  <si>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</si>
  <si>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</si>
  <si>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</si>
  <si>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</si>
  <si>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</si>
  <si>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</si>
  <si>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</si>
  <si>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</si>
  <si>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</si>
  <si>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</si>
  <si>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</si>
  <si>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</si>
  <si>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</si>
  <si>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</si>
  <si>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</si>
  <si>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</si>
  <si>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</si>
  <si>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</si>
  <si>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</si>
  <si>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</si>
  <si>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</si>
  <si>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</si>
  <si>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</si>
  <si>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</si>
  <si>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</si>
  <si>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</si>
  <si>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</si>
  <si>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</si>
  <si>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</si>
  <si>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</si>
  <si>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</si>
  <si>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</si>
  <si>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</si>
  <si>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</si>
  <si>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</si>
  <si>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</si>
  <si>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</si>
  <si>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</si>
  <si>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</si>
  <si>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</si>
  <si>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</si>
  <si>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</si>
  <si>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</si>
  <si>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</si>
  <si>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</si>
  <si>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</si>
  <si>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</si>
  <si>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</si>
  <si>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</si>
  <si>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</si>
  <si>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</si>
  <si>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</si>
  <si>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</si>
  <si>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</si>
  <si>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</si>
  <si>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</si>
  <si>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</si>
  <si>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</si>
  <si>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</si>
  <si>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</si>
  <si>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</si>
  <si>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</si>
  <si>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</si>
  <si>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</si>
  <si>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</si>
  <si>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</si>
  <si>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</si>
  <si>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</si>
  <si>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</si>
  <si>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</si>
  <si>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</si>
  <si>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</si>
  <si>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</si>
  <si>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</si>
  <si>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</si>
  <si>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</si>
  <si>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</si>
  <si>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</si>
  <si>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</si>
  <si>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</si>
  <si>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</si>
  <si>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</si>
  <si>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</si>
  <si>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</si>
  <si>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</si>
  <si>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</si>
  <si>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</si>
  <si>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</si>
  <si>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</si>
  <si>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</si>
  <si>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</si>
  <si>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</si>
  <si>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</si>
  <si>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</si>
  <si>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</si>
  <si>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</si>
  <si>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</si>
  <si>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</si>
  <si>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</si>
  <si>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</si>
  <si>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</si>
  <si>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</si>
  <si>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</si>
  <si>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</si>
  <si>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</si>
  <si>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</si>
  <si>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</si>
  <si>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</si>
  <si>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</si>
  <si>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</si>
  <si>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</si>
  <si>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</si>
  <si>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</si>
  <si>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</si>
  <si>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</si>
  <si>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</si>
  <si>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</si>
  <si>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</si>
  <si>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</si>
  <si>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</si>
  <si>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</si>
  <si>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</si>
  <si>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</si>
  <si>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</si>
  <si>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</si>
  <si>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</si>
  <si>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</si>
  <si>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</si>
  <si>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</si>
  <si>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</si>
  <si>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</si>
  <si>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</si>
  <si>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</si>
  <si>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</si>
  <si>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</si>
  <si>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</si>
  <si>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</si>
  <si>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</si>
  <si>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</si>
  <si>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</si>
  <si>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</si>
  <si>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</si>
  <si>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</si>
  <si>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</si>
  <si>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</si>
  <si>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</si>
  <si>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</si>
  <si>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</si>
  <si>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</si>
  <si>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</si>
  <si>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</si>
  <si>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</si>
  <si>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</si>
  <si>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</si>
  <si>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</si>
  <si>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</si>
  <si>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</si>
  <si>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</si>
  <si>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</si>
  <si>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</si>
  <si>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</si>
  <si>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</si>
  <si>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</si>
  <si>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</si>
  <si>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</si>
  <si>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</si>
  <si>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</si>
  <si>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</si>
  <si>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</si>
  <si>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</si>
  <si>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</si>
  <si>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</si>
  <si>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</si>
  <si>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</si>
  <si>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</si>
  <si>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</si>
  <si>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</si>
  <si>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</si>
  <si>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</si>
  <si>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</si>
  <si>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</si>
  <si>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</si>
  <si>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</si>
  <si>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</si>
  <si>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</si>
  <si>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</si>
  <si>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</si>
  <si>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</si>
  <si>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</si>
  <si>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</si>
  <si>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</si>
  <si>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</si>
  <si>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</si>
  <si>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</si>
  <si>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</si>
  <si>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</si>
  <si>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</si>
  <si>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</si>
  <si>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</si>
  <si>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</si>
  <si>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</si>
  <si>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</si>
  <si>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</si>
  <si>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</si>
  <si>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</si>
  <si>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</si>
  <si>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</si>
  <si>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</si>
  <si>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</si>
  <si>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</si>
  <si>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</si>
  <si>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</si>
  <si>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</si>
  <si>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</si>
  <si>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</si>
  <si>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</si>
  <si>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</si>
  <si>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</si>
  <si>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</si>
  <si>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</si>
  <si>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</si>
  <si>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</si>
  <si>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</si>
  <si>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</si>
  <si>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</si>
  <si>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</si>
  <si>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</si>
  <si>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</si>
  <si>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</si>
  <si>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</si>
  <si>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</si>
  <si>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</si>
  <si>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</si>
  <si>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</si>
  <si>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</si>
  <si>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</si>
  <si>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</si>
  <si>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</si>
  <si>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</si>
  <si>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</si>
  <si>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</si>
  <si>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</si>
  <si>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</si>
  <si>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</si>
  <si>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</si>
  <si>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</si>
  <si>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</si>
  <si>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</si>
  <si>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</si>
  <si>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</si>
  <si>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</si>
  <si>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</si>
  <si>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</si>
  <si>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</si>
  <si>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</si>
  <si>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</si>
  <si>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</si>
  <si>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</si>
  <si>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</si>
  <si>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</si>
  <si>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</si>
  <si>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</si>
  <si>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</si>
  <si>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</si>
  <si>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</si>
  <si>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</si>
  <si>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</si>
  <si>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</si>
  <si>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</si>
  <si>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</si>
  <si>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</si>
  <si>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</si>
  <si>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</si>
  <si>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</si>
  <si>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</si>
  <si>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</si>
  <si>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</si>
  <si>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</si>
  <si>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</si>
  <si>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</si>
  <si>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</si>
  <si>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</si>
  <si>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</si>
  <si>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</si>
  <si>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</si>
  <si>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</si>
  <si>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</si>
  <si>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</si>
  <si>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</si>
  <si>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</si>
  <si>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</si>
  <si>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</si>
  <si>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</si>
  <si>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</si>
  <si>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</si>
  <si>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</si>
  <si>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</si>
  <si>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</si>
  <si>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</si>
  <si>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</si>
  <si>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</si>
  <si>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</si>
  <si>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</si>
  <si>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</si>
  <si>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</si>
  <si>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</si>
  <si>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</si>
  <si>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</si>
  <si>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</si>
  <si>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</si>
  <si>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</si>
  <si>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</si>
  <si>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</si>
  <si>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</si>
  <si>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</si>
  <si>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</si>
  <si>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</si>
  <si>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</si>
  <si>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</si>
  <si>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</si>
  <si>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</si>
  <si>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</si>
  <si>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</si>
  <si>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</si>
  <si>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</si>
  <si>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</si>
  <si>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</si>
  <si>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</si>
  <si>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</si>
  <si>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</si>
  <si>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</si>
  <si>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</si>
  <si>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</si>
  <si>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</si>
  <si>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</si>
  <si>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</si>
  <si>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</si>
  <si>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</si>
  <si>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</si>
  <si>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</si>
  <si>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</si>
  <si>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</si>
  <si>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</si>
  <si>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</si>
  <si>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</si>
  <si>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</si>
  <si>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</si>
  <si>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</si>
  <si>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</si>
  <si>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</si>
  <si>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</si>
  <si>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</si>
  <si>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</si>
  <si>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</si>
  <si>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</si>
  <si>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</si>
  <si>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</si>
  <si>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</si>
  <si>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</si>
  <si>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</si>
  <si>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</si>
  <si>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</si>
  <si>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</si>
  <si>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</si>
  <si>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</si>
  <si>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</si>
  <si>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</si>
  <si>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</si>
  <si>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</si>
  <si>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</si>
  <si>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</si>
  <si>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</si>
  <si>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</si>
  <si>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</si>
  <si>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</si>
  <si>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</si>
  <si>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</si>
  <si>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</si>
  <si>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</si>
  <si>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</si>
  <si>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</si>
  <si>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</si>
  <si>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</si>
  <si>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</si>
  <si>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</si>
  <si>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</si>
  <si>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</si>
  <si>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</si>
  <si>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</si>
  <si>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</si>
  <si>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</si>
  <si>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</si>
  <si>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</si>
  <si>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</si>
  <si>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</si>
  <si>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</si>
  <si>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</si>
  <si>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</si>
  <si>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</si>
  <si>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</si>
  <si>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</si>
  <si>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</si>
  <si>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</si>
  <si>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</si>
  <si>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</si>
  <si>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</si>
  <si>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</si>
  <si>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</si>
  <si>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</si>
  <si>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</si>
  <si>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</si>
  <si>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</si>
  <si>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</si>
  <si>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</si>
  <si>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</si>
  <si>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</si>
  <si>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</si>
  <si>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</si>
  <si>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</si>
  <si>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</si>
  <si>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</si>
  <si>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</si>
  <si>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</si>
  <si>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</si>
  <si>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</si>
  <si>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</si>
  <si>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</si>
  <si>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</si>
  <si>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</si>
  <si>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</si>
  <si>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</si>
  <si>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</si>
  <si>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</si>
  <si>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</si>
  <si>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</si>
  <si>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</si>
  <si>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</si>
  <si>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</si>
  <si>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</si>
  <si>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</si>
  <si>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</si>
  <si>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</si>
  <si>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</si>
  <si>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</si>
  <si>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</si>
  <si>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</si>
  <si>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</si>
  <si>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</si>
  <si>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</si>
  <si>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</si>
  <si>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</si>
  <si>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</si>
  <si>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</si>
  <si>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</si>
  <si>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</si>
  <si>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</si>
  <si>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</si>
  <si>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</si>
  <si>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</si>
  <si>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</si>
  <si>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</si>
  <si>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</si>
  <si>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</si>
  <si>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</si>
  <si>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</si>
  <si>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</si>
  <si>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</si>
  <si>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</si>
  <si>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</si>
  <si>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</si>
  <si>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</si>
  <si>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</si>
  <si>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</si>
  <si>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</si>
  <si>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</si>
  <si>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</si>
  <si>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</si>
  <si>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</si>
  <si>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</si>
  <si>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</si>
  <si>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</si>
  <si>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</si>
  <si>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</si>
  <si>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</si>
  <si>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</si>
  <si>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</si>
  <si>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</si>
  <si>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</si>
  <si>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</si>
  <si>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</si>
  <si>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</si>
  <si>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</si>
  <si>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</si>
  <si>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</si>
  <si>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</si>
  <si>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</si>
  <si>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</si>
  <si>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</si>
  <si>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</si>
  <si>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</si>
  <si>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</si>
  <si>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</si>
  <si>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</si>
  <si>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</si>
  <si>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</si>
  <si>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</si>
  <si>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</si>
  <si>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</si>
  <si>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</si>
  <si>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</si>
  <si>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</si>
  <si>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</si>
  <si>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</si>
  <si>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</si>
  <si>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</si>
  <si>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</si>
  <si>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</si>
  <si>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</si>
  <si>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</si>
  <si>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</si>
  <si>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</si>
  <si>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</si>
  <si>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</si>
  <si>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</si>
  <si>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</si>
  <si>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</si>
  <si>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</si>
  <si>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</si>
  <si>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</si>
  <si>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</si>
  <si>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</si>
  <si>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</si>
  <si>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</si>
  <si>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</si>
  <si>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</si>
  <si>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</si>
  <si>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</si>
  <si>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</si>
  <si>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</si>
  <si>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</si>
  <si>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</si>
  <si>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</si>
  <si>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</si>
  <si>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23101</t>
  </si>
  <si>
    <t>SINT-GENESIUS-RODE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</si>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</sst>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183976.39150891724</c:v>
                </c:pt>
                <c:pt idx="1">
                  <c:v>54028.982536214098</c:v>
                </c:pt>
                <c:pt idx="2">
                  <c:v>1170.348</c:v>
                </c:pt>
                <c:pt idx="3">
                  <c:v>596.27375492829833</c:v>
                </c:pt>
                <c:pt idx="4">
                  <c:v>6362.530833401901</c:v>
                </c:pt>
                <c:pt idx="5">
                  <c:v>90127.114059524436</c:v>
                </c:pt>
                <c:pt idx="6">
                  <c:v>1787.6616083096947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183976.39150891724</c:v>
                </c:pt>
                <c:pt idx="1">
                  <c:v>54028.982536214098</c:v>
                </c:pt>
                <c:pt idx="2">
                  <c:v>1170.348</c:v>
                </c:pt>
                <c:pt idx="3">
                  <c:v>596.27375492829833</c:v>
                </c:pt>
                <c:pt idx="4">
                  <c:v>6362.530833401901</c:v>
                </c:pt>
                <c:pt idx="5">
                  <c:v>90127.114059524436</c:v>
                </c:pt>
                <c:pt idx="6">
                  <c:v>1787.6616083096947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36617.17946804758</c:v>
                </c:pt>
                <c:pt idx="2">
                  <c:v>11123.786877732691</c:v>
                </c:pt>
                <c:pt idx="3">
                  <c:v>252.42144650487074</c:v>
                </c:pt>
                <c:pt idx="4">
                  <c:v>145.2591483924017</c:v>
                </c:pt>
                <c:pt idx="5">
                  <c:v>1373.1412732692559</c:v>
                </c:pt>
                <c:pt idx="6">
                  <c:v>22501.557099179474</c:v>
                </c:pt>
                <c:pt idx="7">
                  <c:v>451.65554600668156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36617.17946804758</c:v>
                </c:pt>
                <c:pt idx="2">
                  <c:v>11123.786877732691</c:v>
                </c:pt>
                <c:pt idx="3">
                  <c:v>252.42144650487074</c:v>
                </c:pt>
                <c:pt idx="4">
                  <c:v>145.2591483924017</c:v>
                </c:pt>
                <c:pt idx="5">
                  <c:v>1373.1412732692559</c:v>
                </c:pt>
                <c:pt idx="6">
                  <c:v>22501.557099179474</c:v>
                </c:pt>
                <c:pt idx="7">
                  <c:v>451.65554600668156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23101</v>
      </c>
      <c r="B6" s="390"/>
      <c r="C6" s="391"/>
    </row>
    <row r="7" spans="1:7" s="388" customFormat="1" ht="15.75" customHeight="1">
      <c r="A7" s="392" t="str">
        <f>txtMunicipality</f>
        <v>SINT-GENESIUS-RODE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0.21568067489744142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0.21568067489744142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6913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416.84</v>
      </c>
      <c r="C14" s="330"/>
      <c r="D14" s="330"/>
      <c r="E14" s="330"/>
      <c r="F14" s="330"/>
    </row>
    <row r="15" spans="1:6">
      <c r="A15" s="1293" t="s">
        <v>183</v>
      </c>
      <c r="B15" s="1294">
        <v>3</v>
      </c>
      <c r="C15" s="330"/>
      <c r="D15" s="330"/>
      <c r="E15" s="330"/>
      <c r="F15" s="330"/>
    </row>
    <row r="16" spans="1:6">
      <c r="A16" s="1293" t="s">
        <v>6</v>
      </c>
      <c r="B16" s="1294">
        <v>61</v>
      </c>
      <c r="C16" s="330"/>
      <c r="D16" s="330"/>
      <c r="E16" s="330"/>
      <c r="F16" s="330"/>
    </row>
    <row r="17" spans="1:6">
      <c r="A17" s="1293" t="s">
        <v>7</v>
      </c>
      <c r="B17" s="1294">
        <v>133</v>
      </c>
      <c r="C17" s="330"/>
      <c r="D17" s="330"/>
      <c r="E17" s="330"/>
      <c r="F17" s="330"/>
    </row>
    <row r="18" spans="1:6">
      <c r="A18" s="1293" t="s">
        <v>8</v>
      </c>
      <c r="B18" s="1294">
        <v>128</v>
      </c>
      <c r="C18" s="330"/>
      <c r="D18" s="330"/>
      <c r="E18" s="330"/>
      <c r="F18" s="330"/>
    </row>
    <row r="19" spans="1:6">
      <c r="A19" s="1293" t="s">
        <v>9</v>
      </c>
      <c r="B19" s="1294">
        <v>138</v>
      </c>
      <c r="C19" s="330"/>
      <c r="D19" s="330"/>
      <c r="E19" s="330"/>
      <c r="F19" s="330"/>
    </row>
    <row r="20" spans="1:6">
      <c r="A20" s="1293" t="s">
        <v>10</v>
      </c>
      <c r="B20" s="1294">
        <v>185</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4</v>
      </c>
      <c r="C28" s="336"/>
      <c r="D28" s="336"/>
      <c r="E28" s="336"/>
      <c r="F28" s="336"/>
    </row>
    <row r="29" spans="1:6">
      <c r="A29" s="1295" t="s">
        <v>734</v>
      </c>
      <c r="B29" s="1296">
        <v>170</v>
      </c>
      <c r="C29" s="336"/>
      <c r="D29" s="336"/>
      <c r="E29" s="336"/>
      <c r="F29" s="336"/>
    </row>
    <row r="30" spans="1:6">
      <c r="A30" s="1288" t="s">
        <v>735</v>
      </c>
      <c r="B30" s="1297">
        <v>15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6764</v>
      </c>
    </row>
    <row r="39" spans="1:6">
      <c r="A39" s="1293" t="s">
        <v>29</v>
      </c>
      <c r="B39" s="1293" t="s">
        <v>30</v>
      </c>
      <c r="C39" s="1294">
        <v>5404</v>
      </c>
      <c r="D39" s="1294">
        <v>146504874.59489501</v>
      </c>
      <c r="E39" s="1294">
        <v>6776</v>
      </c>
      <c r="F39" s="1294">
        <v>32173141.304187302</v>
      </c>
    </row>
    <row r="40" spans="1:6">
      <c r="A40" s="1293" t="s">
        <v>29</v>
      </c>
      <c r="B40" s="1293" t="s">
        <v>28</v>
      </c>
      <c r="C40" s="1294">
        <v>1</v>
      </c>
      <c r="D40" s="1294">
        <v>96057.676660454104</v>
      </c>
      <c r="E40" s="1294">
        <v>1</v>
      </c>
      <c r="F40" s="1294">
        <v>11181.544905700999</v>
      </c>
    </row>
    <row r="41" spans="1:6">
      <c r="A41" s="1293" t="s">
        <v>31</v>
      </c>
      <c r="B41" s="1293" t="s">
        <v>32</v>
      </c>
      <c r="C41" s="1294">
        <v>49</v>
      </c>
      <c r="D41" s="1294">
        <v>2212850.7723471601</v>
      </c>
      <c r="E41" s="1294">
        <v>94</v>
      </c>
      <c r="F41" s="1294">
        <v>1543931.51589662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8</v>
      </c>
      <c r="F44" s="1294">
        <v>78848.255574932802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6</v>
      </c>
      <c r="D47" s="1294">
        <v>185285.06210944999</v>
      </c>
      <c r="E47" s="1294">
        <v>8</v>
      </c>
      <c r="F47" s="1294">
        <v>54653.776143332499</v>
      </c>
    </row>
    <row r="48" spans="1:6">
      <c r="A48" s="1293" t="s">
        <v>31</v>
      </c>
      <c r="B48" s="1293" t="s">
        <v>28</v>
      </c>
      <c r="C48" s="1294">
        <v>24</v>
      </c>
      <c r="D48" s="1294">
        <v>579811.93523089099</v>
      </c>
      <c r="E48" s="1294">
        <v>19</v>
      </c>
      <c r="F48" s="1294">
        <v>115219.46854100699</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0</v>
      </c>
      <c r="D51" s="1294">
        <v>0</v>
      </c>
      <c r="E51" s="1294">
        <v>0</v>
      </c>
      <c r="F51" s="1294">
        <v>0</v>
      </c>
    </row>
    <row r="52" spans="1:6">
      <c r="A52" s="1293" t="s">
        <v>41</v>
      </c>
      <c r="B52" s="1293" t="s">
        <v>28</v>
      </c>
      <c r="C52" s="1294">
        <v>4</v>
      </c>
      <c r="D52" s="1294">
        <v>182915.16262364699</v>
      </c>
      <c r="E52" s="1294">
        <v>5</v>
      </c>
      <c r="F52" s="1294">
        <v>80761.556032949404</v>
      </c>
    </row>
    <row r="53" spans="1:6">
      <c r="A53" s="1293" t="s">
        <v>43</v>
      </c>
      <c r="B53" s="1293" t="s">
        <v>44</v>
      </c>
      <c r="C53" s="1294">
        <v>225</v>
      </c>
      <c r="D53" s="1294">
        <v>8723616.8824162204</v>
      </c>
      <c r="E53" s="1294">
        <v>339</v>
      </c>
      <c r="F53" s="1294">
        <v>1976303.38265496</v>
      </c>
    </row>
    <row r="54" spans="1:6">
      <c r="A54" s="1293" t="s">
        <v>45</v>
      </c>
      <c r="B54" s="1293" t="s">
        <v>46</v>
      </c>
      <c r="C54" s="1294">
        <v>0</v>
      </c>
      <c r="D54" s="1294">
        <v>0</v>
      </c>
      <c r="E54" s="1294">
        <v>1</v>
      </c>
      <c r="F54" s="1294">
        <v>1170348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36</v>
      </c>
      <c r="D57" s="1294">
        <v>2546524.51828438</v>
      </c>
      <c r="E57" s="1294">
        <v>73</v>
      </c>
      <c r="F57" s="1294">
        <v>986072.45813815994</v>
      </c>
    </row>
    <row r="58" spans="1:6">
      <c r="A58" s="1293" t="s">
        <v>48</v>
      </c>
      <c r="B58" s="1293" t="s">
        <v>50</v>
      </c>
      <c r="C58" s="1294">
        <v>33</v>
      </c>
      <c r="D58" s="1294">
        <v>1567221.10571915</v>
      </c>
      <c r="E58" s="1294">
        <v>41</v>
      </c>
      <c r="F58" s="1294">
        <v>318860.124252168</v>
      </c>
    </row>
    <row r="59" spans="1:6">
      <c r="A59" s="1293" t="s">
        <v>48</v>
      </c>
      <c r="B59" s="1293" t="s">
        <v>51</v>
      </c>
      <c r="C59" s="1294">
        <v>98</v>
      </c>
      <c r="D59" s="1294">
        <v>3773351.6687582</v>
      </c>
      <c r="E59" s="1294">
        <v>174</v>
      </c>
      <c r="F59" s="1294">
        <v>3967040.3943028599</v>
      </c>
    </row>
    <row r="60" spans="1:6">
      <c r="A60" s="1293" t="s">
        <v>48</v>
      </c>
      <c r="B60" s="1293" t="s">
        <v>52</v>
      </c>
      <c r="C60" s="1294">
        <v>21</v>
      </c>
      <c r="D60" s="1294">
        <v>1158581.3009983001</v>
      </c>
      <c r="E60" s="1294">
        <v>24</v>
      </c>
      <c r="F60" s="1294">
        <v>435280.51158004801</v>
      </c>
    </row>
    <row r="61" spans="1:6">
      <c r="A61" s="1293" t="s">
        <v>48</v>
      </c>
      <c r="B61" s="1293" t="s">
        <v>53</v>
      </c>
      <c r="C61" s="1294">
        <v>309</v>
      </c>
      <c r="D61" s="1294">
        <v>21694203.116468299</v>
      </c>
      <c r="E61" s="1294">
        <v>484</v>
      </c>
      <c r="F61" s="1294">
        <v>7814772.3294128701</v>
      </c>
    </row>
    <row r="62" spans="1:6">
      <c r="A62" s="1293" t="s">
        <v>48</v>
      </c>
      <c r="B62" s="1293" t="s">
        <v>54</v>
      </c>
      <c r="C62" s="1294">
        <v>10</v>
      </c>
      <c r="D62" s="1294">
        <v>2327276.4527358999</v>
      </c>
      <c r="E62" s="1294">
        <v>10</v>
      </c>
      <c r="F62" s="1294">
        <v>1446322.2501000301</v>
      </c>
    </row>
    <row r="63" spans="1:6">
      <c r="A63" s="1293" t="s">
        <v>48</v>
      </c>
      <c r="B63" s="1293" t="s">
        <v>28</v>
      </c>
      <c r="C63" s="1294">
        <v>103</v>
      </c>
      <c r="D63" s="1294">
        <v>4044612.47490494</v>
      </c>
      <c r="E63" s="1294">
        <v>96</v>
      </c>
      <c r="F63" s="1294">
        <v>1559272.8168829801</v>
      </c>
    </row>
    <row r="64" spans="1:6">
      <c r="A64" s="1293" t="s">
        <v>55</v>
      </c>
      <c r="B64" s="1293" t="s">
        <v>56</v>
      </c>
      <c r="C64" s="1294">
        <v>0</v>
      </c>
      <c r="D64" s="1294">
        <v>0</v>
      </c>
      <c r="E64" s="1294">
        <v>0</v>
      </c>
      <c r="F64" s="1294">
        <v>0</v>
      </c>
    </row>
    <row r="65" spans="1:6">
      <c r="A65" s="1293" t="s">
        <v>55</v>
      </c>
      <c r="B65" s="1293" t="s">
        <v>28</v>
      </c>
      <c r="C65" s="1294">
        <v>4</v>
      </c>
      <c r="D65" s="1294">
        <v>88295.202421360998</v>
      </c>
      <c r="E65" s="1294">
        <v>3</v>
      </c>
      <c r="F65" s="1294">
        <v>15332.2636682025</v>
      </c>
    </row>
    <row r="66" spans="1:6">
      <c r="A66" s="1293" t="s">
        <v>55</v>
      </c>
      <c r="B66" s="1293" t="s">
        <v>57</v>
      </c>
      <c r="C66" s="1294">
        <v>0</v>
      </c>
      <c r="D66" s="1294">
        <v>0</v>
      </c>
      <c r="E66" s="1294">
        <v>9</v>
      </c>
      <c r="F66" s="1294">
        <v>169500.80034204799</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42983846</v>
      </c>
      <c r="E73" s="449"/>
      <c r="F73" s="330"/>
    </row>
    <row r="74" spans="1:6">
      <c r="A74" s="1293" t="s">
        <v>63</v>
      </c>
      <c r="B74" s="1293" t="s">
        <v>656</v>
      </c>
      <c r="C74" s="1307" t="s">
        <v>658</v>
      </c>
      <c r="D74" s="1308">
        <v>305604</v>
      </c>
      <c r="E74" s="449"/>
      <c r="F74" s="330"/>
    </row>
    <row r="75" spans="1:6">
      <c r="A75" s="1293" t="s">
        <v>64</v>
      </c>
      <c r="B75" s="1293" t="s">
        <v>655</v>
      </c>
      <c r="C75" s="1307" t="s">
        <v>659</v>
      </c>
      <c r="D75" s="1308">
        <v>62962054</v>
      </c>
      <c r="E75" s="449"/>
      <c r="F75" s="330"/>
    </row>
    <row r="76" spans="1:6">
      <c r="A76" s="1293" t="s">
        <v>64</v>
      </c>
      <c r="B76" s="1293" t="s">
        <v>656</v>
      </c>
      <c r="C76" s="1307" t="s">
        <v>660</v>
      </c>
      <c r="D76" s="1308">
        <v>1096604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487552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1062.6418744030611</v>
      </c>
      <c r="C91" s="330"/>
      <c r="D91" s="330"/>
      <c r="E91" s="330"/>
      <c r="F91" s="330"/>
    </row>
    <row r="92" spans="1:6">
      <c r="A92" s="1288" t="s">
        <v>68</v>
      </c>
      <c r="B92" s="1289">
        <v>257.08229037910922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3717</v>
      </c>
      <c r="C97" s="330"/>
      <c r="D97" s="330"/>
      <c r="E97" s="330"/>
      <c r="F97" s="330"/>
    </row>
    <row r="98" spans="1:6">
      <c r="A98" s="1293" t="s">
        <v>71</v>
      </c>
      <c r="B98" s="1294">
        <v>2</v>
      </c>
      <c r="C98" s="330"/>
      <c r="D98" s="330"/>
      <c r="E98" s="330"/>
      <c r="F98" s="330"/>
    </row>
    <row r="99" spans="1:6">
      <c r="A99" s="1293" t="s">
        <v>72</v>
      </c>
      <c r="B99" s="1294">
        <v>15</v>
      </c>
      <c r="C99" s="330"/>
      <c r="D99" s="330"/>
      <c r="E99" s="330"/>
      <c r="F99" s="330"/>
    </row>
    <row r="100" spans="1:6">
      <c r="A100" s="1293" t="s">
        <v>73</v>
      </c>
      <c r="B100" s="1294">
        <v>320</v>
      </c>
      <c r="C100" s="330"/>
      <c r="D100" s="330"/>
      <c r="E100" s="330"/>
      <c r="F100" s="330"/>
    </row>
    <row r="101" spans="1:6">
      <c r="A101" s="1293" t="s">
        <v>74</v>
      </c>
      <c r="B101" s="1294">
        <v>35</v>
      </c>
      <c r="C101" s="330"/>
      <c r="D101" s="330"/>
      <c r="E101" s="330"/>
      <c r="F101" s="330"/>
    </row>
    <row r="102" spans="1:6">
      <c r="A102" s="1293" t="s">
        <v>75</v>
      </c>
      <c r="B102" s="1294">
        <v>97</v>
      </c>
      <c r="C102" s="330"/>
      <c r="D102" s="330"/>
      <c r="E102" s="330"/>
      <c r="F102" s="330"/>
    </row>
    <row r="103" spans="1:6">
      <c r="A103" s="1293" t="s">
        <v>76</v>
      </c>
      <c r="B103" s="1294">
        <v>46</v>
      </c>
      <c r="C103" s="330"/>
      <c r="D103" s="330"/>
      <c r="E103" s="330"/>
      <c r="F103" s="330"/>
    </row>
    <row r="104" spans="1:6">
      <c r="A104" s="1293" t="s">
        <v>77</v>
      </c>
      <c r="B104" s="1294">
        <v>1914</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v>
      </c>
      <c r="C123" s="1294">
        <v>8</v>
      </c>
      <c r="D123" s="330"/>
      <c r="E123" s="330"/>
      <c r="F123" s="330"/>
    </row>
    <row r="124" spans="1:6" s="43" customFormat="1">
      <c r="A124" s="1295" t="s">
        <v>88</v>
      </c>
      <c r="B124" s="1316">
        <v>0</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47</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54830.083665420789</v>
      </c>
      <c r="C3" s="43" t="s">
        <v>169</v>
      </c>
      <c r="D3" s="43"/>
      <c r="E3" s="154"/>
      <c r="F3" s="43"/>
      <c r="G3" s="43"/>
      <c r="H3" s="43"/>
      <c r="I3" s="43"/>
      <c r="J3" s="43"/>
      <c r="K3" s="96"/>
    </row>
    <row r="4" spans="1:11">
      <c r="A4" s="358" t="s">
        <v>170</v>
      </c>
      <c r="B4" s="49">
        <f>IF(ISERROR('SEAP template'!B78+'SEAP template'!C78),0,'SEAP template'!B78+'SEAP template'!C78)</f>
        <v>1319.7241647821704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0.21568067489744142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1170.348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1170.348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0.21568067489744142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252.42144650487074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32184.322849093001</v>
      </c>
      <c r="C5" s="17">
        <f>IF(ISERROR('Eigen informatie GS &amp; warmtenet'!B57),0,'Eigen informatie GS &amp; warmtenet'!B57)</f>
        <v>0</v>
      </c>
      <c r="D5" s="30">
        <f>(SUM(HH_hh_gas_kWh,HH_rest_gas_kWh)/1000)*0.902</f>
        <v>132234.04090894302</v>
      </c>
      <c r="E5" s="17">
        <f>B46*B57</f>
        <v>2362.7260807077087</v>
      </c>
      <c r="F5" s="17">
        <f>B51*B62</f>
        <v>8235.3430496830752</v>
      </c>
      <c r="G5" s="18"/>
      <c r="H5" s="17"/>
      <c r="I5" s="17"/>
      <c r="J5" s="17">
        <f>B50*B61+C50*C61</f>
        <v>0</v>
      </c>
      <c r="K5" s="17"/>
      <c r="L5" s="17"/>
      <c r="M5" s="17"/>
      <c r="N5" s="17">
        <f>B48*B59+C48*C59</f>
        <v>7598.4734127540314</v>
      </c>
      <c r="O5" s="17">
        <f>B69*B70*B71</f>
        <v>89.11</v>
      </c>
      <c r="P5" s="17">
        <f>B77*B78*B79/1000-B77*B78*B79/1000/B80</f>
        <v>209.73333333333335</v>
      </c>
    </row>
    <row r="6" spans="1:16">
      <c r="A6" s="16" t="s">
        <v>620</v>
      </c>
      <c r="B6" s="762">
        <f>kWh_PV_kleiner_dan_10kW</f>
        <v>1062.6418744030611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33246.964723496065</v>
      </c>
      <c r="C8" s="21">
        <f>C5</f>
        <v>0</v>
      </c>
      <c r="D8" s="21">
        <f>D5</f>
        <v>132234.04090894302</v>
      </c>
      <c r="E8" s="21">
        <f>E5</f>
        <v>2362.7260807077087</v>
      </c>
      <c r="F8" s="21">
        <f>F5</f>
        <v>8235.3430496830752</v>
      </c>
      <c r="G8" s="21"/>
      <c r="H8" s="21"/>
      <c r="I8" s="21"/>
      <c r="J8" s="21">
        <f>J5</f>
        <v>0</v>
      </c>
      <c r="K8" s="21"/>
      <c r="L8" s="21">
        <f>L5</f>
        <v>0</v>
      </c>
      <c r="M8" s="21">
        <f>M5</f>
        <v>0</v>
      </c>
      <c r="N8" s="21">
        <f>N5</f>
        <v>7598.4734127540314</v>
      </c>
      <c r="O8" s="21">
        <f>O5</f>
        <v>89.11</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0.21568067489744142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7170.7277898550583</v>
      </c>
      <c r="C12" s="23">
        <f ca="1">C10*C8</f>
        <v>0</v>
      </c>
      <c r="D12" s="23">
        <f>D8*D10</f>
        <v>26711.276263606491</v>
      </c>
      <c r="E12" s="23">
        <f>E10*E8</f>
        <v>536.33882032064992</v>
      </c>
      <c r="F12" s="23">
        <f>F10*F8</f>
        <v>2198.8365942653813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3717</v>
      </c>
      <c r="C18" s="166" t="s">
        <v>110</v>
      </c>
      <c r="D18" s="228"/>
      <c r="E18" s="15"/>
    </row>
    <row r="19" spans="1:7">
      <c r="A19" s="171" t="s">
        <v>71</v>
      </c>
      <c r="B19" s="37">
        <f>aantalw2001_ander</f>
        <v>2</v>
      </c>
      <c r="C19" s="166" t="s">
        <v>110</v>
      </c>
      <c r="D19" s="229"/>
      <c r="E19" s="15"/>
    </row>
    <row r="20" spans="1:7">
      <c r="A20" s="171" t="s">
        <v>72</v>
      </c>
      <c r="B20" s="37">
        <f>aantalw2001_propaan</f>
        <v>15</v>
      </c>
      <c r="C20" s="167">
        <f>IF(ISERROR(B20/SUM($B$20,$B$21,$B$22)*100),0,B20/SUM($B$20,$B$21,$B$22)*100)</f>
        <v>4.0540540540540544</v>
      </c>
      <c r="D20" s="229"/>
      <c r="E20" s="15"/>
    </row>
    <row r="21" spans="1:7">
      <c r="A21" s="171" t="s">
        <v>73</v>
      </c>
      <c r="B21" s="37">
        <f>aantalw2001_elektriciteit</f>
        <v>320</v>
      </c>
      <c r="C21" s="167">
        <f>IF(ISERROR(B21/SUM($B$20,$B$21,$B$22)*100),0,B21/SUM($B$20,$B$21,$B$22)*100)</f>
        <v>86.486486486486484</v>
      </c>
      <c r="D21" s="229"/>
      <c r="E21" s="15"/>
    </row>
    <row r="22" spans="1:7">
      <c r="A22" s="171" t="s">
        <v>74</v>
      </c>
      <c r="B22" s="37">
        <f>aantalw2001_hout</f>
        <v>35</v>
      </c>
      <c r="C22" s="167">
        <f>IF(ISERROR(B22/SUM($B$20,$B$21,$B$22)*100),0,B22/SUM($B$20,$B$21,$B$22)*100)</f>
        <v>9.4594594594594597</v>
      </c>
      <c r="D22" s="229"/>
      <c r="E22" s="15"/>
    </row>
    <row r="23" spans="1:7">
      <c r="A23" s="171" t="s">
        <v>75</v>
      </c>
      <c r="B23" s="37">
        <f>aantalw2001_niet_gespec</f>
        <v>97</v>
      </c>
      <c r="C23" s="166" t="s">
        <v>110</v>
      </c>
      <c r="D23" s="228"/>
      <c r="E23" s="15"/>
    </row>
    <row r="24" spans="1:7">
      <c r="A24" s="171" t="s">
        <v>76</v>
      </c>
      <c r="B24" s="37">
        <f>aantalw2001_steenkool</f>
        <v>46</v>
      </c>
      <c r="C24" s="166" t="s">
        <v>110</v>
      </c>
      <c r="D24" s="229"/>
      <c r="E24" s="15"/>
    </row>
    <row r="25" spans="1:7">
      <c r="A25" s="171" t="s">
        <v>77</v>
      </c>
      <c r="B25" s="37">
        <f>aantalw2001_stookolie</f>
        <v>1914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6913</v>
      </c>
      <c r="C28" s="36"/>
      <c r="D28" s="228"/>
    </row>
    <row r="29" spans="1:7" s="15" customFormat="1">
      <c r="A29" s="230" t="s">
        <v>781</v>
      </c>
      <c r="B29" s="37">
        <f>SUM(HH_hh_gas_aantal,HH_rest_gas_aantal)</f>
        <v>5405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5405</v>
      </c>
      <c r="C32" s="167">
        <f>IF(ISERROR(B32/SUM($B$32,$B$34,$B$35,$B$36,$B$38,$B$39)*100),0,B32/SUM($B$32,$B$34,$B$35,$B$36,$B$38,$B$39)*100)</f>
        <v>78.31063459866705</v>
      </c>
      <c r="D32" s="233"/>
      <c r="G32" s="15"/>
    </row>
    <row r="33" spans="1:7">
      <c r="A33" s="171" t="s">
        <v>71</v>
      </c>
      <c r="B33" s="34" t="s">
        <v>110</v>
      </c>
      <c r="C33" s="167"/>
      <c r="D33" s="233"/>
      <c r="G33" s="15"/>
    </row>
    <row r="34" spans="1:7">
      <c r="A34" s="171" t="s">
        <v>72</v>
      </c>
      <c r="B34" s="33">
        <f>IF((($B$28-$B$32-$B$39-$B$77-$B$38)*C20/100)&lt;0,0,($B$28-$B$32-$B$39-$B$77-$B$38)*C20/100)</f>
        <v>44.683783783783795</v>
      </c>
      <c r="C34" s="167">
        <f>IF(ISERROR(B34/SUM($B$32,$B$34,$B$35,$B$36,$B$38,$B$39)*100),0,B34/SUM($B$32,$B$34,$B$35,$B$36,$B$38,$B$39)*100)</f>
        <v>0.64740341616609376</v>
      </c>
      <c r="D34" s="233"/>
      <c r="G34" s="15"/>
    </row>
    <row r="35" spans="1:7">
      <c r="A35" s="171" t="s">
        <v>73</v>
      </c>
      <c r="B35" s="33">
        <f>IF((($B$28-$B$32-$B$39-$B$77-$B$38)*C21/100)&lt;0,0,($B$28-$B$32-$B$39-$B$77-$B$38)*C21/100)</f>
        <v>953.25405405405411</v>
      </c>
      <c r="C35" s="167">
        <f>IF(ISERROR(B35/SUM($B$32,$B$34,$B$35,$B$36,$B$38,$B$39)*100),0,B35/SUM($B$32,$B$34,$B$35,$B$36,$B$38,$B$39)*100)</f>
        <v>13.811272878209998</v>
      </c>
      <c r="D35" s="233"/>
      <c r="G35" s="15"/>
    </row>
    <row r="36" spans="1:7">
      <c r="A36" s="171" t="s">
        <v>74</v>
      </c>
      <c r="B36" s="33">
        <f>IF((($B$28-$B$32-$B$39-$B$77-$B$38)*C22/100)&lt;0,0,($B$28-$B$32-$B$39-$B$77-$B$38)*C22/100)</f>
        <v>104.26216216216217</v>
      </c>
      <c r="C36" s="167">
        <f>IF(ISERROR(B36/SUM($B$32,$B$34,$B$35,$B$36,$B$38,$B$39)*100),0,B36/SUM($B$32,$B$34,$B$35,$B$36,$B$38,$B$39)*100)</f>
        <v>1.5106079710542186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394.79999999999995</v>
      </c>
      <c r="C39" s="167">
        <f>IF(ISERROR(B39/SUM($B$32,$B$34,$B$35,$B$36,$B$38,$B$39)*100),0,B39/SUM($B$32,$B$34,$B$35,$B$36,$B$38,$B$39)*100)</f>
        <v>5.7200811359026362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5405</v>
      </c>
      <c r="C44" s="34" t="s">
        <v>110</v>
      </c>
      <c r="D44" s="174"/>
    </row>
    <row r="45" spans="1:7">
      <c r="A45" s="171" t="s">
        <v>71</v>
      </c>
      <c r="B45" s="33" t="str">
        <f t="shared" si="0"/>
        <v>-</v>
      </c>
      <c r="C45" s="34" t="s">
        <v>110</v>
      </c>
      <c r="D45" s="174"/>
    </row>
    <row r="46" spans="1:7">
      <c r="A46" s="171" t="s">
        <v>72</v>
      </c>
      <c r="B46" s="33">
        <f t="shared" si="0"/>
        <v>44.683783783783795</v>
      </c>
      <c r="C46" s="34" t="s">
        <v>110</v>
      </c>
      <c r="D46" s="174"/>
    </row>
    <row r="47" spans="1:7">
      <c r="A47" s="171" t="s">
        <v>73</v>
      </c>
      <c r="B47" s="33">
        <f t="shared" si="0"/>
        <v>953.25405405405411</v>
      </c>
      <c r="C47" s="34" t="s">
        <v>110</v>
      </c>
      <c r="D47" s="174"/>
    </row>
    <row r="48" spans="1:7">
      <c r="A48" s="171" t="s">
        <v>74</v>
      </c>
      <c r="B48" s="33">
        <f t="shared" si="0"/>
        <v>104.26216216216217</v>
      </c>
      <c r="C48" s="33">
        <f>B48*10</f>
        <v>1042.6216216216217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394.79999999999995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16527.620884669115</v>
      </c>
      <c r="C5" s="17">
        <f>IF(ISERROR('Eigen informatie GS &amp; warmtenet'!B58),0,'Eigen informatie GS &amp; warmtenet'!B58)</f>
        <v>0</v>
      </c>
      <c r="D5" s="30">
        <f>SUM(D6:D12)</f>
        <v>33474.81711535799</v>
      </c>
      <c r="E5" s="17">
        <f>SUM(E6:E12)</f>
        <v>192.54721321937458</v>
      </c>
      <c r="F5" s="17">
        <f>SUM(F6:F12)</f>
        <v>2821.9785116163598</v>
      </c>
      <c r="G5" s="18"/>
      <c r="H5" s="17"/>
      <c r="I5" s="17"/>
      <c r="J5" s="17">
        <f>SUM(J6:J12)</f>
        <v>2.5179586245570838E-2</v>
      </c>
      <c r="K5" s="17"/>
      <c r="L5" s="17"/>
      <c r="M5" s="17"/>
      <c r="N5" s="17">
        <f>SUM(N6:N12)</f>
        <v>1010.4302984316793</v>
      </c>
      <c r="O5" s="17">
        <f>B38*B39*B40</f>
        <v>1.5633333333333335</v>
      </c>
      <c r="P5" s="17">
        <f>B46*B47*B48/1000-B46*B47*B48/1000/B49</f>
        <v>0</v>
      </c>
      <c r="R5" s="32"/>
    </row>
    <row r="6" spans="1:18">
      <c r="A6" s="32" t="s">
        <v>53</v>
      </c>
      <c r="B6" s="37">
        <f>B26</f>
        <v>7814.77232941287</v>
      </c>
      <c r="C6" s="33"/>
      <c r="D6" s="37">
        <f>IF(ISERROR(TER_kantoor_gas_kWh/1000),0,TER_kantoor_gas_kWh/1000)*0.902</f>
        <v>19568.171211054407</v>
      </c>
      <c r="E6" s="33">
        <f>$C$26*'E Balans VL '!I12/100/3.6*1000000</f>
        <v>4.8980393808202495E-2</v>
      </c>
      <c r="F6" s="33">
        <f>$C$26*('E Balans VL '!L12+'E Balans VL '!N12)/100/3.6*1000000</f>
        <v>1174.3419155455247</v>
      </c>
      <c r="G6" s="34"/>
      <c r="H6" s="33"/>
      <c r="I6" s="33"/>
      <c r="J6" s="33">
        <f>$C$26*('E Balans VL '!D12+'E Balans VL '!E12)/100/3.6*1000000</f>
        <v>0</v>
      </c>
      <c r="K6" s="33"/>
      <c r="L6" s="33"/>
      <c r="M6" s="33"/>
      <c r="N6" s="33">
        <f>$C$26*'E Balans VL '!Y12/100/3.6*1000000</f>
        <v>7.4736710659286132</v>
      </c>
      <c r="O6" s="33"/>
      <c r="P6" s="33"/>
      <c r="R6" s="32"/>
    </row>
    <row r="7" spans="1:18">
      <c r="A7" s="32" t="s">
        <v>52</v>
      </c>
      <c r="B7" s="37">
        <f t="shared" ref="B7:B12" si="0">B27</f>
        <v>435.28051158004803</v>
      </c>
      <c r="C7" s="33"/>
      <c r="D7" s="37">
        <f>IF(ISERROR(TER_horeca_gas_kWh/1000),0,TER_horeca_gas_kWh/1000)*0.902</f>
        <v>1045.0403335004667</v>
      </c>
      <c r="E7" s="33">
        <f>$C$27*'E Balans VL '!I9/100/3.6*1000000</f>
        <v>6.2331444219339138</v>
      </c>
      <c r="F7" s="33">
        <f>$C$27*('E Balans VL '!L9+'E Balans VL '!N9)/100/3.6*1000000</f>
        <v>55.120868870387312</v>
      </c>
      <c r="G7" s="34"/>
      <c r="H7" s="33"/>
      <c r="I7" s="33"/>
      <c r="J7" s="33">
        <f>$C$27*('E Balans VL '!D9+'E Balans VL '!E9)/100/3.6*1000000</f>
        <v>0</v>
      </c>
      <c r="K7" s="33"/>
      <c r="L7" s="33"/>
      <c r="M7" s="33"/>
      <c r="N7" s="33">
        <f>$C$27*'E Balans VL '!Y9/100/3.6*1000000</f>
        <v>0.1251335499677963</v>
      </c>
      <c r="O7" s="33"/>
      <c r="P7" s="33"/>
      <c r="R7" s="32"/>
    </row>
    <row r="8" spans="1:18">
      <c r="A8" s="6" t="s">
        <v>51</v>
      </c>
      <c r="B8" s="37">
        <f t="shared" si="0"/>
        <v>3967.04039430286</v>
      </c>
      <c r="C8" s="33"/>
      <c r="D8" s="37">
        <f>IF(ISERROR(TER_handel_gas_kWh/1000),0,TER_handel_gas_kWh/1000)*0.902</f>
        <v>3403.5632052198966</v>
      </c>
      <c r="E8" s="33">
        <f>$C$28*'E Balans VL '!I13/100/3.6*1000000</f>
        <v>143.88406590785996</v>
      </c>
      <c r="F8" s="33">
        <f>$C$28*('E Balans VL '!L13+'E Balans VL '!N13)/100/3.6*1000000</f>
        <v>764.09214878057821</v>
      </c>
      <c r="G8" s="34"/>
      <c r="H8" s="33"/>
      <c r="I8" s="33"/>
      <c r="J8" s="33">
        <f>$C$28*('E Balans VL '!D13+'E Balans VL '!E13)/100/3.6*1000000</f>
        <v>0</v>
      </c>
      <c r="K8" s="33"/>
      <c r="L8" s="33"/>
      <c r="M8" s="33"/>
      <c r="N8" s="33">
        <f>$C$28*'E Balans VL '!Y13/100/3.6*1000000</f>
        <v>5.4952637213956317</v>
      </c>
      <c r="O8" s="33"/>
      <c r="P8" s="33"/>
      <c r="R8" s="32"/>
    </row>
    <row r="9" spans="1:18">
      <c r="A9" s="32" t="s">
        <v>50</v>
      </c>
      <c r="B9" s="37">
        <f t="shared" si="0"/>
        <v>318.86012425216802</v>
      </c>
      <c r="C9" s="33"/>
      <c r="D9" s="37">
        <f>IF(ISERROR(TER_gezond_gas_kWh/1000),0,TER_gezond_gas_kWh/1000)*0.902</f>
        <v>1413.6334373586733</v>
      </c>
      <c r="E9" s="33">
        <f>$C$29*'E Balans VL '!I10/100/3.6*1000000</f>
        <v>1.9963791953162016E-2</v>
      </c>
      <c r="F9" s="33">
        <f>$C$29*('E Balans VL '!L10+'E Balans VL '!N10)/100/3.6*1000000</f>
        <v>47.367642294280316</v>
      </c>
      <c r="G9" s="34"/>
      <c r="H9" s="33"/>
      <c r="I9" s="33"/>
      <c r="J9" s="33">
        <f>$C$29*('E Balans VL '!D10+'E Balans VL '!E10)/100/3.6*1000000</f>
        <v>0</v>
      </c>
      <c r="K9" s="33"/>
      <c r="L9" s="33"/>
      <c r="M9" s="33"/>
      <c r="N9" s="33">
        <f>$C$29*'E Balans VL '!Y10/100/3.6*1000000</f>
        <v>4.9321591693045255</v>
      </c>
      <c r="O9" s="33"/>
      <c r="P9" s="33"/>
      <c r="R9" s="32"/>
    </row>
    <row r="10" spans="1:18">
      <c r="A10" s="32" t="s">
        <v>49</v>
      </c>
      <c r="B10" s="37">
        <f t="shared" si="0"/>
        <v>986.07245813815996</v>
      </c>
      <c r="C10" s="33"/>
      <c r="D10" s="37">
        <f>IF(ISERROR(TER_ander_gas_kWh/1000),0,TER_ander_gas_kWh/1000)*0.902</f>
        <v>2296.9651154925109</v>
      </c>
      <c r="E10" s="33">
        <f>$C$30*'E Balans VL '!I14/100/3.6*1000000</f>
        <v>1.1753631338249171</v>
      </c>
      <c r="F10" s="33">
        <f>$C$30*('E Balans VL '!L14+'E Balans VL '!N14)/100/3.6*1000000</f>
        <v>258.00039238730915</v>
      </c>
      <c r="G10" s="34"/>
      <c r="H10" s="33"/>
      <c r="I10" s="33"/>
      <c r="J10" s="33">
        <f>$C$30*('E Balans VL '!D14+'E Balans VL '!E14)/100/3.6*1000000</f>
        <v>2.1403767768871984E-2</v>
      </c>
      <c r="K10" s="33"/>
      <c r="L10" s="33"/>
      <c r="M10" s="33"/>
      <c r="N10" s="33">
        <f>$C$30*'E Balans VL '!Y14/100/3.6*1000000</f>
        <v>837.34860259751258</v>
      </c>
      <c r="O10" s="33"/>
      <c r="P10" s="33"/>
      <c r="R10" s="32"/>
    </row>
    <row r="11" spans="1:18">
      <c r="A11" s="32" t="s">
        <v>54</v>
      </c>
      <c r="B11" s="37">
        <f t="shared" si="0"/>
        <v>1446.32225010003</v>
      </c>
      <c r="C11" s="33"/>
      <c r="D11" s="37">
        <f>IF(ISERROR(TER_onderwijs_gas_kWh/1000),0,TER_onderwijs_gas_kWh/1000)*0.902</f>
        <v>2099.2033603677819</v>
      </c>
      <c r="E11" s="33">
        <f>$C$31*'E Balans VL '!I11/100/3.6*1000000</f>
        <v>21.822673230511988</v>
      </c>
      <c r="F11" s="33">
        <f>$C$31*('E Balans VL '!L11+'E Balans VL '!N11)/100/3.6*1000000</f>
        <v>253.41876390285702</v>
      </c>
      <c r="G11" s="34"/>
      <c r="H11" s="33"/>
      <c r="I11" s="33"/>
      <c r="J11" s="33">
        <f>$C$31*('E Balans VL '!D11+'E Balans VL '!E11)/100/3.6*1000000</f>
        <v>0</v>
      </c>
      <c r="K11" s="33"/>
      <c r="L11" s="33"/>
      <c r="M11" s="33"/>
      <c r="N11" s="33">
        <f>$C$31*'E Balans VL '!Y11/100/3.6*1000000</f>
        <v>4.0700607653861756</v>
      </c>
      <c r="O11" s="33"/>
      <c r="P11" s="33"/>
      <c r="R11" s="32"/>
    </row>
    <row r="12" spans="1:18">
      <c r="A12" s="32" t="s">
        <v>259</v>
      </c>
      <c r="B12" s="37">
        <f t="shared" si="0"/>
        <v>1559.2728168829801</v>
      </c>
      <c r="C12" s="33"/>
      <c r="D12" s="37">
        <f>IF(ISERROR(TER_rest_gas_kWh/1000),0,TER_rest_gas_kWh/1000)*0.902</f>
        <v>3648.2404523642558</v>
      </c>
      <c r="E12" s="33">
        <f>$C$32*'E Balans VL '!I8/100/3.6*1000000</f>
        <v>19.363022339482416</v>
      </c>
      <c r="F12" s="33">
        <f>$C$32*('E Balans VL '!L8+'E Balans VL '!N8)/100/3.6*1000000</f>
        <v>269.63677983542311</v>
      </c>
      <c r="G12" s="34"/>
      <c r="H12" s="33"/>
      <c r="I12" s="33"/>
      <c r="J12" s="33">
        <f>$C$32*('E Balans VL '!D8+'E Balans VL '!E8)/100/3.6*1000000</f>
        <v>3.7758184766988542E-3</v>
      </c>
      <c r="K12" s="33"/>
      <c r="L12" s="33"/>
      <c r="M12" s="33"/>
      <c r="N12" s="33">
        <f>$C$32*'E Balans VL '!Y8/100/3.6*1000000</f>
        <v>150.98540756218389</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16527.620884669115</v>
      </c>
      <c r="C16" s="21">
        <f t="shared" ca="1" si="1"/>
        <v>0</v>
      </c>
      <c r="D16" s="21">
        <f t="shared" ca="1" si="1"/>
        <v>33474.81711535799</v>
      </c>
      <c r="E16" s="21">
        <f t="shared" si="1"/>
        <v>192.54721321937458</v>
      </c>
      <c r="F16" s="21">
        <f t="shared" ca="1" si="1"/>
        <v>2821.9785116163598</v>
      </c>
      <c r="G16" s="21">
        <f t="shared" si="1"/>
        <v>0</v>
      </c>
      <c r="H16" s="21">
        <f t="shared" si="1"/>
        <v>0</v>
      </c>
      <c r="I16" s="21">
        <f t="shared" si="1"/>
        <v>0</v>
      </c>
      <c r="J16" s="21">
        <f t="shared" si="1"/>
        <v>2.5179586245570838E-2</v>
      </c>
      <c r="K16" s="21">
        <f t="shared" si="1"/>
        <v>0</v>
      </c>
      <c r="L16" s="21">
        <f t="shared" ca="1" si="1"/>
        <v>0</v>
      </c>
      <c r="M16" s="21">
        <f t="shared" si="1"/>
        <v>0</v>
      </c>
      <c r="N16" s="21">
        <f t="shared" ca="1" si="1"/>
        <v>1010.4302984316793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0.21568067489744142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3564.6884268544827</v>
      </c>
      <c r="C20" s="23">
        <f t="shared" ref="C20:P20" ca="1" si="2">C16*C18</f>
        <v>0</v>
      </c>
      <c r="D20" s="23">
        <f t="shared" ca="1" si="2"/>
        <v>6761.913057302314</v>
      </c>
      <c r="E20" s="23">
        <f t="shared" si="2"/>
        <v>43.708217400798034</v>
      </c>
      <c r="F20" s="23">
        <f t="shared" ca="1" si="2"/>
        <v>753.46826260156809</v>
      </c>
      <c r="G20" s="23">
        <f t="shared" si="2"/>
        <v>0</v>
      </c>
      <c r="H20" s="23">
        <f t="shared" si="2"/>
        <v>0</v>
      </c>
      <c r="I20" s="23">
        <f t="shared" si="2"/>
        <v>0</v>
      </c>
      <c r="J20" s="23">
        <f t="shared" si="2"/>
        <v>8.9135735309320771E-3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7814.77232941287</v>
      </c>
      <c r="C26" s="39">
        <f>IF(ISERROR(B26*3.6/1000000/'E Balans VL '!Z12*100),0,B26*3.6/1000000/'E Balans VL '!Z12*100)</f>
        <v>0.16519190744445528</v>
      </c>
      <c r="D26" s="237" t="s">
        <v>744</v>
      </c>
      <c r="F26" s="6"/>
    </row>
    <row r="27" spans="1:18">
      <c r="A27" s="231" t="s">
        <v>52</v>
      </c>
      <c r="B27" s="33">
        <f>IF(ISERROR(TER_horeca_ele_kWh/1000),0,TER_horeca_ele_kWh/1000)</f>
        <v>435.28051158004803</v>
      </c>
      <c r="C27" s="39">
        <f>IF(ISERROR(B27*3.6/1000000/'E Balans VL '!Z9*100),0,B27*3.6/1000000/'E Balans VL '!Z9*100)</f>
        <v>3.4313000490526005E-2</v>
      </c>
      <c r="D27" s="237" t="s">
        <v>744</v>
      </c>
      <c r="F27" s="6"/>
    </row>
    <row r="28" spans="1:18">
      <c r="A28" s="171" t="s">
        <v>51</v>
      </c>
      <c r="B28" s="33">
        <f>IF(ISERROR(TER_handel_ele_kWh/1000),0,TER_handel_ele_kWh/1000)</f>
        <v>3967.04039430286</v>
      </c>
      <c r="C28" s="39">
        <f>IF(ISERROR(B28*3.6/1000000/'E Balans VL '!Z13*100),0,B28*3.6/1000000/'E Balans VL '!Z13*100)</f>
        <v>0.11513954088196887</v>
      </c>
      <c r="D28" s="237" t="s">
        <v>744</v>
      </c>
      <c r="F28" s="6"/>
    </row>
    <row r="29" spans="1:18">
      <c r="A29" s="231" t="s">
        <v>50</v>
      </c>
      <c r="B29" s="33">
        <f>IF(ISERROR(TER_gezond_ele_kWh/1000),0,TER_gezond_ele_kWh/1000)</f>
        <v>318.86012425216802</v>
      </c>
      <c r="C29" s="39">
        <f>IF(ISERROR(B29*3.6/1000000/'E Balans VL '!Z10*100),0,B29*3.6/1000000/'E Balans VL '!Z10*100)</f>
        <v>3.3581206905198967E-2</v>
      </c>
      <c r="D29" s="237" t="s">
        <v>744</v>
      </c>
      <c r="F29" s="6"/>
    </row>
    <row r="30" spans="1:18">
      <c r="A30" s="231" t="s">
        <v>49</v>
      </c>
      <c r="B30" s="33">
        <f>IF(ISERROR(TER_ander_ele_kWh/1000),0,TER_ander_ele_kWh/1000)</f>
        <v>986.07245813815996</v>
      </c>
      <c r="C30" s="39">
        <f>IF(ISERROR(B30*3.6/1000000/'E Balans VL '!Z14*100),0,B30*3.6/1000000/'E Balans VL '!Z14*100)</f>
        <v>7.2732918686143205E-2</v>
      </c>
      <c r="D30" s="237" t="s">
        <v>744</v>
      </c>
      <c r="F30" s="6"/>
    </row>
    <row r="31" spans="1:18">
      <c r="A31" s="231" t="s">
        <v>54</v>
      </c>
      <c r="B31" s="33">
        <f>IF(ISERROR(TER_onderwijs_ele_kWh/1000),0,TER_onderwijs_ele_kWh/1000)</f>
        <v>1446.32225010003</v>
      </c>
      <c r="C31" s="39">
        <f>IF(ISERROR(B31*3.6/1000000/'E Balans VL '!Z11*100),0,B31*3.6/1000000/'E Balans VL '!Z11*100)</f>
        <v>0.35918956442395295</v>
      </c>
      <c r="D31" s="237" t="s">
        <v>744</v>
      </c>
    </row>
    <row r="32" spans="1:18">
      <c r="A32" s="231" t="s">
        <v>259</v>
      </c>
      <c r="B32" s="33">
        <f>IF(ISERROR(TER_rest_ele_kWh/1000),0,TER_rest_ele_kWh/1000)</f>
        <v>1559.2728168829801</v>
      </c>
      <c r="C32" s="39">
        <f>IF(ISERROR(B32*3.6/1000000/'E Balans VL '!Z8*100),0,B32*3.6/1000000/'E Balans VL '!Z8*100)</f>
        <v>1.2830745558675447E-2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1792.6530161558924</v>
      </c>
      <c r="C5" s="17">
        <f>IF(ISERROR('Eigen informatie GS &amp; warmtenet'!B59),0,'Eigen informatie GS &amp; warmtenet'!B59)</f>
        <v>0</v>
      </c>
      <c r="D5" s="30">
        <f>SUM(D6:D15)</f>
        <v>2686.1088882581262</v>
      </c>
      <c r="E5" s="17">
        <f>SUM(E6:E15)</f>
        <v>458.48566507218686</v>
      </c>
      <c r="F5" s="17">
        <f>SUM(F6:F15)</f>
        <v>1272.2150114767194</v>
      </c>
      <c r="G5" s="18"/>
      <c r="H5" s="17"/>
      <c r="I5" s="17"/>
      <c r="J5" s="17">
        <f>SUM(J6:J15)</f>
        <v>0.42093622600776509</v>
      </c>
      <c r="K5" s="17"/>
      <c r="L5" s="17"/>
      <c r="M5" s="17"/>
      <c r="N5" s="17">
        <f>SUM(N6:N15)</f>
        <v>152.64731621296909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78.848255574932807</v>
      </c>
      <c r="C8" s="33"/>
      <c r="D8" s="37">
        <f>IF( ISERROR(IND_metaal_Gas_kWH/1000),0,IND_metaal_Gas_kWH/1000)*0.902</f>
        <v>0</v>
      </c>
      <c r="E8" s="33">
        <f>C30*'E Balans VL '!I18/100/3.6*1000000</f>
        <v>0.72493355764206169</v>
      </c>
      <c r="F8" s="33">
        <f>C30*'E Balans VL '!L18/100/3.6*1000000+C30*'E Balans VL '!N18/100/3.6*1000000</f>
        <v>7.3933412487735062</v>
      </c>
      <c r="G8" s="34"/>
      <c r="H8" s="33"/>
      <c r="I8" s="33"/>
      <c r="J8" s="40">
        <f>C30*'E Balans VL '!D18/100/3.6*1000000+C30*'E Balans VL '!E18/100/3.6*1000000</f>
        <v>0</v>
      </c>
      <c r="K8" s="33"/>
      <c r="L8" s="33"/>
      <c r="M8" s="33"/>
      <c r="N8" s="33">
        <f>C30*'E Balans VL '!Y18/100/3.6*1000000</f>
        <v>1.1249006680059175</v>
      </c>
      <c r="O8" s="33"/>
      <c r="P8" s="33"/>
      <c r="R8" s="32"/>
    </row>
    <row r="9" spans="1:18">
      <c r="A9" s="6" t="s">
        <v>32</v>
      </c>
      <c r="B9" s="37">
        <f t="shared" si="0"/>
        <v>1543.9315158966199</v>
      </c>
      <c r="C9" s="33"/>
      <c r="D9" s="37">
        <f>IF( ISERROR(IND_andere_gas_kWh/1000),0,IND_andere_gas_kWh/1000)*0.902</f>
        <v>1995.9913966571387</v>
      </c>
      <c r="E9" s="33">
        <f>C31*'E Balans VL '!I19/100/3.6*1000000</f>
        <v>451.32123889801727</v>
      </c>
      <c r="F9" s="33">
        <f>C31*'E Balans VL '!L19/100/3.6*1000000+C31*'E Balans VL '!N19/100/3.6*1000000</f>
        <v>1240.6658379004505</v>
      </c>
      <c r="G9" s="34"/>
      <c r="H9" s="33"/>
      <c r="I9" s="33"/>
      <c r="J9" s="40">
        <f>C31*'E Balans VL '!D19/100/3.6*1000000+C31*'E Balans VL '!E19/100/3.6*1000000</f>
        <v>0</v>
      </c>
      <c r="K9" s="33"/>
      <c r="L9" s="33"/>
      <c r="M9" s="33"/>
      <c r="N9" s="33">
        <f>C31*'E Balans VL '!Y19/100/3.6*1000000</f>
        <v>121.10389118720832</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54.6537761433325</v>
      </c>
      <c r="C13" s="33"/>
      <c r="D13" s="37">
        <f>IF( ISERROR(IND_papier_gas_kWh/1000),0,IND_papier_gas_kWh/1000)*0.902</f>
        <v>167.1271260227239</v>
      </c>
      <c r="E13" s="33">
        <f>C35*'E Balans VL '!I23/100/3.6*1000000</f>
        <v>7.7541209125816052E-2</v>
      </c>
      <c r="F13" s="33">
        <f>C35*'E Balans VL '!L23/100/3.6*1000000+C35*'E Balans VL '!N23/100/3.6*1000000</f>
        <v>1.3343041871072745</v>
      </c>
      <c r="G13" s="34"/>
      <c r="H13" s="33"/>
      <c r="I13" s="33"/>
      <c r="J13" s="40">
        <f>C35*'E Balans VL '!D23/100/3.6*1000000+C35*'E Balans VL '!E23/100/3.6*1000000</f>
        <v>8.4527196014850866E-3</v>
      </c>
      <c r="K13" s="33"/>
      <c r="L13" s="33"/>
      <c r="M13" s="33"/>
      <c r="N13" s="33">
        <f>C35*'E Balans VL '!Y23/100/3.6*1000000</f>
        <v>22.330740505556488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115.21946854100699</v>
      </c>
      <c r="C15" s="33"/>
      <c r="D15" s="37">
        <f>IF( ISERROR(IND_rest_gas_kWh/1000),0,IND_rest_gas_kWh/1000)*0.902</f>
        <v>522.99036557826366</v>
      </c>
      <c r="E15" s="33">
        <f>C37*'E Balans VL '!I15/100/3.6*1000000</f>
        <v>6.3619514074017305</v>
      </c>
      <c r="F15" s="33">
        <f>C37*'E Balans VL '!L15/100/3.6*1000000+C37*'E Balans VL '!N15/100/3.6*1000000</f>
        <v>22.821528140388057</v>
      </c>
      <c r="G15" s="34"/>
      <c r="H15" s="33"/>
      <c r="I15" s="33"/>
      <c r="J15" s="40">
        <f>C37*'E Balans VL '!D15/100/3.6*1000000+C37*'E Balans VL '!E15/100/3.6*1000000</f>
        <v>0.41248350640628001</v>
      </c>
      <c r="K15" s="33"/>
      <c r="L15" s="33"/>
      <c r="M15" s="33"/>
      <c r="N15" s="33">
        <f>C37*'E Balans VL '!Y15/100/3.6*1000000</f>
        <v>8.0877838521983509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1792.6530161558924</v>
      </c>
      <c r="C18" s="21">
        <f>C5+C16</f>
        <v>0</v>
      </c>
      <c r="D18" s="21">
        <f>MAX((D5+D16),0)</f>
        <v>2686.1088882581262</v>
      </c>
      <c r="E18" s="21">
        <f>MAX((E5+E16),0)</f>
        <v>458.48566507218686</v>
      </c>
      <c r="F18" s="21">
        <f>MAX((F5+F16),0)</f>
        <v>1272.2150114767194</v>
      </c>
      <c r="G18" s="21"/>
      <c r="H18" s="21"/>
      <c r="I18" s="21"/>
      <c r="J18" s="21">
        <f>MAX((J5+J16),0)</f>
        <v>0.42093622600776509</v>
      </c>
      <c r="K18" s="21"/>
      <c r="L18" s="21">
        <f>MAX((L5+L16),0)</f>
        <v>0</v>
      </c>
      <c r="M18" s="21"/>
      <c r="N18" s="21">
        <f>MAX((N5+N16),0)</f>
        <v>152.64731621296909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0.21568067489744142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386.64061238143682</v>
      </c>
      <c r="C22" s="23">
        <f ca="1">C18*C20</f>
        <v>0</v>
      </c>
      <c r="D22" s="23">
        <f>D18*D20</f>
        <v>542.59399542814151</v>
      </c>
      <c r="E22" s="23">
        <f>E18*E20</f>
        <v>104.07624597138643</v>
      </c>
      <c r="F22" s="23">
        <f>F18*F20</f>
        <v>339.68140806428408</v>
      </c>
      <c r="G22" s="23"/>
      <c r="H22" s="23"/>
      <c r="I22" s="23"/>
      <c r="J22" s="23">
        <f>J18*J20</f>
        <v>0.14901142400674883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78.848255574932807</v>
      </c>
      <c r="C30" s="39">
        <f>IF(ISERROR(B30*3.6/1000000/'E Balans VL '!Z18*100),0,B30*3.6/1000000/'E Balans VL '!Z18*100)</f>
        <v>4.4685328235822969E-3</v>
      </c>
      <c r="D30" s="237" t="s">
        <v>744</v>
      </c>
    </row>
    <row r="31" spans="1:18">
      <c r="A31" s="6" t="s">
        <v>32</v>
      </c>
      <c r="B31" s="37">
        <f>IF( ISERROR(IND_ander_ele_kWh/1000),0,IND_ander_ele_kWh/1000)</f>
        <v>1543.9315158966199</v>
      </c>
      <c r="C31" s="39">
        <f>IF(ISERROR(B31*3.6/1000000/'E Balans VL '!Z19*100),0,B31*3.6/1000000/'E Balans VL '!Z19*100)</f>
        <v>7.0026304742130119E-2</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54.6537761433325</v>
      </c>
      <c r="C35" s="39">
        <f>IF(ISERROR(B35*3.6/1000000/'E Balans VL '!Z22*100),0,B35*3.6/1000000/'E Balans VL '!Z22*100)</f>
        <v>9.8305091500082379E-3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115.21946854100699</v>
      </c>
      <c r="C37" s="39">
        <f>IF(ISERROR(B37*3.6/1000000/'E Balans VL '!Z15*100),0,B37*3.6/1000000/'E Balans VL '!Z15*100)</f>
        <v>9.1325579115246187E-4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80.7615560329494</v>
      </c>
      <c r="C5" s="17">
        <f>'Eigen informatie GS &amp; warmtenet'!B60</f>
        <v>0</v>
      </c>
      <c r="D5" s="30">
        <f>IF(ISERROR(SUM(LB_lb_gas_kWh,LB_rest_gas_kWh)/1000),0,SUM(LB_lb_gas_kWh,LB_rest_gas_kWh)/1000)*0.902</f>
        <v>164.98947668652957</v>
      </c>
      <c r="E5" s="17">
        <f>B17*'E Balans VL '!I25/3.6*1000000/100</f>
        <v>2.3738288060720207</v>
      </c>
      <c r="F5" s="17">
        <f>B17*('E Balans VL '!L25/3.6*1000000+'E Balans VL '!N25/3.6*1000000)/100</f>
        <v>336.44827830784192</v>
      </c>
      <c r="G5" s="18"/>
      <c r="H5" s="17"/>
      <c r="I5" s="17"/>
      <c r="J5" s="17">
        <f>('E Balans VL '!D25+'E Balans VL '!E25)/3.6*1000000*landbouw!B17/100</f>
        <v>11.700615094905375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80.7615560329494</v>
      </c>
      <c r="C8" s="21">
        <f>C5+C6</f>
        <v>0</v>
      </c>
      <c r="D8" s="21">
        <f>MAX((D5+D6),0)</f>
        <v>164.98947668652957</v>
      </c>
      <c r="E8" s="21">
        <f>MAX((E5+E6),0)</f>
        <v>2.3738288060720207</v>
      </c>
      <c r="F8" s="21">
        <f>MAX((F5+F6),0)</f>
        <v>336.44827830784192</v>
      </c>
      <c r="G8" s="21"/>
      <c r="H8" s="21"/>
      <c r="I8" s="21"/>
      <c r="J8" s="21">
        <f>MAX((J5+J6),0)</f>
        <v>11.700615094905375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0.21568067489744142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17.418706910954057</v>
      </c>
      <c r="C12" s="23">
        <f ca="1">C8*C10</f>
        <v>0</v>
      </c>
      <c r="D12" s="23">
        <f>D8*D10</f>
        <v>33.327874290678977</v>
      </c>
      <c r="E12" s="23">
        <f>E8*E10</f>
        <v>0.5388591389783487</v>
      </c>
      <c r="F12" s="23">
        <f>F8*F10</f>
        <v>89.831690308193799</v>
      </c>
      <c r="G12" s="23"/>
      <c r="H12" s="23"/>
      <c r="I12" s="23"/>
      <c r="J12" s="23">
        <f>J8*J10</f>
        <v>4.1420177435965027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1.146031818273022E-2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44.446705454203062</v>
      </c>
      <c r="C26" s="247">
        <f>B26*'GWP N2O_CH4'!B5</f>
        <v>933.3808145382643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4.4722413940995098</v>
      </c>
      <c r="C27" s="247">
        <f>B27*'GWP N2O_CH4'!B5</f>
        <v>93.917069276089705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0.59422239991895953</v>
      </c>
      <c r="C28" s="247">
        <f>B28*'GWP N2O_CH4'!B4</f>
        <v>184.20894397487746</v>
      </c>
      <c r="D28" s="50"/>
    </row>
    <row r="29" spans="1:4">
      <c r="A29" s="41" t="s">
        <v>276</v>
      </c>
      <c r="B29" s="247">
        <f>B34*'ha_N2O bodem landbouw'!B4</f>
        <v>2.7120612420914241</v>
      </c>
      <c r="C29" s="247">
        <f>B29*'GWP N2O_CH4'!B4</f>
        <v>840.73898504834142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6.1888302926643853E-4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1.2755556868251E-4</v>
      </c>
      <c r="C5" s="437" t="s">
        <v>210</v>
      </c>
      <c r="D5" s="422">
        <f>SUM(D6:D11)</f>
        <v>4.4577917650906788E-4</v>
      </c>
      <c r="E5" s="422">
        <f>SUM(E6:E11)</f>
        <v>7.3784881934864702E-4</v>
      </c>
      <c r="F5" s="435" t="s">
        <v>210</v>
      </c>
      <c r="G5" s="422">
        <f>SUM(G6:G11)</f>
        <v>0.23279677639122215</v>
      </c>
      <c r="H5" s="422">
        <f>SUM(H6:H11)</f>
        <v>7.455347756547169E-2</v>
      </c>
      <c r="I5" s="437" t="s">
        <v>210</v>
      </c>
      <c r="J5" s="437" t="s">
        <v>210</v>
      </c>
      <c r="K5" s="437" t="s">
        <v>210</v>
      </c>
      <c r="L5" s="437" t="s">
        <v>210</v>
      </c>
      <c r="M5" s="422">
        <f>SUM(M6:M11)</f>
        <v>1.5796173093053891E-2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5.1751213786389395E-5</v>
      </c>
      <c r="C6" s="423"/>
      <c r="D6" s="865">
        <f>vkm_GW_PW*SUMIFS(TableVerdeelsleutelVkm[CNG],TableVerdeelsleutelVkm[Voertuigtype],"Lichte voertuigen")*SUMIFS(TableECFTransport[EnergieConsumptieFactor (PJ per km)],TableECFTransport[Index],CONCATENATE($A6,"_CNG_CNG"))</f>
        <v>1.282521437775544E-4</v>
      </c>
      <c r="E6" s="865">
        <f>vkm_GW_PW*SUMIFS(TableVerdeelsleutelVkm[LPG],TableVerdeelsleutelVkm[Voertuigtype],"Lichte voertuigen")*SUMIFS(TableECFTransport[EnergieConsumptieFactor (PJ per km)],TableECFTransport[Index],CONCATENATE($A6,"_LPG_LPG"))</f>
        <v>2.2017690453383565E-4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6.746540094895305E-2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2.1790574990906184E-2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4.5832293679530407E-3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2.8711122565612509E-3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4.8028485568298562E-8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1.6774632997773055E-4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7.5804354896120597E-5</v>
      </c>
      <c r="C8" s="423"/>
      <c r="D8" s="425">
        <f>vkm_NGW_PW*SUMIFS(TableVerdeelsleutelVkm[CNG],TableVerdeelsleutelVkm[Voertuigtype],"Lichte voertuigen")*SUMIFS(TableECFTransport[EnergieConsumptieFactor (PJ per km)],TableECFTransport[Index],CONCATENATE($A8,"_CNG_CNG"))</f>
        <v>3.1752703273151347E-4</v>
      </c>
      <c r="E8" s="425">
        <f>vkm_NGW_PW*SUMIFS(TableVerdeelsleutelVkm[LPG],TableVerdeelsleutelVkm[Voertuigtype],"Lichte voertuigen")*SUMIFS(TableECFTransport[EnergieConsumptieFactor (PJ per km)],TableECFTransport[Index],CONCATENATE($A8,"_LPG_LPG"))</f>
        <v>5.176719148148114E-4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0.14920533226687926</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5.2762581402489676E-2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1.0270769172524324E-2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1.3254930918828574E-2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2.7314359026138783E-7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7.7442822259879483E-4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35.43210241180833</v>
      </c>
      <c r="C14" s="21"/>
      <c r="D14" s="21">
        <f t="shared" ref="D14:M14" si="0">((D5)*10^9/3600)+D12</f>
        <v>123.82754903029664</v>
      </c>
      <c r="E14" s="21">
        <f t="shared" si="0"/>
        <v>204.95800537462418</v>
      </c>
      <c r="F14" s="21"/>
      <c r="G14" s="21">
        <f t="shared" si="0"/>
        <v>64665.771219783928</v>
      </c>
      <c r="H14" s="21">
        <f t="shared" si="0"/>
        <v>20709.299323742136</v>
      </c>
      <c r="I14" s="21"/>
      <c r="J14" s="21"/>
      <c r="K14" s="21"/>
      <c r="L14" s="21"/>
      <c r="M14" s="21">
        <f t="shared" si="0"/>
        <v>4387.8258591816366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0.21568067489744142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7.6420197612140823</v>
      </c>
      <c r="C18" s="23"/>
      <c r="D18" s="23">
        <f t="shared" ref="D18:M18" si="1">D14*D16</f>
        <v>25.013164904119922</v>
      </c>
      <c r="E18" s="23">
        <f t="shared" si="1"/>
        <v>46.525467220039687</v>
      </c>
      <c r="F18" s="23"/>
      <c r="G18" s="23">
        <f t="shared" si="1"/>
        <v>17265.760915682309</v>
      </c>
      <c r="H18" s="23">
        <f t="shared" si="1"/>
        <v>5156.615531611792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6.0897376989664919E-3</v>
      </c>
      <c r="H50" s="319">
        <f t="shared" si="2"/>
        <v>0</v>
      </c>
      <c r="I50" s="319">
        <f t="shared" si="2"/>
        <v>0</v>
      </c>
      <c r="J50" s="319">
        <f t="shared" si="2"/>
        <v>0</v>
      </c>
      <c r="K50" s="319">
        <f t="shared" si="2"/>
        <v>0</v>
      </c>
      <c r="L50" s="319">
        <f t="shared" si="2"/>
        <v>0</v>
      </c>
      <c r="M50" s="319">
        <f t="shared" si="2"/>
        <v>3.4584409094840835E-4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6.0897376989664919E-3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3.4584409094840835E-4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1691.5938052684701</v>
      </c>
      <c r="H54" s="21">
        <f t="shared" si="3"/>
        <v>0</v>
      </c>
      <c r="I54" s="21">
        <f t="shared" si="3"/>
        <v>0</v>
      </c>
      <c r="J54" s="21">
        <f t="shared" si="3"/>
        <v>0</v>
      </c>
      <c r="K54" s="21">
        <f t="shared" si="3"/>
        <v>0</v>
      </c>
      <c r="L54" s="21">
        <f t="shared" si="3"/>
        <v>0</v>
      </c>
      <c r="M54" s="21">
        <f t="shared" si="3"/>
        <v>96.067803041224536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0.21568067489744142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451.65554600668156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17697.968884669113</v>
      </c>
      <c r="D10" s="979">
        <f ca="1">tertiair!C16</f>
        <v>0</v>
      </c>
      <c r="E10" s="979">
        <f ca="1">tertiair!D16</f>
        <v>33474.81711535799</v>
      </c>
      <c r="F10" s="979">
        <f>tertiair!E16</f>
        <v>192.54721321937458</v>
      </c>
      <c r="G10" s="979">
        <f ca="1">tertiair!F16</f>
        <v>2821.9785116163598</v>
      </c>
      <c r="H10" s="979">
        <f>tertiair!G16</f>
        <v>0</v>
      </c>
      <c r="I10" s="979">
        <f>tertiair!H16</f>
        <v>0</v>
      </c>
      <c r="J10" s="979">
        <f>tertiair!I16</f>
        <v>0</v>
      </c>
      <c r="K10" s="979">
        <f>tertiair!J16</f>
        <v>2.5179586245570838E-2</v>
      </c>
      <c r="L10" s="979">
        <f>tertiair!K16</f>
        <v>0</v>
      </c>
      <c r="M10" s="979">
        <f ca="1">tertiair!L16</f>
        <v>0</v>
      </c>
      <c r="N10" s="979">
        <f>tertiair!M16</f>
        <v>0</v>
      </c>
      <c r="O10" s="979">
        <f ca="1">tertiair!N16</f>
        <v>1010.4302984316793</v>
      </c>
      <c r="P10" s="979">
        <f>tertiair!O16</f>
        <v>1.5633333333333335</v>
      </c>
      <c r="Q10" s="980">
        <f>tertiair!P16</f>
        <v>0</v>
      </c>
      <c r="R10" s="674">
        <f ca="1">SUM(C10:Q10)</f>
        <v>55199.330536214096</v>
      </c>
      <c r="S10" s="67"/>
    </row>
    <row r="11" spans="1:19" s="447" customFormat="1">
      <c r="A11" s="783" t="s">
        <v>224</v>
      </c>
      <c r="B11" s="788"/>
      <c r="C11" s="979">
        <f>huishoudens!B8</f>
        <v>33246.964723496065</v>
      </c>
      <c r="D11" s="979">
        <f>huishoudens!C8</f>
        <v>0</v>
      </c>
      <c r="E11" s="979">
        <f>huishoudens!D8</f>
        <v>132234.04090894302</v>
      </c>
      <c r="F11" s="979">
        <f>huishoudens!E8</f>
        <v>2362.7260807077087</v>
      </c>
      <c r="G11" s="979">
        <f>huishoudens!F8</f>
        <v>8235.3430496830752</v>
      </c>
      <c r="H11" s="979">
        <f>huishoudens!G8</f>
        <v>0</v>
      </c>
      <c r="I11" s="979">
        <f>huishoudens!H8</f>
        <v>0</v>
      </c>
      <c r="J11" s="979">
        <f>huishoudens!I8</f>
        <v>0</v>
      </c>
      <c r="K11" s="979">
        <f>huishoudens!J8</f>
        <v>0</v>
      </c>
      <c r="L11" s="979">
        <f>huishoudens!K8</f>
        <v>0</v>
      </c>
      <c r="M11" s="979">
        <f>huishoudens!L8</f>
        <v>0</v>
      </c>
      <c r="N11" s="979">
        <f>huishoudens!M8</f>
        <v>0</v>
      </c>
      <c r="O11" s="979">
        <f>huishoudens!N8</f>
        <v>7598.4734127540314</v>
      </c>
      <c r="P11" s="979">
        <f>huishoudens!O8</f>
        <v>89.11</v>
      </c>
      <c r="Q11" s="980">
        <f>huishoudens!P8</f>
        <v>209.73333333333335</v>
      </c>
      <c r="R11" s="674">
        <f>SUM(C11:Q11)</f>
        <v>183976.39150891724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1792.6530161558924</v>
      </c>
      <c r="D13" s="979">
        <f>industrie!C18</f>
        <v>0</v>
      </c>
      <c r="E13" s="979">
        <f>industrie!D18</f>
        <v>2686.1088882581262</v>
      </c>
      <c r="F13" s="979">
        <f>industrie!E18</f>
        <v>458.48566507218686</v>
      </c>
      <c r="G13" s="979">
        <f>industrie!F18</f>
        <v>1272.2150114767194</v>
      </c>
      <c r="H13" s="979">
        <f>industrie!G18</f>
        <v>0</v>
      </c>
      <c r="I13" s="979">
        <f>industrie!H18</f>
        <v>0</v>
      </c>
      <c r="J13" s="979">
        <f>industrie!I18</f>
        <v>0</v>
      </c>
      <c r="K13" s="979">
        <f>industrie!J18</f>
        <v>0.42093622600776509</v>
      </c>
      <c r="L13" s="979">
        <f>industrie!K18</f>
        <v>0</v>
      </c>
      <c r="M13" s="979">
        <f>industrie!L18</f>
        <v>0</v>
      </c>
      <c r="N13" s="979">
        <f>industrie!M18</f>
        <v>0</v>
      </c>
      <c r="O13" s="979">
        <f>industrie!N18</f>
        <v>152.64731621296909</v>
      </c>
      <c r="P13" s="979">
        <f>industrie!O18</f>
        <v>0</v>
      </c>
      <c r="Q13" s="980">
        <f>industrie!P18</f>
        <v>0</v>
      </c>
      <c r="R13" s="674">
        <f>SUM(C13:Q13)</f>
        <v>6362.530833401901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52737.586624321069</v>
      </c>
      <c r="D16" s="706">
        <f t="shared" ref="D16:R16" ca="1" si="0">SUM(D9:D15)</f>
        <v>0</v>
      </c>
      <c r="E16" s="706">
        <f t="shared" ca="1" si="0"/>
        <v>168394.96691255915</v>
      </c>
      <c r="F16" s="706">
        <f t="shared" si="0"/>
        <v>3013.7589589992699</v>
      </c>
      <c r="G16" s="706">
        <f t="shared" ca="1" si="0"/>
        <v>12329.536572776155</v>
      </c>
      <c r="H16" s="706">
        <f t="shared" si="0"/>
        <v>0</v>
      </c>
      <c r="I16" s="706">
        <f t="shared" si="0"/>
        <v>0</v>
      </c>
      <c r="J16" s="706">
        <f t="shared" si="0"/>
        <v>0</v>
      </c>
      <c r="K16" s="706">
        <f t="shared" si="0"/>
        <v>0.44611581225333591</v>
      </c>
      <c r="L16" s="706">
        <f t="shared" si="0"/>
        <v>0</v>
      </c>
      <c r="M16" s="706">
        <f t="shared" ca="1" si="0"/>
        <v>0</v>
      </c>
      <c r="N16" s="706">
        <f t="shared" si="0"/>
        <v>0</v>
      </c>
      <c r="O16" s="706">
        <f t="shared" ca="1" si="0"/>
        <v>8761.5510273986802</v>
      </c>
      <c r="P16" s="706">
        <f t="shared" si="0"/>
        <v>90.673333333333332</v>
      </c>
      <c r="Q16" s="706">
        <f t="shared" si="0"/>
        <v>209.73333333333335</v>
      </c>
      <c r="R16" s="706">
        <f t="shared" ca="1" si="0"/>
        <v>245538.25287853321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1691.5938052684701</v>
      </c>
      <c r="I19" s="979">
        <f>transport!H54</f>
        <v>0</v>
      </c>
      <c r="J19" s="979">
        <f>transport!I54</f>
        <v>0</v>
      </c>
      <c r="K19" s="979">
        <f>transport!J54</f>
        <v>0</v>
      </c>
      <c r="L19" s="979">
        <f>transport!K54</f>
        <v>0</v>
      </c>
      <c r="M19" s="979">
        <f>transport!L54</f>
        <v>0</v>
      </c>
      <c r="N19" s="979">
        <f>transport!M54</f>
        <v>96.067803041224536</v>
      </c>
      <c r="O19" s="979">
        <f>transport!N54</f>
        <v>0</v>
      </c>
      <c r="P19" s="979">
        <f>transport!O54</f>
        <v>0</v>
      </c>
      <c r="Q19" s="980">
        <f>transport!P54</f>
        <v>0</v>
      </c>
      <c r="R19" s="674">
        <f>SUM(C19:Q19)</f>
        <v>1787.6616083096947</v>
      </c>
      <c r="S19" s="67"/>
    </row>
    <row r="20" spans="1:19" s="447" customFormat="1">
      <c r="A20" s="783" t="s">
        <v>306</v>
      </c>
      <c r="B20" s="788"/>
      <c r="C20" s="979">
        <f>transport!B14</f>
        <v>35.43210241180833</v>
      </c>
      <c r="D20" s="979">
        <f>transport!C14</f>
        <v>0</v>
      </c>
      <c r="E20" s="979">
        <f>transport!D14</f>
        <v>123.82754903029664</v>
      </c>
      <c r="F20" s="979">
        <f>transport!E14</f>
        <v>204.95800537462418</v>
      </c>
      <c r="G20" s="979">
        <f>transport!F14</f>
        <v>0</v>
      </c>
      <c r="H20" s="979">
        <f>transport!G14</f>
        <v>64665.771219783928</v>
      </c>
      <c r="I20" s="979">
        <f>transport!H14</f>
        <v>20709.299323742136</v>
      </c>
      <c r="J20" s="979">
        <f>transport!I14</f>
        <v>0</v>
      </c>
      <c r="K20" s="979">
        <f>transport!J14</f>
        <v>0</v>
      </c>
      <c r="L20" s="979">
        <f>transport!K14</f>
        <v>0</v>
      </c>
      <c r="M20" s="979">
        <f>transport!L14</f>
        <v>0</v>
      </c>
      <c r="N20" s="979">
        <f>transport!M14</f>
        <v>4387.8258591816366</v>
      </c>
      <c r="O20" s="979">
        <f>transport!N14</f>
        <v>0</v>
      </c>
      <c r="P20" s="979">
        <f>transport!O14</f>
        <v>0</v>
      </c>
      <c r="Q20" s="980">
        <f>transport!P14</f>
        <v>0</v>
      </c>
      <c r="R20" s="674">
        <f>SUM(C20:Q20)</f>
        <v>90127.114059524436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35.43210241180833</v>
      </c>
      <c r="D22" s="786">
        <f t="shared" ref="D22:R22" si="1">SUM(D18:D21)</f>
        <v>0</v>
      </c>
      <c r="E22" s="786">
        <f t="shared" si="1"/>
        <v>123.82754903029664</v>
      </c>
      <c r="F22" s="786">
        <f t="shared" si="1"/>
        <v>204.95800537462418</v>
      </c>
      <c r="G22" s="786">
        <f t="shared" si="1"/>
        <v>0</v>
      </c>
      <c r="H22" s="786">
        <f t="shared" si="1"/>
        <v>66357.365025052393</v>
      </c>
      <c r="I22" s="786">
        <f t="shared" si="1"/>
        <v>20709.299323742136</v>
      </c>
      <c r="J22" s="786">
        <f t="shared" si="1"/>
        <v>0</v>
      </c>
      <c r="K22" s="786">
        <f t="shared" si="1"/>
        <v>0</v>
      </c>
      <c r="L22" s="786">
        <f t="shared" si="1"/>
        <v>0</v>
      </c>
      <c r="M22" s="786">
        <f t="shared" si="1"/>
        <v>0</v>
      </c>
      <c r="N22" s="786">
        <f t="shared" si="1"/>
        <v>4483.8936622228612</v>
      </c>
      <c r="O22" s="786">
        <f t="shared" si="1"/>
        <v>0</v>
      </c>
      <c r="P22" s="786">
        <f t="shared" si="1"/>
        <v>0</v>
      </c>
      <c r="Q22" s="786">
        <f t="shared" si="1"/>
        <v>0</v>
      </c>
      <c r="R22" s="786">
        <f t="shared" si="1"/>
        <v>91914.775667834125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80.7615560329494</v>
      </c>
      <c r="D24" s="979">
        <f>+landbouw!C8</f>
        <v>0</v>
      </c>
      <c r="E24" s="979">
        <f>+landbouw!D8</f>
        <v>164.98947668652957</v>
      </c>
      <c r="F24" s="979">
        <f>+landbouw!E8</f>
        <v>2.3738288060720207</v>
      </c>
      <c r="G24" s="979">
        <f>+landbouw!F8</f>
        <v>336.44827830784192</v>
      </c>
      <c r="H24" s="979">
        <f>+landbouw!G8</f>
        <v>0</v>
      </c>
      <c r="I24" s="979">
        <f>+landbouw!H8</f>
        <v>0</v>
      </c>
      <c r="J24" s="979">
        <f>+landbouw!I8</f>
        <v>0</v>
      </c>
      <c r="K24" s="979">
        <f>+landbouw!J8</f>
        <v>11.700615094905375</v>
      </c>
      <c r="L24" s="979">
        <f>+landbouw!K8</f>
        <v>0</v>
      </c>
      <c r="M24" s="979">
        <f>+landbouw!L8</f>
        <v>0</v>
      </c>
      <c r="N24" s="979">
        <f>+landbouw!M8</f>
        <v>0</v>
      </c>
      <c r="O24" s="979">
        <f>+landbouw!N8</f>
        <v>0</v>
      </c>
      <c r="P24" s="979">
        <f>+landbouw!O8</f>
        <v>0</v>
      </c>
      <c r="Q24" s="980">
        <f>+landbouw!P8</f>
        <v>0</v>
      </c>
      <c r="R24" s="674">
        <f>SUM(C24:Q24)</f>
        <v>596.27375492829833</v>
      </c>
      <c r="S24" s="67"/>
    </row>
    <row r="25" spans="1:19" s="447" customFormat="1" ht="15" thickBot="1">
      <c r="A25" s="805" t="s">
        <v>823</v>
      </c>
      <c r="B25" s="982"/>
      <c r="C25" s="983">
        <f>IF(Onbekend_ele_kWh="---",0,Onbekend_ele_kWh)/1000+IF(REST_rest_ele_kWh="---",0,REST_rest_ele_kWh)/1000</f>
        <v>1976.3033826549599</v>
      </c>
      <c r="D25" s="983"/>
      <c r="E25" s="983">
        <f>IF(onbekend_gas_kWh="---",0,onbekend_gas_kWh)/1000+IF(REST_rest_gas_kWh="---",0,REST_rest_gas_kWh)/1000</f>
        <v>8723.6168824162196</v>
      </c>
      <c r="F25" s="983"/>
      <c r="G25" s="983"/>
      <c r="H25" s="983"/>
      <c r="I25" s="983"/>
      <c r="J25" s="983"/>
      <c r="K25" s="983"/>
      <c r="L25" s="983"/>
      <c r="M25" s="983"/>
      <c r="N25" s="983"/>
      <c r="O25" s="983"/>
      <c r="P25" s="983"/>
      <c r="Q25" s="984"/>
      <c r="R25" s="674">
        <f>SUM(C25:Q25)</f>
        <v>10699.92026507118</v>
      </c>
      <c r="S25" s="67"/>
    </row>
    <row r="26" spans="1:19" s="447" customFormat="1" ht="15.75" thickBot="1">
      <c r="A26" s="679" t="s">
        <v>824</v>
      </c>
      <c r="B26" s="791"/>
      <c r="C26" s="786">
        <f>SUM(C24:C25)</f>
        <v>2057.0649386879095</v>
      </c>
      <c r="D26" s="786">
        <f t="shared" ref="D26:R26" si="2">SUM(D24:D25)</f>
        <v>0</v>
      </c>
      <c r="E26" s="786">
        <f t="shared" si="2"/>
        <v>8888.6063591027487</v>
      </c>
      <c r="F26" s="786">
        <f t="shared" si="2"/>
        <v>2.3738288060720207</v>
      </c>
      <c r="G26" s="786">
        <f t="shared" si="2"/>
        <v>336.44827830784192</v>
      </c>
      <c r="H26" s="786">
        <f t="shared" si="2"/>
        <v>0</v>
      </c>
      <c r="I26" s="786">
        <f t="shared" si="2"/>
        <v>0</v>
      </c>
      <c r="J26" s="786">
        <f t="shared" si="2"/>
        <v>0</v>
      </c>
      <c r="K26" s="786">
        <f t="shared" si="2"/>
        <v>11.700615094905375</v>
      </c>
      <c r="L26" s="786">
        <f t="shared" si="2"/>
        <v>0</v>
      </c>
      <c r="M26" s="786">
        <f t="shared" si="2"/>
        <v>0</v>
      </c>
      <c r="N26" s="786">
        <f t="shared" si="2"/>
        <v>0</v>
      </c>
      <c r="O26" s="786">
        <f t="shared" si="2"/>
        <v>0</v>
      </c>
      <c r="P26" s="786">
        <f t="shared" si="2"/>
        <v>0</v>
      </c>
      <c r="Q26" s="786">
        <f t="shared" si="2"/>
        <v>0</v>
      </c>
      <c r="R26" s="786">
        <f t="shared" si="2"/>
        <v>11296.194019999479</v>
      </c>
      <c r="S26" s="67"/>
    </row>
    <row r="27" spans="1:19" s="447" customFormat="1" ht="17.25" thickTop="1" thickBot="1">
      <c r="A27" s="680" t="s">
        <v>115</v>
      </c>
      <c r="B27" s="779"/>
      <c r="C27" s="681">
        <f ca="1">C22+C16+C26</f>
        <v>54830.083665420789</v>
      </c>
      <c r="D27" s="681">
        <f t="shared" ref="D27:R27" ca="1" si="3">D22+D16+D26</f>
        <v>0</v>
      </c>
      <c r="E27" s="681">
        <f t="shared" ca="1" si="3"/>
        <v>177407.40082069219</v>
      </c>
      <c r="F27" s="681">
        <f t="shared" si="3"/>
        <v>3221.0907931799661</v>
      </c>
      <c r="G27" s="681">
        <f t="shared" ca="1" si="3"/>
        <v>12665.984851083997</v>
      </c>
      <c r="H27" s="681">
        <f t="shared" si="3"/>
        <v>66357.365025052393</v>
      </c>
      <c r="I27" s="681">
        <f t="shared" si="3"/>
        <v>20709.299323742136</v>
      </c>
      <c r="J27" s="681">
        <f t="shared" si="3"/>
        <v>0</v>
      </c>
      <c r="K27" s="681">
        <f t="shared" si="3"/>
        <v>12.146730907158711</v>
      </c>
      <c r="L27" s="681">
        <f t="shared" si="3"/>
        <v>0</v>
      </c>
      <c r="M27" s="681">
        <f t="shared" ca="1" si="3"/>
        <v>0</v>
      </c>
      <c r="N27" s="681">
        <f t="shared" si="3"/>
        <v>4483.8936622228612</v>
      </c>
      <c r="O27" s="681">
        <f t="shared" ca="1" si="3"/>
        <v>8761.5510273986802</v>
      </c>
      <c r="P27" s="681">
        <f t="shared" si="3"/>
        <v>90.673333333333332</v>
      </c>
      <c r="Q27" s="681">
        <f t="shared" si="3"/>
        <v>209.73333333333335</v>
      </c>
      <c r="R27" s="681">
        <f t="shared" ca="1" si="3"/>
        <v>348749.22256636678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3817.1098733593535</v>
      </c>
      <c r="D40" s="979">
        <f ca="1">tertiair!C20</f>
        <v>0</v>
      </c>
      <c r="E40" s="979">
        <f ca="1">tertiair!D20</f>
        <v>6761.913057302314</v>
      </c>
      <c r="F40" s="979">
        <f>tertiair!E20</f>
        <v>43.708217400798034</v>
      </c>
      <c r="G40" s="979">
        <f ca="1">tertiair!F20</f>
        <v>753.46826260156809</v>
      </c>
      <c r="H40" s="979">
        <f>tertiair!G20</f>
        <v>0</v>
      </c>
      <c r="I40" s="979">
        <f>tertiair!H20</f>
        <v>0</v>
      </c>
      <c r="J40" s="979">
        <f>tertiair!I20</f>
        <v>0</v>
      </c>
      <c r="K40" s="979">
        <f>tertiair!J20</f>
        <v>8.9135735309320771E-3</v>
      </c>
      <c r="L40" s="979">
        <f>tertiair!K20</f>
        <v>0</v>
      </c>
      <c r="M40" s="979">
        <f ca="1">tertiair!L20</f>
        <v>0</v>
      </c>
      <c r="N40" s="979">
        <f>tertiair!M20</f>
        <v>0</v>
      </c>
      <c r="O40" s="979">
        <f ca="1">tertiair!N20</f>
        <v>0</v>
      </c>
      <c r="P40" s="979">
        <f>tertiair!O20</f>
        <v>0</v>
      </c>
      <c r="Q40" s="748">
        <f>tertiair!P20</f>
        <v>0</v>
      </c>
      <c r="R40" s="824">
        <f t="shared" ca="1" si="4"/>
        <v>11376.208324237563</v>
      </c>
    </row>
    <row r="41" spans="1:18">
      <c r="A41" s="796" t="s">
        <v>224</v>
      </c>
      <c r="B41" s="803"/>
      <c r="C41" s="979">
        <f ca="1">huishoudens!B12</f>
        <v>7170.7277898550583</v>
      </c>
      <c r="D41" s="979">
        <f ca="1">huishoudens!C12</f>
        <v>0</v>
      </c>
      <c r="E41" s="979">
        <f>huishoudens!D12</f>
        <v>26711.276263606491</v>
      </c>
      <c r="F41" s="979">
        <f>huishoudens!E12</f>
        <v>536.33882032064992</v>
      </c>
      <c r="G41" s="979">
        <f>huishoudens!F12</f>
        <v>2198.8365942653813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36617.17946804758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386.64061238143682</v>
      </c>
      <c r="D43" s="979">
        <f ca="1">industrie!C22</f>
        <v>0</v>
      </c>
      <c r="E43" s="979">
        <f>industrie!D22</f>
        <v>542.59399542814151</v>
      </c>
      <c r="F43" s="979">
        <f>industrie!E22</f>
        <v>104.07624597138643</v>
      </c>
      <c r="G43" s="979">
        <f>industrie!F22</f>
        <v>339.68140806428408</v>
      </c>
      <c r="H43" s="979">
        <f>industrie!G22</f>
        <v>0</v>
      </c>
      <c r="I43" s="979">
        <f>industrie!H22</f>
        <v>0</v>
      </c>
      <c r="J43" s="979">
        <f>industrie!I22</f>
        <v>0</v>
      </c>
      <c r="K43" s="979">
        <f>industrie!J22</f>
        <v>0.14901142400674883</v>
      </c>
      <c r="L43" s="979">
        <f>industrie!K22</f>
        <v>0</v>
      </c>
      <c r="M43" s="979">
        <f>industrie!L22</f>
        <v>0</v>
      </c>
      <c r="N43" s="979">
        <f>industrie!M22</f>
        <v>0</v>
      </c>
      <c r="O43" s="979">
        <f>industrie!N22</f>
        <v>0</v>
      </c>
      <c r="P43" s="979">
        <f>industrie!O22</f>
        <v>0</v>
      </c>
      <c r="Q43" s="748">
        <f>industrie!P22</f>
        <v>0</v>
      </c>
      <c r="R43" s="823">
        <f t="shared" ca="1" si="4"/>
        <v>1373.1412732692559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11374.478275595849</v>
      </c>
      <c r="D46" s="706">
        <f t="shared" ref="D46:Q46" ca="1" si="5">SUM(D39:D45)</f>
        <v>0</v>
      </c>
      <c r="E46" s="706">
        <f t="shared" ca="1" si="5"/>
        <v>34015.783316336943</v>
      </c>
      <c r="F46" s="706">
        <f t="shared" si="5"/>
        <v>684.12328369283443</v>
      </c>
      <c r="G46" s="706">
        <f t="shared" ca="1" si="5"/>
        <v>3291.9862649312331</v>
      </c>
      <c r="H46" s="706">
        <f t="shared" si="5"/>
        <v>0</v>
      </c>
      <c r="I46" s="706">
        <f t="shared" si="5"/>
        <v>0</v>
      </c>
      <c r="J46" s="706">
        <f t="shared" si="5"/>
        <v>0</v>
      </c>
      <c r="K46" s="706">
        <f t="shared" si="5"/>
        <v>0.15792499753768091</v>
      </c>
      <c r="L46" s="706">
        <f t="shared" si="5"/>
        <v>0</v>
      </c>
      <c r="M46" s="706">
        <f t="shared" ca="1" si="5"/>
        <v>0</v>
      </c>
      <c r="N46" s="706">
        <f t="shared" si="5"/>
        <v>0</v>
      </c>
      <c r="O46" s="706">
        <f t="shared" ca="1" si="5"/>
        <v>0</v>
      </c>
      <c r="P46" s="706">
        <f t="shared" si="5"/>
        <v>0</v>
      </c>
      <c r="Q46" s="706">
        <f t="shared" si="5"/>
        <v>0</v>
      </c>
      <c r="R46" s="706">
        <f ca="1">SUM(R39:R45)</f>
        <v>49366.529065554394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451.65554600668156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451.65554600668156</v>
      </c>
    </row>
    <row r="50" spans="1:18">
      <c r="A50" s="799" t="s">
        <v>306</v>
      </c>
      <c r="B50" s="809"/>
      <c r="C50" s="677">
        <f ca="1">transport!B18</f>
        <v>7.6420197612140823</v>
      </c>
      <c r="D50" s="677">
        <f>transport!C18</f>
        <v>0</v>
      </c>
      <c r="E50" s="677">
        <f>transport!D18</f>
        <v>25.013164904119922</v>
      </c>
      <c r="F50" s="677">
        <f>transport!E18</f>
        <v>46.525467220039687</v>
      </c>
      <c r="G50" s="677">
        <f>transport!F18</f>
        <v>0</v>
      </c>
      <c r="H50" s="677">
        <f>transport!G18</f>
        <v>17265.760915682309</v>
      </c>
      <c r="I50" s="677">
        <f>transport!H18</f>
        <v>5156.615531611792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22501.557099179474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7.6420197612140823</v>
      </c>
      <c r="D52" s="706">
        <f t="shared" ref="D52:Q52" ca="1" si="6">SUM(D48:D51)</f>
        <v>0</v>
      </c>
      <c r="E52" s="706">
        <f t="shared" si="6"/>
        <v>25.013164904119922</v>
      </c>
      <c r="F52" s="706">
        <f t="shared" si="6"/>
        <v>46.525467220039687</v>
      </c>
      <c r="G52" s="706">
        <f t="shared" si="6"/>
        <v>0</v>
      </c>
      <c r="H52" s="706">
        <f t="shared" si="6"/>
        <v>17717.41646168899</v>
      </c>
      <c r="I52" s="706">
        <f t="shared" si="6"/>
        <v>5156.615531611792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22953.212645186155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17.418706910954057</v>
      </c>
      <c r="D54" s="677">
        <f ca="1">+landbouw!C12</f>
        <v>0</v>
      </c>
      <c r="E54" s="677">
        <f>+landbouw!D12</f>
        <v>33.327874290678977</v>
      </c>
      <c r="F54" s="677">
        <f>+landbouw!E12</f>
        <v>0.5388591389783487</v>
      </c>
      <c r="G54" s="677">
        <f>+landbouw!F12</f>
        <v>89.831690308193799</v>
      </c>
      <c r="H54" s="677">
        <f>+landbouw!G12</f>
        <v>0</v>
      </c>
      <c r="I54" s="677">
        <f>+landbouw!H12</f>
        <v>0</v>
      </c>
      <c r="J54" s="677">
        <f>+landbouw!I12</f>
        <v>0</v>
      </c>
      <c r="K54" s="677">
        <f>+landbouw!J12</f>
        <v>4.1420177435965027</v>
      </c>
      <c r="L54" s="677">
        <f>+landbouw!K12</f>
        <v>0</v>
      </c>
      <c r="M54" s="677">
        <f>+landbouw!L12</f>
        <v>0</v>
      </c>
      <c r="N54" s="677">
        <f>+landbouw!M12</f>
        <v>0</v>
      </c>
      <c r="O54" s="677">
        <f>+landbouw!N12</f>
        <v>0</v>
      </c>
      <c r="P54" s="677">
        <f>+landbouw!O12</f>
        <v>0</v>
      </c>
      <c r="Q54" s="678">
        <f>+landbouw!P12</f>
        <v>0</v>
      </c>
      <c r="R54" s="705">
        <f ca="1">SUM(C54:Q54)</f>
        <v>145.2591483924017</v>
      </c>
    </row>
    <row r="55" spans="1:18" ht="15" thickBot="1">
      <c r="A55" s="799" t="s">
        <v>823</v>
      </c>
      <c r="B55" s="809"/>
      <c r="C55" s="677">
        <f ca="1">C25*'EF ele_warmte'!B12</f>
        <v>426.25044737311816</v>
      </c>
      <c r="D55" s="677"/>
      <c r="E55" s="677">
        <f>E25*EF_CO2_aardgas</f>
        <v>1762.1706102480764</v>
      </c>
      <c r="F55" s="677"/>
      <c r="G55" s="677"/>
      <c r="H55" s="677"/>
      <c r="I55" s="677"/>
      <c r="J55" s="677"/>
      <c r="K55" s="677"/>
      <c r="L55" s="677"/>
      <c r="M55" s="677"/>
      <c r="N55" s="677"/>
      <c r="O55" s="677"/>
      <c r="P55" s="677"/>
      <c r="Q55" s="678"/>
      <c r="R55" s="705">
        <f ca="1">SUM(C55:Q55)</f>
        <v>2188.4210576211944</v>
      </c>
    </row>
    <row r="56" spans="1:18" ht="15.75" thickBot="1">
      <c r="A56" s="797" t="s">
        <v>824</v>
      </c>
      <c r="B56" s="810"/>
      <c r="C56" s="706">
        <f ca="1">SUM(C54:C55)</f>
        <v>443.66915428407219</v>
      </c>
      <c r="D56" s="706">
        <f t="shared" ref="D56:Q56" ca="1" si="7">SUM(D54:D55)</f>
        <v>0</v>
      </c>
      <c r="E56" s="706">
        <f t="shared" si="7"/>
        <v>1795.4984845387553</v>
      </c>
      <c r="F56" s="706">
        <f t="shared" si="7"/>
        <v>0.5388591389783487</v>
      </c>
      <c r="G56" s="706">
        <f t="shared" si="7"/>
        <v>89.831690308193799</v>
      </c>
      <c r="H56" s="706">
        <f t="shared" si="7"/>
        <v>0</v>
      </c>
      <c r="I56" s="706">
        <f t="shared" si="7"/>
        <v>0</v>
      </c>
      <c r="J56" s="706">
        <f t="shared" si="7"/>
        <v>0</v>
      </c>
      <c r="K56" s="706">
        <f t="shared" si="7"/>
        <v>4.1420177435965027</v>
      </c>
      <c r="L56" s="706">
        <f t="shared" si="7"/>
        <v>0</v>
      </c>
      <c r="M56" s="706">
        <f t="shared" si="7"/>
        <v>0</v>
      </c>
      <c r="N56" s="706">
        <f t="shared" si="7"/>
        <v>0</v>
      </c>
      <c r="O56" s="706">
        <f t="shared" si="7"/>
        <v>0</v>
      </c>
      <c r="P56" s="706">
        <f t="shared" si="7"/>
        <v>0</v>
      </c>
      <c r="Q56" s="707">
        <f t="shared" si="7"/>
        <v>0</v>
      </c>
      <c r="R56" s="708">
        <f ca="1">SUM(R54:R55)</f>
        <v>2333.680206013596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11825.789449641135</v>
      </c>
      <c r="D61" s="714">
        <f t="shared" ref="D61:Q61" ca="1" si="8">D46+D52+D56</f>
        <v>0</v>
      </c>
      <c r="E61" s="714">
        <f t="shared" ca="1" si="8"/>
        <v>35836.294965779816</v>
      </c>
      <c r="F61" s="714">
        <f t="shared" si="8"/>
        <v>731.1876100518524</v>
      </c>
      <c r="G61" s="714">
        <f t="shared" ca="1" si="8"/>
        <v>3381.8179552394267</v>
      </c>
      <c r="H61" s="714">
        <f t="shared" si="8"/>
        <v>17717.41646168899</v>
      </c>
      <c r="I61" s="714">
        <f t="shared" si="8"/>
        <v>5156.615531611792</v>
      </c>
      <c r="J61" s="714">
        <f t="shared" si="8"/>
        <v>0</v>
      </c>
      <c r="K61" s="714">
        <f t="shared" si="8"/>
        <v>4.299942741134184</v>
      </c>
      <c r="L61" s="714">
        <f t="shared" si="8"/>
        <v>0</v>
      </c>
      <c r="M61" s="714">
        <f t="shared" ca="1" si="8"/>
        <v>0</v>
      </c>
      <c r="N61" s="714">
        <f t="shared" si="8"/>
        <v>0</v>
      </c>
      <c r="O61" s="714">
        <f t="shared" ca="1" si="8"/>
        <v>0</v>
      </c>
      <c r="P61" s="714">
        <f t="shared" si="8"/>
        <v>0</v>
      </c>
      <c r="Q61" s="714">
        <f t="shared" si="8"/>
        <v>0</v>
      </c>
      <c r="R61" s="714">
        <f ca="1">R46+R52+R56</f>
        <v>74653.421916754145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0.21568067489744144</v>
      </c>
      <c r="D63" s="755">
        <f t="shared" ca="1" si="9"/>
        <v>0</v>
      </c>
      <c r="E63" s="990">
        <f t="shared" ca="1" si="9"/>
        <v>0.20199999999999996</v>
      </c>
      <c r="F63" s="755">
        <f t="shared" si="9"/>
        <v>0.22700000000000004</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1319.7241647821704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1319.7241647821704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1319.7241647821704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1319.7241647821704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33246.964723496065</v>
      </c>
      <c r="C4" s="451">
        <f>huishoudens!C8</f>
        <v>0</v>
      </c>
      <c r="D4" s="451">
        <f>huishoudens!D8</f>
        <v>132234.04090894302</v>
      </c>
      <c r="E4" s="451">
        <f>huishoudens!E8</f>
        <v>2362.7260807077087</v>
      </c>
      <c r="F4" s="451">
        <f>huishoudens!F8</f>
        <v>8235.3430496830752</v>
      </c>
      <c r="G4" s="451">
        <f>huishoudens!G8</f>
        <v>0</v>
      </c>
      <c r="H4" s="451">
        <f>huishoudens!H8</f>
        <v>0</v>
      </c>
      <c r="I4" s="451">
        <f>huishoudens!I8</f>
        <v>0</v>
      </c>
      <c r="J4" s="451">
        <f>huishoudens!J8</f>
        <v>0</v>
      </c>
      <c r="K4" s="451">
        <f>huishoudens!K8</f>
        <v>0</v>
      </c>
      <c r="L4" s="451">
        <f>huishoudens!L8</f>
        <v>0</v>
      </c>
      <c r="M4" s="451">
        <f>huishoudens!M8</f>
        <v>0</v>
      </c>
      <c r="N4" s="451">
        <f>huishoudens!N8</f>
        <v>7598.4734127540314</v>
      </c>
      <c r="O4" s="451">
        <f>huishoudens!O8</f>
        <v>89.11</v>
      </c>
      <c r="P4" s="452">
        <f>huishoudens!P8</f>
        <v>209.73333333333335</v>
      </c>
      <c r="Q4" s="453">
        <f>SUM(B4:P4)</f>
        <v>183976.39150891724</v>
      </c>
    </row>
    <row r="5" spans="1:17">
      <c r="A5" s="450" t="s">
        <v>155</v>
      </c>
      <c r="B5" s="451">
        <f ca="1">tertiair!B16</f>
        <v>16527.620884669115</v>
      </c>
      <c r="C5" s="451">
        <f ca="1">tertiair!C16</f>
        <v>0</v>
      </c>
      <c r="D5" s="451">
        <f ca="1">tertiair!D16</f>
        <v>33474.81711535799</v>
      </c>
      <c r="E5" s="451">
        <f>tertiair!E16</f>
        <v>192.54721321937458</v>
      </c>
      <c r="F5" s="451">
        <f ca="1">tertiair!F16</f>
        <v>2821.9785116163598</v>
      </c>
      <c r="G5" s="451">
        <f>tertiair!G16</f>
        <v>0</v>
      </c>
      <c r="H5" s="451">
        <f>tertiair!H16</f>
        <v>0</v>
      </c>
      <c r="I5" s="451">
        <f>tertiair!I16</f>
        <v>0</v>
      </c>
      <c r="J5" s="451">
        <f>tertiair!J16</f>
        <v>2.5179586245570838E-2</v>
      </c>
      <c r="K5" s="451">
        <f>tertiair!K16</f>
        <v>0</v>
      </c>
      <c r="L5" s="451">
        <f ca="1">tertiair!L16</f>
        <v>0</v>
      </c>
      <c r="M5" s="451">
        <f>tertiair!M16</f>
        <v>0</v>
      </c>
      <c r="N5" s="451">
        <f ca="1">tertiair!N16</f>
        <v>1010.4302984316793</v>
      </c>
      <c r="O5" s="451">
        <f>tertiair!O16</f>
        <v>1.5633333333333335</v>
      </c>
      <c r="P5" s="452">
        <f>tertiair!P16</f>
        <v>0</v>
      </c>
      <c r="Q5" s="450">
        <f t="shared" ref="Q5:Q14" ca="1" si="0">SUM(B5:P5)</f>
        <v>54028.982536214098</v>
      </c>
    </row>
    <row r="6" spans="1:17">
      <c r="A6" s="450" t="s">
        <v>193</v>
      </c>
      <c r="B6" s="451">
        <f>'openbare verlichting'!B8</f>
        <v>1170.348</v>
      </c>
      <c r="C6" s="451"/>
      <c r="D6" s="451"/>
      <c r="E6" s="451"/>
      <c r="F6" s="451"/>
      <c r="G6" s="451"/>
      <c r="H6" s="451"/>
      <c r="I6" s="451"/>
      <c r="J6" s="451"/>
      <c r="K6" s="451"/>
      <c r="L6" s="451"/>
      <c r="M6" s="451"/>
      <c r="N6" s="451"/>
      <c r="O6" s="451"/>
      <c r="P6" s="452"/>
      <c r="Q6" s="450">
        <f t="shared" si="0"/>
        <v>1170.348</v>
      </c>
    </row>
    <row r="7" spans="1:17">
      <c r="A7" s="450" t="s">
        <v>111</v>
      </c>
      <c r="B7" s="451">
        <f>landbouw!B8</f>
        <v>80.7615560329494</v>
      </c>
      <c r="C7" s="451">
        <f>landbouw!C8</f>
        <v>0</v>
      </c>
      <c r="D7" s="451">
        <f>landbouw!D8</f>
        <v>164.98947668652957</v>
      </c>
      <c r="E7" s="451">
        <f>landbouw!E8</f>
        <v>2.3738288060720207</v>
      </c>
      <c r="F7" s="451">
        <f>landbouw!F8</f>
        <v>336.44827830784192</v>
      </c>
      <c r="G7" s="451">
        <f>landbouw!G8</f>
        <v>0</v>
      </c>
      <c r="H7" s="451">
        <f>landbouw!H8</f>
        <v>0</v>
      </c>
      <c r="I7" s="451">
        <f>landbouw!I8</f>
        <v>0</v>
      </c>
      <c r="J7" s="451">
        <f>landbouw!J8</f>
        <v>11.700615094905375</v>
      </c>
      <c r="K7" s="451">
        <f>landbouw!K8</f>
        <v>0</v>
      </c>
      <c r="L7" s="451">
        <f>landbouw!L8</f>
        <v>0</v>
      </c>
      <c r="M7" s="451">
        <f>landbouw!M8</f>
        <v>0</v>
      </c>
      <c r="N7" s="451">
        <f>landbouw!N8</f>
        <v>0</v>
      </c>
      <c r="O7" s="451">
        <f>landbouw!O8</f>
        <v>0</v>
      </c>
      <c r="P7" s="452">
        <f>landbouw!P8</f>
        <v>0</v>
      </c>
      <c r="Q7" s="450">
        <f t="shared" si="0"/>
        <v>596.27375492829833</v>
      </c>
    </row>
    <row r="8" spans="1:17">
      <c r="A8" s="450" t="s">
        <v>634</v>
      </c>
      <c r="B8" s="451">
        <f>industrie!B18</f>
        <v>1792.6530161558924</v>
      </c>
      <c r="C8" s="451">
        <f>industrie!C18</f>
        <v>0</v>
      </c>
      <c r="D8" s="451">
        <f>industrie!D18</f>
        <v>2686.1088882581262</v>
      </c>
      <c r="E8" s="451">
        <f>industrie!E18</f>
        <v>458.48566507218686</v>
      </c>
      <c r="F8" s="451">
        <f>industrie!F18</f>
        <v>1272.2150114767194</v>
      </c>
      <c r="G8" s="451">
        <f>industrie!G18</f>
        <v>0</v>
      </c>
      <c r="H8" s="451">
        <f>industrie!H18</f>
        <v>0</v>
      </c>
      <c r="I8" s="451">
        <f>industrie!I18</f>
        <v>0</v>
      </c>
      <c r="J8" s="451">
        <f>industrie!J18</f>
        <v>0.42093622600776509</v>
      </c>
      <c r="K8" s="451">
        <f>industrie!K18</f>
        <v>0</v>
      </c>
      <c r="L8" s="451">
        <f>industrie!L18</f>
        <v>0</v>
      </c>
      <c r="M8" s="451">
        <f>industrie!M18</f>
        <v>0</v>
      </c>
      <c r="N8" s="451">
        <f>industrie!N18</f>
        <v>152.64731621296909</v>
      </c>
      <c r="O8" s="451">
        <f>industrie!O18</f>
        <v>0</v>
      </c>
      <c r="P8" s="452">
        <f>industrie!P18</f>
        <v>0</v>
      </c>
      <c r="Q8" s="450">
        <f t="shared" si="0"/>
        <v>6362.530833401901</v>
      </c>
    </row>
    <row r="9" spans="1:17" s="456" customFormat="1">
      <c r="A9" s="454" t="s">
        <v>560</v>
      </c>
      <c r="B9" s="455">
        <f>transport!B14</f>
        <v>35.43210241180833</v>
      </c>
      <c r="C9" s="455">
        <f>transport!C14</f>
        <v>0</v>
      </c>
      <c r="D9" s="455">
        <f>transport!D14</f>
        <v>123.82754903029664</v>
      </c>
      <c r="E9" s="455">
        <f>transport!E14</f>
        <v>204.95800537462418</v>
      </c>
      <c r="F9" s="455">
        <f>transport!F14</f>
        <v>0</v>
      </c>
      <c r="G9" s="455">
        <f>transport!G14</f>
        <v>64665.771219783928</v>
      </c>
      <c r="H9" s="455">
        <f>transport!H14</f>
        <v>20709.299323742136</v>
      </c>
      <c r="I9" s="455">
        <f>transport!I14</f>
        <v>0</v>
      </c>
      <c r="J9" s="455">
        <f>transport!J14</f>
        <v>0</v>
      </c>
      <c r="K9" s="455">
        <f>transport!K14</f>
        <v>0</v>
      </c>
      <c r="L9" s="455">
        <f>transport!L14</f>
        <v>0</v>
      </c>
      <c r="M9" s="455">
        <f>transport!M14</f>
        <v>4387.8258591816366</v>
      </c>
      <c r="N9" s="455">
        <f>transport!N14</f>
        <v>0</v>
      </c>
      <c r="O9" s="455">
        <f>transport!O14</f>
        <v>0</v>
      </c>
      <c r="P9" s="455">
        <f>transport!P14</f>
        <v>0</v>
      </c>
      <c r="Q9" s="454">
        <f>SUM(B9:P9)</f>
        <v>90127.114059524436</v>
      </c>
    </row>
    <row r="10" spans="1:17">
      <c r="A10" s="450" t="s">
        <v>550</v>
      </c>
      <c r="B10" s="451">
        <f>transport!B54</f>
        <v>0</v>
      </c>
      <c r="C10" s="451">
        <f>transport!C54</f>
        <v>0</v>
      </c>
      <c r="D10" s="451">
        <f>transport!D54</f>
        <v>0</v>
      </c>
      <c r="E10" s="451">
        <f>transport!E54</f>
        <v>0</v>
      </c>
      <c r="F10" s="451">
        <f>transport!F54</f>
        <v>0</v>
      </c>
      <c r="G10" s="451">
        <f>transport!G54</f>
        <v>1691.5938052684701</v>
      </c>
      <c r="H10" s="451">
        <f>transport!H54</f>
        <v>0</v>
      </c>
      <c r="I10" s="451">
        <f>transport!I54</f>
        <v>0</v>
      </c>
      <c r="J10" s="451">
        <f>transport!J54</f>
        <v>0</v>
      </c>
      <c r="K10" s="451">
        <f>transport!K54</f>
        <v>0</v>
      </c>
      <c r="L10" s="451">
        <f>transport!L54</f>
        <v>0</v>
      </c>
      <c r="M10" s="451">
        <f>transport!M54</f>
        <v>96.067803041224536</v>
      </c>
      <c r="N10" s="451">
        <f>transport!N54</f>
        <v>0</v>
      </c>
      <c r="O10" s="451">
        <f>transport!O54</f>
        <v>0</v>
      </c>
      <c r="P10" s="452">
        <f>transport!P54</f>
        <v>0</v>
      </c>
      <c r="Q10" s="450">
        <f t="shared" si="0"/>
        <v>1787.6616083096947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1976.3033826549599</v>
      </c>
      <c r="C14" s="458"/>
      <c r="D14" s="458">
        <f>'SEAP template'!E25</f>
        <v>8723.6168824162196</v>
      </c>
      <c r="E14" s="458"/>
      <c r="F14" s="458"/>
      <c r="G14" s="458"/>
      <c r="H14" s="458"/>
      <c r="I14" s="458"/>
      <c r="J14" s="458"/>
      <c r="K14" s="458"/>
      <c r="L14" s="458"/>
      <c r="M14" s="458"/>
      <c r="N14" s="458"/>
      <c r="O14" s="458"/>
      <c r="P14" s="459"/>
      <c r="Q14" s="450">
        <f t="shared" si="0"/>
        <v>10699.92026507118</v>
      </c>
    </row>
    <row r="15" spans="1:17" s="460" customFormat="1">
      <c r="A15" s="1005" t="s">
        <v>554</v>
      </c>
      <c r="B15" s="953">
        <f ca="1">SUM(B4:B14)</f>
        <v>54830.083665420789</v>
      </c>
      <c r="C15" s="953">
        <f t="shared" ref="C15:Q15" ca="1" si="1">SUM(C4:C14)</f>
        <v>0</v>
      </c>
      <c r="D15" s="953">
        <f t="shared" ca="1" si="1"/>
        <v>177407.40082069219</v>
      </c>
      <c r="E15" s="953">
        <f t="shared" si="1"/>
        <v>3221.0907931799661</v>
      </c>
      <c r="F15" s="953">
        <f t="shared" ca="1" si="1"/>
        <v>12665.984851083997</v>
      </c>
      <c r="G15" s="953">
        <f t="shared" si="1"/>
        <v>66357.365025052393</v>
      </c>
      <c r="H15" s="953">
        <f t="shared" si="1"/>
        <v>20709.299323742136</v>
      </c>
      <c r="I15" s="953">
        <f t="shared" si="1"/>
        <v>0</v>
      </c>
      <c r="J15" s="953">
        <f t="shared" si="1"/>
        <v>12.146730907158711</v>
      </c>
      <c r="K15" s="953">
        <f t="shared" si="1"/>
        <v>0</v>
      </c>
      <c r="L15" s="953">
        <f t="shared" ca="1" si="1"/>
        <v>0</v>
      </c>
      <c r="M15" s="953">
        <f t="shared" si="1"/>
        <v>4483.8936622228612</v>
      </c>
      <c r="N15" s="953">
        <f t="shared" ca="1" si="1"/>
        <v>8761.5510273986802</v>
      </c>
      <c r="O15" s="953">
        <f t="shared" si="1"/>
        <v>90.673333333333332</v>
      </c>
      <c r="P15" s="953">
        <f t="shared" si="1"/>
        <v>209.73333333333335</v>
      </c>
      <c r="Q15" s="953">
        <f t="shared" ca="1" si="1"/>
        <v>348749.22256636684</v>
      </c>
    </row>
    <row r="17" spans="1:17">
      <c r="A17" s="461" t="s">
        <v>555</v>
      </c>
      <c r="B17" s="760">
        <f ca="1">huishoudens!B10</f>
        <v>0.21568067489744142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7170.7277898550583</v>
      </c>
      <c r="C22" s="451">
        <f t="shared" ref="C22:C32" ca="1" si="3">C4*$C$17</f>
        <v>0</v>
      </c>
      <c r="D22" s="451">
        <f t="shared" ref="D22:D32" si="4">D4*$D$17</f>
        <v>26711.276263606491</v>
      </c>
      <c r="E22" s="451">
        <f t="shared" ref="E22:E32" si="5">E4*$E$17</f>
        <v>536.33882032064992</v>
      </c>
      <c r="F22" s="451">
        <f t="shared" ref="F22:F32" si="6">F4*$F$17</f>
        <v>2198.8365942653813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36617.17946804758</v>
      </c>
    </row>
    <row r="23" spans="1:17">
      <c r="A23" s="450" t="s">
        <v>155</v>
      </c>
      <c r="B23" s="451">
        <f t="shared" ca="1" si="2"/>
        <v>3564.6884268544827</v>
      </c>
      <c r="C23" s="451">
        <f t="shared" ca="1" si="3"/>
        <v>0</v>
      </c>
      <c r="D23" s="451">
        <f t="shared" ca="1" si="4"/>
        <v>6761.913057302314</v>
      </c>
      <c r="E23" s="451">
        <f t="shared" si="5"/>
        <v>43.708217400798034</v>
      </c>
      <c r="F23" s="451">
        <f t="shared" ca="1" si="6"/>
        <v>753.46826260156809</v>
      </c>
      <c r="G23" s="451">
        <f t="shared" si="7"/>
        <v>0</v>
      </c>
      <c r="H23" s="451">
        <f t="shared" si="8"/>
        <v>0</v>
      </c>
      <c r="I23" s="451">
        <f t="shared" si="9"/>
        <v>0</v>
      </c>
      <c r="J23" s="451">
        <f t="shared" si="10"/>
        <v>8.9135735309320771E-3</v>
      </c>
      <c r="K23" s="451">
        <f t="shared" si="11"/>
        <v>0</v>
      </c>
      <c r="L23" s="451">
        <f t="shared" ca="1" si="12"/>
        <v>0</v>
      </c>
      <c r="M23" s="451">
        <f t="shared" si="13"/>
        <v>0</v>
      </c>
      <c r="N23" s="451">
        <f t="shared" ca="1" si="14"/>
        <v>0</v>
      </c>
      <c r="O23" s="451">
        <f t="shared" si="15"/>
        <v>0</v>
      </c>
      <c r="P23" s="452">
        <f t="shared" si="16"/>
        <v>0</v>
      </c>
      <c r="Q23" s="450">
        <f t="shared" ref="Q23:Q32" ca="1" si="17">SUM(B23:P23)</f>
        <v>11123.786877732691</v>
      </c>
    </row>
    <row r="24" spans="1:17">
      <c r="A24" s="450" t="s">
        <v>193</v>
      </c>
      <c r="B24" s="451">
        <f t="shared" ca="1" si="2"/>
        <v>252.42144650487074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252.42144650487074</v>
      </c>
    </row>
    <row r="25" spans="1:17">
      <c r="A25" s="450" t="s">
        <v>111</v>
      </c>
      <c r="B25" s="451">
        <f t="shared" ca="1" si="2"/>
        <v>17.418706910954057</v>
      </c>
      <c r="C25" s="451">
        <f t="shared" ca="1" si="3"/>
        <v>0</v>
      </c>
      <c r="D25" s="451">
        <f t="shared" si="4"/>
        <v>33.327874290678977</v>
      </c>
      <c r="E25" s="451">
        <f t="shared" si="5"/>
        <v>0.5388591389783487</v>
      </c>
      <c r="F25" s="451">
        <f t="shared" si="6"/>
        <v>89.831690308193799</v>
      </c>
      <c r="G25" s="451">
        <f t="shared" si="7"/>
        <v>0</v>
      </c>
      <c r="H25" s="451">
        <f t="shared" si="8"/>
        <v>0</v>
      </c>
      <c r="I25" s="451">
        <f t="shared" si="9"/>
        <v>0</v>
      </c>
      <c r="J25" s="451">
        <f t="shared" si="10"/>
        <v>4.1420177435965027</v>
      </c>
      <c r="K25" s="451">
        <f t="shared" si="11"/>
        <v>0</v>
      </c>
      <c r="L25" s="451">
        <f t="shared" si="12"/>
        <v>0</v>
      </c>
      <c r="M25" s="451">
        <f t="shared" si="13"/>
        <v>0</v>
      </c>
      <c r="N25" s="451">
        <f t="shared" si="14"/>
        <v>0</v>
      </c>
      <c r="O25" s="451">
        <f t="shared" si="15"/>
        <v>0</v>
      </c>
      <c r="P25" s="452">
        <f t="shared" si="16"/>
        <v>0</v>
      </c>
      <c r="Q25" s="450">
        <f t="shared" ca="1" si="17"/>
        <v>145.2591483924017</v>
      </c>
    </row>
    <row r="26" spans="1:17">
      <c r="A26" s="450" t="s">
        <v>634</v>
      </c>
      <c r="B26" s="451">
        <f t="shared" ca="1" si="2"/>
        <v>386.64061238143682</v>
      </c>
      <c r="C26" s="451">
        <f t="shared" ca="1" si="3"/>
        <v>0</v>
      </c>
      <c r="D26" s="451">
        <f t="shared" si="4"/>
        <v>542.59399542814151</v>
      </c>
      <c r="E26" s="451">
        <f t="shared" si="5"/>
        <v>104.07624597138643</v>
      </c>
      <c r="F26" s="451">
        <f t="shared" si="6"/>
        <v>339.68140806428408</v>
      </c>
      <c r="G26" s="451">
        <f t="shared" si="7"/>
        <v>0</v>
      </c>
      <c r="H26" s="451">
        <f t="shared" si="8"/>
        <v>0</v>
      </c>
      <c r="I26" s="451">
        <f t="shared" si="9"/>
        <v>0</v>
      </c>
      <c r="J26" s="451">
        <f t="shared" si="10"/>
        <v>0.14901142400674883</v>
      </c>
      <c r="K26" s="451">
        <f t="shared" si="11"/>
        <v>0</v>
      </c>
      <c r="L26" s="451">
        <f t="shared" si="12"/>
        <v>0</v>
      </c>
      <c r="M26" s="451">
        <f t="shared" si="13"/>
        <v>0</v>
      </c>
      <c r="N26" s="451">
        <f t="shared" si="14"/>
        <v>0</v>
      </c>
      <c r="O26" s="451">
        <f t="shared" si="15"/>
        <v>0</v>
      </c>
      <c r="P26" s="452">
        <f t="shared" si="16"/>
        <v>0</v>
      </c>
      <c r="Q26" s="450">
        <f t="shared" ca="1" si="17"/>
        <v>1373.1412732692559</v>
      </c>
    </row>
    <row r="27" spans="1:17" s="456" customFormat="1">
      <c r="A27" s="454" t="s">
        <v>560</v>
      </c>
      <c r="B27" s="754">
        <f t="shared" ca="1" si="2"/>
        <v>7.6420197612140823</v>
      </c>
      <c r="C27" s="455">
        <f t="shared" ca="1" si="3"/>
        <v>0</v>
      </c>
      <c r="D27" s="455">
        <f t="shared" si="4"/>
        <v>25.013164904119922</v>
      </c>
      <c r="E27" s="455">
        <f t="shared" si="5"/>
        <v>46.525467220039687</v>
      </c>
      <c r="F27" s="455">
        <f t="shared" si="6"/>
        <v>0</v>
      </c>
      <c r="G27" s="455">
        <f t="shared" si="7"/>
        <v>17265.760915682309</v>
      </c>
      <c r="H27" s="455">
        <f t="shared" si="8"/>
        <v>5156.615531611792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22501.557099179474</v>
      </c>
    </row>
    <row r="28" spans="1:17">
      <c r="A28" s="450" t="s">
        <v>550</v>
      </c>
      <c r="B28" s="451">
        <f t="shared" ca="1" si="2"/>
        <v>0</v>
      </c>
      <c r="C28" s="451">
        <f t="shared" ca="1" si="3"/>
        <v>0</v>
      </c>
      <c r="D28" s="451">
        <f t="shared" si="4"/>
        <v>0</v>
      </c>
      <c r="E28" s="451">
        <f t="shared" si="5"/>
        <v>0</v>
      </c>
      <c r="F28" s="451">
        <f t="shared" si="6"/>
        <v>0</v>
      </c>
      <c r="G28" s="451">
        <f t="shared" si="7"/>
        <v>451.65554600668156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451.65554600668156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426.25044737311816</v>
      </c>
      <c r="C32" s="451">
        <f t="shared" ca="1" si="3"/>
        <v>0</v>
      </c>
      <c r="D32" s="451">
        <f t="shared" si="4"/>
        <v>1762.1706102480764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2188.4210576211944</v>
      </c>
    </row>
    <row r="33" spans="1:17" s="460" customFormat="1">
      <c r="A33" s="1005" t="s">
        <v>554</v>
      </c>
      <c r="B33" s="953">
        <f ca="1">SUM(B22:B32)</f>
        <v>11825.789449641135</v>
      </c>
      <c r="C33" s="953">
        <f t="shared" ref="C33:Q33" ca="1" si="18">SUM(C22:C32)</f>
        <v>0</v>
      </c>
      <c r="D33" s="953">
        <f t="shared" ca="1" si="18"/>
        <v>35836.294965779816</v>
      </c>
      <c r="E33" s="953">
        <f t="shared" si="18"/>
        <v>731.1876100518524</v>
      </c>
      <c r="F33" s="953">
        <f t="shared" ca="1" si="18"/>
        <v>3381.8179552394267</v>
      </c>
      <c r="G33" s="953">
        <f t="shared" si="18"/>
        <v>17717.41646168899</v>
      </c>
      <c r="H33" s="953">
        <f t="shared" si="18"/>
        <v>5156.615531611792</v>
      </c>
      <c r="I33" s="953">
        <f t="shared" si="18"/>
        <v>0</v>
      </c>
      <c r="J33" s="953">
        <f t="shared" si="18"/>
        <v>4.2999427411341831</v>
      </c>
      <c r="K33" s="953">
        <f t="shared" si="18"/>
        <v>0</v>
      </c>
      <c r="L33" s="953">
        <f t="shared" ca="1" si="18"/>
        <v>0</v>
      </c>
      <c r="M33" s="953">
        <f t="shared" si="18"/>
        <v>0</v>
      </c>
      <c r="N33" s="953">
        <f t="shared" ca="1" si="18"/>
        <v>0</v>
      </c>
      <c r="O33" s="953">
        <f t="shared" si="18"/>
        <v>0</v>
      </c>
      <c r="P33" s="953">
        <f t="shared" si="18"/>
        <v>0</v>
      </c>
      <c r="Q33" s="953">
        <f t="shared" ca="1" si="18"/>
        <v>74653.42191675416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1319.7241647821704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1319.7241647821704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0.21568067489744142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0.21568067489744142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2020-06-20T15:42:05Z</dcterms:modified>
</cp:coreProperties>
</file>