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F49" i="18"/>
  <c r="M77" i="14"/>
  <c r="M9" i="61" s="1"/>
  <c r="E49" i="18"/>
  <c r="E17" i="18" s="1"/>
  <c r="E20" i="18" s="1"/>
  <c r="H78" i="14"/>
  <c r="H9" i="61"/>
  <c r="H10" i="61" s="1"/>
  <c r="O90" i="14"/>
  <c r="O18" i="61"/>
  <c r="O20" i="61" s="1"/>
  <c r="B88" i="14"/>
  <c r="B18" i="61" s="1"/>
  <c r="Q77" i="14"/>
  <c r="P9" i="61" s="1"/>
  <c r="J17" i="18"/>
  <c r="H20" i="18"/>
  <c r="M87" i="14"/>
  <c r="J8" i="18"/>
  <c r="O8" i="18" s="1"/>
  <c r="O10" i="18" s="1"/>
  <c r="M76" i="14"/>
  <c r="H10" i="18"/>
  <c r="C77" i="14"/>
  <c r="C9" i="61" s="1"/>
  <c r="C20" i="18"/>
  <c r="D87" i="14"/>
  <c r="D17" i="61" s="1"/>
  <c r="D20" i="61" s="1"/>
  <c r="D76" i="14"/>
  <c r="D8" i="61" s="1"/>
  <c r="D10" i="61" s="1"/>
  <c r="C10" i="18"/>
  <c r="C88" i="14"/>
  <c r="C18" i="61" s="1"/>
  <c r="F76" i="14"/>
  <c r="E10" i="18"/>
  <c r="I17" i="18"/>
  <c r="I10" i="18"/>
  <c r="I76" i="14"/>
  <c r="I8" i="61" s="1"/>
  <c r="I10" i="61" s="1"/>
  <c r="Q88" i="14"/>
  <c r="P18" i="61" s="1"/>
  <c r="I33" i="48"/>
  <c r="F87" i="14" l="1"/>
  <c r="B77" i="14"/>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N52" i="14"/>
  <c r="N61" i="14" s="1"/>
  <c r="N63"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K16" i="14" l="1"/>
  <c r="K27" i="14" s="1"/>
  <c r="E8" i="48"/>
  <c r="E26" i="48" s="1"/>
  <c r="F13" i="14"/>
  <c r="F16" i="14" s="1"/>
  <c r="F27" i="14" s="1"/>
  <c r="E33" i="48"/>
  <c r="K13" i="14"/>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<sst xmlns="http://schemas.openxmlformats.org/spreadsheetml/2006/main" count="2398" uniqueCount="887">
  <si>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</si>
  <si>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</si>
  <si>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</si>
  <si>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</si>
  <si>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</si>
  <si>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</si>
  <si>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</si>
  <si>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</si>
  <si>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</si>
  <si>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</si>
  <si>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</si>
  <si>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</si>
  <si>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</si>
  <si>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</si>
  <si>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</si>
  <si>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</si>
  <si>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</si>
  <si>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</si>
  <si>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</si>
  <si>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</si>
  <si>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</si>
  <si>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</si>
  <si>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</si>
  <si>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</si>
  <si>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</si>
  <si>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</si>
  <si>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</si>
  <si>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</si>
  <si>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</si>
  <si>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</si>
  <si>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</si>
  <si>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</si>
  <si>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</si>
  <si>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</si>
  <si>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</si>
  <si>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</si>
  <si>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</si>
  <si>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</si>
  <si>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</si>
  <si>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</si>
  <si>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</si>
  <si>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</si>
  <si>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</si>
  <si>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</si>
  <si>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</si>
  <si>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</si>
  <si>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</si>
  <si>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</si>
  <si>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</si>
  <si>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</si>
  <si>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</si>
  <si>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</si>
  <si>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</si>
  <si>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</si>
  <si>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</si>
  <si>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</si>
  <si>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</si>
  <si>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</si>
  <si>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</si>
  <si>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</si>
  <si>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</si>
  <si>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</si>
  <si>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</si>
  <si>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</si>
  <si>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</si>
  <si>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</si>
  <si>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</si>
  <si>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</si>
  <si>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</si>
  <si>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</si>
  <si>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</si>
  <si>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</si>
  <si>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</si>
  <si>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</si>
  <si>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</si>
  <si>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</si>
  <si>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</si>
  <si>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</si>
  <si>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</si>
  <si>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</si>
  <si>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</si>
  <si>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</si>
  <si>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</si>
  <si>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</si>
  <si>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</si>
  <si>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</si>
  <si>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</si>
  <si>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</si>
  <si>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</si>
  <si>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</si>
  <si>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</si>
  <si>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</si>
  <si>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</si>
  <si>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</si>
  <si>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</si>
  <si>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</si>
  <si>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</si>
  <si>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</si>
  <si>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</si>
  <si>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</si>
  <si>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</si>
  <si>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</si>
  <si>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</si>
  <si>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</si>
  <si>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</si>
  <si>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</si>
  <si>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</si>
  <si>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</si>
  <si>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</si>
  <si>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</si>
  <si>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</si>
  <si>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</si>
  <si>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</si>
  <si>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</si>
  <si>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</si>
  <si>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</si>
  <si>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</si>
  <si>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</si>
  <si>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</si>
  <si>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</si>
  <si>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</si>
  <si>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</si>
  <si>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</si>
  <si>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</si>
  <si>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</si>
  <si>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</si>
  <si>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</si>
  <si>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</si>
  <si>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</si>
  <si>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</si>
  <si>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</si>
  <si>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</si>
  <si>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</si>
  <si>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</si>
  <si>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</si>
  <si>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</si>
  <si>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</si>
  <si>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</si>
  <si>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</si>
  <si>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</si>
  <si>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</si>
  <si>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</si>
  <si>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</si>
  <si>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</si>
  <si>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</si>
  <si>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</si>
  <si>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</si>
  <si>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</si>
  <si>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</si>
  <si>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</si>
  <si>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</si>
  <si>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</si>
  <si>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</si>
  <si>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</si>
  <si>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</si>
  <si>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</si>
  <si>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</si>
  <si>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</si>
  <si>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</si>
  <si>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</si>
  <si>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</si>
  <si>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</si>
  <si>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</si>
  <si>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</si>
  <si>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</si>
  <si>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</si>
  <si>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</si>
  <si>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</si>
  <si>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</si>
  <si>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</si>
  <si>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</si>
  <si>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</si>
  <si>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</si>
  <si>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</si>
  <si>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</si>
  <si>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</si>
  <si>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</si>
  <si>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</si>
  <si>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</si>
  <si>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</si>
  <si>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</si>
  <si>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</si>
  <si>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</si>
  <si>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</si>
  <si>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</si>
  <si>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</si>
  <si>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</si>
  <si>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</si>
  <si>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</si>
  <si>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</si>
  <si>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</si>
  <si>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</si>
  <si>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</si>
  <si>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</si>
  <si>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</si>
  <si>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</si>
  <si>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</si>
  <si>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</si>
  <si>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</si>
  <si>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</si>
  <si>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</si>
  <si>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</si>
  <si>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</si>
  <si>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</si>
  <si>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</si>
  <si>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</si>
  <si>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</si>
  <si>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</si>
  <si>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</si>
  <si>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</si>
  <si>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</si>
  <si>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</si>
  <si>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</si>
  <si>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</si>
  <si>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</si>
  <si>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</si>
  <si>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</si>
  <si>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</si>
  <si>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</si>
  <si>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</si>
  <si>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</si>
  <si>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</si>
  <si>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</si>
  <si>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</si>
  <si>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</si>
  <si>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</si>
  <si>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</si>
  <si>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</si>
  <si>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</si>
  <si>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</si>
  <si>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</si>
  <si>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</si>
  <si>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</si>
  <si>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</si>
  <si>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</si>
  <si>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</si>
  <si>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</si>
  <si>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</si>
  <si>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</si>
  <si>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</si>
  <si>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</si>
  <si>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</si>
  <si>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</si>
  <si>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</si>
  <si>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</si>
  <si>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</si>
  <si>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</si>
  <si>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</si>
  <si>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</si>
  <si>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</si>
  <si>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</si>
  <si>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</si>
  <si>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</si>
  <si>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</si>
  <si>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</si>
  <si>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</si>
  <si>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</si>
  <si>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</si>
  <si>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</si>
  <si>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</si>
  <si>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</si>
  <si>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</si>
  <si>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</si>
  <si>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</si>
  <si>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</si>
  <si>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</si>
  <si>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</si>
  <si>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</si>
  <si>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</si>
  <si>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</si>
  <si>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</si>
  <si>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</si>
  <si>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</si>
  <si>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</si>
  <si>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</si>
  <si>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</si>
  <si>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</si>
  <si>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</si>
  <si>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</si>
  <si>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</si>
  <si>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</si>
  <si>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</si>
  <si>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</si>
  <si>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</si>
  <si>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</si>
  <si>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</si>
  <si>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</si>
  <si>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</si>
  <si>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</si>
  <si>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</si>
  <si>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</si>
  <si>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</si>
  <si>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</si>
  <si>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</si>
  <si>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</si>
  <si>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</si>
  <si>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</si>
  <si>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</si>
  <si>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</si>
  <si>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</si>
  <si>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</si>
  <si>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</si>
  <si>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</si>
  <si>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</si>
  <si>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</si>
  <si>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</si>
  <si>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</si>
  <si>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</si>
  <si>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</si>
  <si>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</si>
  <si>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</si>
  <si>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</si>
  <si>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</si>
  <si>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</si>
  <si>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</si>
  <si>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</si>
  <si>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</si>
  <si>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</si>
  <si>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</si>
  <si>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</si>
  <si>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</si>
  <si>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</si>
  <si>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</si>
  <si>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</si>
  <si>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</si>
  <si>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</si>
  <si>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</si>
  <si>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</si>
  <si>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</si>
  <si>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</si>
  <si>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</si>
  <si>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</si>
  <si>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</si>
  <si>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</si>
  <si>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</si>
  <si>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</si>
  <si>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</si>
  <si>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</si>
  <si>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</si>
  <si>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</si>
  <si>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</si>
  <si>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</si>
  <si>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</si>
  <si>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</si>
  <si>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</si>
  <si>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</si>
  <si>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</si>
  <si>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</si>
  <si>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</si>
  <si>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</si>
  <si>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</si>
  <si>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</si>
  <si>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</si>
  <si>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</si>
  <si>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</si>
  <si>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</si>
  <si>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</si>
  <si>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</si>
  <si>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</si>
  <si>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</si>
  <si>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</si>
  <si>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</si>
  <si>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</si>
  <si>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</si>
  <si>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</si>
  <si>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</si>
  <si>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</si>
  <si>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</si>
  <si>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</si>
  <si>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</si>
  <si>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</si>
  <si>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</si>
  <si>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</si>
  <si>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</si>
  <si>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</si>
  <si>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</si>
  <si>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</si>
  <si>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</si>
  <si>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</si>
  <si>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</si>
  <si>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</si>
  <si>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</si>
  <si>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</si>
  <si>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</si>
  <si>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</si>
  <si>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</si>
  <si>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</si>
  <si>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</si>
  <si>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</si>
  <si>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</si>
  <si>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</si>
  <si>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</si>
  <si>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</si>
  <si>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</si>
  <si>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</si>
  <si>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</si>
  <si>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</si>
  <si>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</si>
  <si>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</si>
  <si>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</si>
  <si>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</si>
  <si>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</si>
  <si>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</si>
  <si>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</si>
  <si>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</si>
  <si>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</si>
  <si>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</si>
  <si>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</si>
  <si>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</si>
  <si>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</si>
  <si>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</si>
  <si>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</si>
  <si>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</si>
  <si>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</si>
  <si>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</si>
  <si>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</si>
  <si>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</si>
  <si>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</si>
  <si>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</si>
  <si>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</si>
  <si>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</si>
  <si>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</si>
  <si>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</si>
  <si>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</si>
  <si>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</si>
  <si>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</si>
  <si>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</si>
  <si>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</si>
  <si>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</si>
  <si>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</si>
  <si>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</si>
  <si>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</si>
  <si>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</si>
  <si>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</si>
  <si>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</si>
  <si>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</si>
  <si>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</si>
  <si>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</si>
  <si>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</si>
  <si>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</si>
  <si>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</si>
  <si>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</si>
  <si>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</si>
  <si>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</si>
  <si>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</si>
  <si>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</si>
  <si>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</si>
  <si>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</si>
  <si>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</si>
  <si>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</si>
  <si>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</si>
  <si>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</si>
  <si>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</si>
  <si>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</si>
  <si>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</si>
  <si>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</si>
  <si>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</si>
  <si>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</si>
  <si>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</si>
  <si>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</si>
  <si>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</si>
  <si>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</si>
  <si>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</si>
  <si>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</si>
  <si>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</si>
  <si>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</si>
  <si>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</si>
  <si>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</si>
  <si>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</si>
  <si>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</si>
  <si>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</si>
  <si>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</si>
  <si>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</si>
  <si>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</si>
  <si>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</si>
  <si>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</si>
  <si>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</si>
  <si>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</si>
  <si>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</si>
  <si>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</si>
  <si>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</si>
  <si>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</si>
  <si>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</si>
  <si>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</si>
  <si>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</si>
  <si>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</si>
  <si>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</si>
  <si>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</si>
  <si>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</si>
  <si>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</si>
  <si>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</si>
  <si>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</si>
  <si>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</si>
  <si>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</si>
  <si>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</si>
  <si>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</si>
  <si>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</si>
  <si>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</si>
  <si>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</si>
  <si>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</si>
  <si>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</si>
  <si>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</si>
  <si>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</si>
  <si>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</si>
  <si>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</si>
  <si>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</si>
  <si>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</si>
  <si>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</si>
  <si>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</si>
  <si>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</si>
  <si>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</si>
  <si>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</si>
  <si>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</si>
  <si>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</si>
  <si>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</si>
  <si>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</si>
  <si>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</si>
  <si>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</si>
  <si>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</si>
  <si>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</si>
  <si>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</si>
  <si>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</si>
  <si>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</si>
  <si>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</si>
  <si>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</si>
  <si>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</si>
  <si>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</si>
  <si>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</si>
  <si>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</si>
  <si>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</si>
  <si>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</si>
  <si>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</si>
  <si>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</si>
  <si>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</si>
  <si>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</si>
  <si>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</si>
  <si>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</si>
  <si>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</si>
  <si>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</si>
  <si>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</si>
  <si>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</si>
  <si>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</si>
  <si>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</si>
  <si>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</si>
  <si>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</si>
  <si>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</si>
  <si>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</si>
  <si>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</si>
  <si>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</si>
  <si>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</si>
  <si>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</si>
  <si>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</si>
  <si>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</si>
  <si>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</si>
  <si>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</si>
  <si>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</si>
  <si>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</si>
  <si>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</si>
  <si>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</si>
  <si>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</si>
  <si>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</si>
  <si>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</si>
  <si>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</si>
  <si>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</si>
  <si>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</si>
  <si>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</si>
  <si>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</si>
  <si>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</si>
  <si>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</si>
  <si>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</si>
  <si>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</si>
  <si>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</si>
  <si>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</si>
  <si>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</si>
  <si>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</si>
  <si>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</si>
  <si>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</si>
  <si>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</si>
  <si>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</si>
  <si>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</si>
  <si>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</si>
  <si>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</si>
  <si>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</si>
  <si>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</si>
  <si>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</si>
  <si>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</si>
  <si>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</si>
  <si>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</si>
  <si>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</si>
  <si>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</si>
  <si>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</si>
  <si>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</si>
  <si>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</si>
  <si>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</si>
  <si>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</si>
  <si>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</si>
  <si>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</si>
  <si>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</si>
  <si>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</si>
  <si>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</si>
  <si>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</si>
  <si>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</si>
  <si>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</si>
  <si>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</si>
  <si>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</si>
  <si>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</si>
  <si>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</si>
  <si>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</si>
  <si>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</si>
  <si>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</si>
  <si>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</si>
  <si>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</si>
  <si>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</si>
  <si>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</si>
  <si>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</si>
  <si>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</si>
  <si>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</si>
  <si>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</si>
  <si>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</si>
  <si>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</si>
  <si>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</si>
  <si>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</si>
  <si>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</si>
  <si>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</si>
  <si>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</si>
  <si>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</si>
  <si>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</si>
  <si>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</si>
  <si>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</si>
  <si>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</si>
  <si>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</si>
  <si>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</si>
  <si>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</si>
  <si>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</si>
  <si>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</si>
  <si>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</si>
  <si>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</si>
  <si>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</si>
  <si>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</si>
  <si>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</si>
  <si>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</si>
  <si>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</si>
  <si>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</si>
  <si>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</si>
  <si>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</si>
  <si>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</si>
  <si>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</si>
  <si>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</si>
  <si>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</si>
  <si>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</si>
  <si>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</si>
  <si>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</si>
  <si>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</si>
  <si>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</si>
  <si>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</si>
  <si>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</si>
  <si>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</si>
  <si>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</si>
  <si>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</si>
  <si>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</si>
  <si>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</si>
  <si>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</si>
  <si>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</si>
  <si>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</si>
  <si>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</si>
  <si>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</si>
  <si>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</si>
  <si>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</si>
  <si>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</si>
  <si>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</si>
  <si>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</si>
  <si>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</si>
  <si>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</si>
  <si>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</si>
  <si>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</si>
  <si>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</si>
  <si>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</si>
  <si>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</si>
  <si>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</si>
  <si>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</si>
  <si>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</si>
  <si>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</si>
  <si>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</si>
  <si>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</si>
  <si>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</si>
  <si>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</si>
  <si>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</si>
  <si>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</si>
  <si>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</si>
  <si>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</si>
  <si>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</si>
  <si>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</si>
  <si>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</si>
  <si>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</si>
  <si>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</si>
  <si>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</si>
  <si>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</si>
  <si>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</si>
  <si>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</si>
  <si>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</si>
  <si>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</si>
  <si>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</si>
  <si>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</si>
  <si>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</si>
  <si>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</si>
  <si>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</si>
  <si>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</si>
  <si>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</si>
  <si>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</si>
  <si>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</si>
  <si>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</si>
  <si>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</si>
  <si>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</si>
  <si>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</si>
  <si>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</si>
  <si>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</si>
  <si>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</si>
  <si>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</si>
  <si>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</si>
  <si>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</si>
  <si>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</si>
  <si>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</si>
  <si>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</si>
  <si>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</si>
  <si>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</si>
  <si>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</si>
  <si>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</si>
  <si>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</si>
  <si>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</si>
  <si>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</si>
  <si>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</si>
  <si>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</si>
  <si>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</si>
  <si>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</si>
  <si>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</si>
  <si>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</si>
  <si>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</si>
  <si>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</si>
  <si>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</si>
  <si>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</si>
  <si>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</si>
  <si>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</si>
  <si>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</si>
  <si>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</si>
  <si>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</si>
  <si>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</si>
  <si>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</si>
  <si>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</si>
  <si>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</si>
  <si>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</si>
  <si>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</si>
  <si>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</si>
  <si>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</si>
  <si>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</si>
  <si>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</si>
  <si>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</si>
  <si>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</si>
  <si>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</si>
  <si>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</si>
  <si>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</si>
  <si>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</si>
  <si>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</si>
  <si>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</si>
  <si>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</si>
  <si>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</si>
  <si>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</si>
  <si>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</si>
  <si>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</si>
  <si>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</si>
  <si>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</si>
  <si>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</si>
  <si>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</si>
  <si>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</si>
  <si>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</si>
  <si>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</si>
  <si>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</si>
  <si>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</si>
  <si>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</si>
  <si>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</si>
  <si>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</si>
  <si>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</si>
  <si>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</si>
  <si>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</si>
  <si>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</si>
  <si>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</si>
  <si>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</si>
  <si>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</si>
  <si>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</si>
  <si>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</si>
  <si>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</si>
  <si>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</si>
  <si>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</si>
  <si>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</si>
  <si>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</si>
  <si>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</si>
  <si>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</si>
  <si>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</si>
  <si>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</si>
  <si>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</si>
  <si>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</si>
  <si>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</si>
  <si>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</si>
  <si>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</si>
  <si>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</si>
  <si>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</si>
  <si>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</si>
  <si>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</si>
  <si>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</si>
  <si>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</si>
  <si>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</si>
  <si>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</si>
  <si>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</si>
  <si>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</si>
  <si>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</si>
  <si>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</si>
  <si>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</si>
  <si>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</si>
  <si>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</si>
  <si>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</si>
  <si>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</si>
  <si>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</si>
  <si>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</si>
  <si>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</si>
  <si>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</si>
  <si>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</si>
  <si>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</si>
  <si>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</si>
  <si>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</si>
  <si>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</si>
  <si>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</si>
  <si>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</si>
  <si>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</si>
  <si>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</si>
  <si>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</si>
  <si>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</si>
  <si>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</si>
  <si>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</si>
  <si>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</si>
  <si>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</si>
  <si>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</si>
  <si>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</si>
  <si>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</si>
  <si>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</si>
  <si>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</si>
  <si>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</si>
  <si>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</si>
  <si>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</si>
  <si>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</si>
  <si>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</si>
  <si>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</si>
  <si>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</si>
  <si>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</si>
  <si>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</si>
  <si>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</si>
  <si>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</si>
  <si>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</si>
  <si>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</si>
  <si>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</si>
  <si>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</si>
  <si>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</si>
  <si>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</si>
  <si>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</si>
  <si>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</si>
  <si>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</si>
  <si>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</si>
  <si>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</si>
  <si>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</si>
  <si>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</si>
  <si>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</si>
  <si>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</si>
  <si>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</si>
  <si>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</si>
  <si>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</si>
  <si>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</si>
  <si>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</si>
  <si>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</si>
  <si>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</si>
  <si>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</si>
  <si>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</si>
  <si>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</si>
  <si>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</si>
  <si>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</si>
  <si>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</si>
  <si>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23100</t>
  </si>
  <si>
    <t>LINKEBEEK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</si>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</sst>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45370.721491507735</c:v>
                </c:pt>
                <c:pt idx="1">
                  <c:v>15967.837047557572</c:v>
                </c:pt>
                <c:pt idx="2">
                  <c:v>303.73500000000001</c:v>
                </c:pt>
                <c:pt idx="3">
                  <c:v>464.21861795364219</c:v>
                </c:pt>
                <c:pt idx="4">
                  <c:v>1173.2144590910918</c:v>
                </c:pt>
                <c:pt idx="5">
                  <c:v>16721.187255419292</c:v>
                </c:pt>
                <c:pt idx="6">
                  <c:v>270.55160219618779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45370.721491507735</c:v>
                </c:pt>
                <c:pt idx="1">
                  <c:v>15967.837047557572</c:v>
                </c:pt>
                <c:pt idx="2">
                  <c:v>303.73500000000001</c:v>
                </c:pt>
                <c:pt idx="3">
                  <c:v>464.21861795364219</c:v>
                </c:pt>
                <c:pt idx="4">
                  <c:v>1173.2144590910918</c:v>
                </c:pt>
                <c:pt idx="5">
                  <c:v>16721.187255419292</c:v>
                </c:pt>
                <c:pt idx="6">
                  <c:v>270.55160219618779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9074.927569888876</c:v>
                </c:pt>
                <c:pt idx="2">
                  <c:v>3302.7228236897249</c:v>
                </c:pt>
                <c:pt idx="3">
                  <c:v>66.318895692096845</c:v>
                </c:pt>
                <c:pt idx="4">
                  <c:v>117.30353320752194</c:v>
                </c:pt>
                <c:pt idx="5">
                  <c:v>245.61016457553029</c:v>
                </c:pt>
                <c:pt idx="6">
                  <c:v>4175.4948138529699</c:v>
                </c:pt>
                <c:pt idx="7">
                  <c:v>68.355292212402006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9074.927569888876</c:v>
                </c:pt>
                <c:pt idx="2">
                  <c:v>3302.7228236897249</c:v>
                </c:pt>
                <c:pt idx="3">
                  <c:v>66.318895692096845</c:v>
                </c:pt>
                <c:pt idx="4">
                  <c:v>117.30353320752194</c:v>
                </c:pt>
                <c:pt idx="5">
                  <c:v>245.61016457553029</c:v>
                </c:pt>
                <c:pt idx="6">
                  <c:v>4175.4948138529699</c:v>
                </c:pt>
                <c:pt idx="7">
                  <c:v>68.355292212402006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23100</v>
      </c>
      <c r="B6" s="390"/>
      <c r="C6" s="391"/>
    </row>
    <row r="7" spans="1:7" s="388" customFormat="1" ht="15.75" customHeight="1">
      <c r="A7" s="392" t="str">
        <f>txtMunicipality</f>
        <v>LINKEBEEK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7957.7361066845879</v>
      </c>
      <c r="D10" s="979">
        <f ca="1">tertiair!C16</f>
        <v>0</v>
      </c>
      <c r="E10" s="979">
        <f ca="1">tertiair!D16</f>
        <v>6249.2673237875833</v>
      </c>
      <c r="F10" s="979">
        <f>tertiair!E16</f>
        <v>90.67213102180753</v>
      </c>
      <c r="G10" s="979">
        <f ca="1">tertiair!F16</f>
        <v>1305.5152737159719</v>
      </c>
      <c r="H10" s="979">
        <f>tertiair!G16</f>
        <v>0</v>
      </c>
      <c r="I10" s="979">
        <f>tertiair!H16</f>
        <v>0</v>
      </c>
      <c r="J10" s="979">
        <f>tertiair!I16</f>
        <v>0</v>
      </c>
      <c r="K10" s="979">
        <f>tertiair!J16</f>
        <v>1.6659383393010294E-2</v>
      </c>
      <c r="L10" s="979">
        <f>tertiair!K16</f>
        <v>0</v>
      </c>
      <c r="M10" s="979">
        <f ca="1">tertiair!L16</f>
        <v>0</v>
      </c>
      <c r="N10" s="979">
        <f>tertiair!M16</f>
        <v>0</v>
      </c>
      <c r="O10" s="979">
        <f ca="1">tertiair!N16</f>
        <v>666.80121963089618</v>
      </c>
      <c r="P10" s="979">
        <f>tertiair!O16</f>
        <v>1.5633333333333335</v>
      </c>
      <c r="Q10" s="980">
        <f>tertiair!P16</f>
        <v>0</v>
      </c>
      <c r="R10" s="674">
        <f ca="1">SUM(C10:Q10)</f>
        <v>16271.572047557571</v>
      </c>
      <c r="S10" s="67"/>
    </row>
    <row r="11" spans="1:19" s="447" customFormat="1">
      <c r="A11" s="783" t="s">
        <v>224</v>
      </c>
      <c r="B11" s="788"/>
      <c r="C11" s="979">
        <f>huishoudens!B8</f>
        <v>7214.1679774082095</v>
      </c>
      <c r="D11" s="979">
        <f>huishoudens!C8</f>
        <v>0</v>
      </c>
      <c r="E11" s="979">
        <f>huishoudens!D8</f>
        <v>31875.587309461382</v>
      </c>
      <c r="F11" s="979">
        <f>huishoudens!E8</f>
        <v>978.49519872989958</v>
      </c>
      <c r="G11" s="979">
        <f>huishoudens!F8</f>
        <v>3141.4454490432395</v>
      </c>
      <c r="H11" s="979">
        <f>huishoudens!G8</f>
        <v>0</v>
      </c>
      <c r="I11" s="979">
        <f>huishoudens!H8</f>
        <v>0</v>
      </c>
      <c r="J11" s="979">
        <f>huishoudens!I8</f>
        <v>0</v>
      </c>
      <c r="K11" s="979">
        <f>huishoudens!J8</f>
        <v>0</v>
      </c>
      <c r="L11" s="979">
        <f>huishoudens!K8</f>
        <v>0</v>
      </c>
      <c r="M11" s="979">
        <f>huishoudens!L8</f>
        <v>0</v>
      </c>
      <c r="N11" s="979">
        <f>huishoudens!M8</f>
        <v>0</v>
      </c>
      <c r="O11" s="979">
        <f>huishoudens!N8</f>
        <v>2097.8788901983326</v>
      </c>
      <c r="P11" s="979">
        <f>huishoudens!O8</f>
        <v>25.013333333333335</v>
      </c>
      <c r="Q11" s="980">
        <f>huishoudens!P8</f>
        <v>38.133333333333333</v>
      </c>
      <c r="R11" s="674">
        <f>SUM(C11:Q11)</f>
        <v>45370.721491507735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350.54827182833606</v>
      </c>
      <c r="D13" s="979">
        <f>industrie!C18</f>
        <v>0</v>
      </c>
      <c r="E13" s="979">
        <f>industrie!D18</f>
        <v>655.41997999323871</v>
      </c>
      <c r="F13" s="979">
        <f>industrie!E18</f>
        <v>34.074389758775204</v>
      </c>
      <c r="G13" s="979">
        <f>industrie!F18</f>
        <v>107.0207391018298</v>
      </c>
      <c r="H13" s="979">
        <f>industrie!G18</f>
        <v>0</v>
      </c>
      <c r="I13" s="979">
        <f>industrie!H18</f>
        <v>0</v>
      </c>
      <c r="J13" s="979">
        <f>industrie!I18</f>
        <v>0</v>
      </c>
      <c r="K13" s="979">
        <f>industrie!J18</f>
        <v>1.032723760973443</v>
      </c>
      <c r="L13" s="979">
        <f>industrie!K18</f>
        <v>0</v>
      </c>
      <c r="M13" s="979">
        <f>industrie!L18</f>
        <v>0</v>
      </c>
      <c r="N13" s="979">
        <f>industrie!M18</f>
        <v>0</v>
      </c>
      <c r="O13" s="979">
        <f>industrie!N18</f>
        <v>25.118354647938858</v>
      </c>
      <c r="P13" s="979">
        <f>industrie!O18</f>
        <v>0</v>
      </c>
      <c r="Q13" s="980">
        <f>industrie!P18</f>
        <v>0</v>
      </c>
      <c r="R13" s="674">
        <f>SUM(C13:Q13)</f>
        <v>1173.2144590910918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15522.452355921134</v>
      </c>
      <c r="D16" s="706">
        <f t="shared" ref="D16:R16" ca="1" si="0">SUM(D9:D15)</f>
        <v>0</v>
      </c>
      <c r="E16" s="706">
        <f t="shared" ca="1" si="0"/>
        <v>38780.274613242203</v>
      </c>
      <c r="F16" s="706">
        <f t="shared" si="0"/>
        <v>1103.2417195104822</v>
      </c>
      <c r="G16" s="706">
        <f t="shared" ca="1" si="0"/>
        <v>4553.9814618610417</v>
      </c>
      <c r="H16" s="706">
        <f t="shared" si="0"/>
        <v>0</v>
      </c>
      <c r="I16" s="706">
        <f t="shared" si="0"/>
        <v>0</v>
      </c>
      <c r="J16" s="706">
        <f t="shared" si="0"/>
        <v>0</v>
      </c>
      <c r="K16" s="706">
        <f t="shared" si="0"/>
        <v>1.0493831443664532</v>
      </c>
      <c r="L16" s="706">
        <f t="shared" si="0"/>
        <v>0</v>
      </c>
      <c r="M16" s="706">
        <f t="shared" ca="1" si="0"/>
        <v>0</v>
      </c>
      <c r="N16" s="706">
        <f t="shared" si="0"/>
        <v>0</v>
      </c>
      <c r="O16" s="706">
        <f t="shared" ca="1" si="0"/>
        <v>2789.7984644771677</v>
      </c>
      <c r="P16" s="706">
        <f t="shared" si="0"/>
        <v>26.576666666666668</v>
      </c>
      <c r="Q16" s="706">
        <f t="shared" si="0"/>
        <v>38.133333333333333</v>
      </c>
      <c r="R16" s="706">
        <f t="shared" ca="1" si="0"/>
        <v>62815.507998156398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256.01233038352808</v>
      </c>
      <c r="I19" s="979">
        <f>transport!H54</f>
        <v>0</v>
      </c>
      <c r="J19" s="979">
        <f>transport!I54</f>
        <v>0</v>
      </c>
      <c r="K19" s="979">
        <f>transport!J54</f>
        <v>0</v>
      </c>
      <c r="L19" s="979">
        <f>transport!K54</f>
        <v>0</v>
      </c>
      <c r="M19" s="979">
        <f>transport!L54</f>
        <v>0</v>
      </c>
      <c r="N19" s="979">
        <f>transport!M54</f>
        <v>14.539271812659731</v>
      </c>
      <c r="O19" s="979">
        <f>transport!N54</f>
        <v>0</v>
      </c>
      <c r="P19" s="979">
        <f>transport!O54</f>
        <v>0</v>
      </c>
      <c r="Q19" s="980">
        <f>transport!P54</f>
        <v>0</v>
      </c>
      <c r="R19" s="674">
        <f>SUM(C19:Q19)</f>
        <v>270.55160219618779</v>
      </c>
      <c r="S19" s="67"/>
    </row>
    <row r="20" spans="1:19" s="447" customFormat="1">
      <c r="A20" s="783" t="s">
        <v>306</v>
      </c>
      <c r="B20" s="788"/>
      <c r="C20" s="979">
        <f>transport!B14</f>
        <v>5.4244674982103609</v>
      </c>
      <c r="D20" s="979">
        <f>transport!C14</f>
        <v>0</v>
      </c>
      <c r="E20" s="979">
        <f>transport!D14</f>
        <v>22.721848516692798</v>
      </c>
      <c r="F20" s="979">
        <f>transport!E14</f>
        <v>37.043973007848592</v>
      </c>
      <c r="G20" s="979">
        <f>transport!F14</f>
        <v>0</v>
      </c>
      <c r="H20" s="979">
        <f>transport!G14</f>
        <v>12064.320503489111</v>
      </c>
      <c r="I20" s="979">
        <f>transport!H14</f>
        <v>3775.6547830799941</v>
      </c>
      <c r="J20" s="979">
        <f>transport!I14</f>
        <v>0</v>
      </c>
      <c r="K20" s="979">
        <f>transport!J14</f>
        <v>0</v>
      </c>
      <c r="L20" s="979">
        <f>transport!K14</f>
        <v>0</v>
      </c>
      <c r="M20" s="979">
        <f>transport!L14</f>
        <v>0</v>
      </c>
      <c r="N20" s="979">
        <f>transport!M14</f>
        <v>816.0216798274364</v>
      </c>
      <c r="O20" s="979">
        <f>transport!N14</f>
        <v>0</v>
      </c>
      <c r="P20" s="979">
        <f>transport!O14</f>
        <v>0</v>
      </c>
      <c r="Q20" s="980">
        <f>transport!P14</f>
        <v>0</v>
      </c>
      <c r="R20" s="674">
        <f>SUM(C20:Q20)</f>
        <v>16721.187255419292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5.4244674982103609</v>
      </c>
      <c r="D22" s="786">
        <f t="shared" ref="D22:R22" si="1">SUM(D18:D21)</f>
        <v>0</v>
      </c>
      <c r="E22" s="786">
        <f t="shared" si="1"/>
        <v>22.721848516692798</v>
      </c>
      <c r="F22" s="786">
        <f t="shared" si="1"/>
        <v>37.043973007848592</v>
      </c>
      <c r="G22" s="786">
        <f t="shared" si="1"/>
        <v>0</v>
      </c>
      <c r="H22" s="786">
        <f t="shared" si="1"/>
        <v>12320.332833872639</v>
      </c>
      <c r="I22" s="786">
        <f t="shared" si="1"/>
        <v>3775.6547830799941</v>
      </c>
      <c r="J22" s="786">
        <f t="shared" si="1"/>
        <v>0</v>
      </c>
      <c r="K22" s="786">
        <f t="shared" si="1"/>
        <v>0</v>
      </c>
      <c r="L22" s="786">
        <f t="shared" si="1"/>
        <v>0</v>
      </c>
      <c r="M22" s="786">
        <f t="shared" si="1"/>
        <v>0</v>
      </c>
      <c r="N22" s="786">
        <f t="shared" si="1"/>
        <v>830.56095164009616</v>
      </c>
      <c r="O22" s="786">
        <f t="shared" si="1"/>
        <v>0</v>
      </c>
      <c r="P22" s="786">
        <f t="shared" si="1"/>
        <v>0</v>
      </c>
      <c r="Q22" s="786">
        <f t="shared" si="1"/>
        <v>0</v>
      </c>
      <c r="R22" s="786">
        <f t="shared" si="1"/>
        <v>16991.738857615481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75.935223418884405</v>
      </c>
      <c r="D24" s="979">
        <f>+landbouw!C8</f>
        <v>0</v>
      </c>
      <c r="E24" s="979">
        <f>+landbouw!D8</f>
        <v>58.708005800754918</v>
      </c>
      <c r="F24" s="979">
        <f>+landbouw!E8</f>
        <v>2.2319681492233818</v>
      </c>
      <c r="G24" s="979">
        <f>+landbouw!F8</f>
        <v>316.3420374389728</v>
      </c>
      <c r="H24" s="979">
        <f>+landbouw!G8</f>
        <v>0</v>
      </c>
      <c r="I24" s="979">
        <f>+landbouw!H8</f>
        <v>0</v>
      </c>
      <c r="J24" s="979">
        <f>+landbouw!I8</f>
        <v>0</v>
      </c>
      <c r="K24" s="979">
        <f>+landbouw!J8</f>
        <v>11.001383145806674</v>
      </c>
      <c r="L24" s="979">
        <f>+landbouw!K8</f>
        <v>0</v>
      </c>
      <c r="M24" s="979">
        <f>+landbouw!L8</f>
        <v>0</v>
      </c>
      <c r="N24" s="979">
        <f>+landbouw!M8</f>
        <v>0</v>
      </c>
      <c r="O24" s="979">
        <f>+landbouw!N8</f>
        <v>0</v>
      </c>
      <c r="P24" s="979">
        <f>+landbouw!O8</f>
        <v>0</v>
      </c>
      <c r="Q24" s="980">
        <f>+landbouw!P8</f>
        <v>0</v>
      </c>
      <c r="R24" s="674">
        <f>SUM(C24:Q24)</f>
        <v>464.21861795364219</v>
      </c>
      <c r="S24" s="67"/>
    </row>
    <row r="25" spans="1:19" s="447" customFormat="1" ht="15" thickBot="1">
      <c r="A25" s="805" t="s">
        <v>823</v>
      </c>
      <c r="B25" s="982"/>
      <c r="C25" s="983">
        <f>IF(Onbekend_ele_kWh="---",0,Onbekend_ele_kWh)/1000+IF(REST_rest_ele_kWh="---",0,REST_rest_ele_kWh)/1000</f>
        <v>216.28677401072298</v>
      </c>
      <c r="D25" s="983"/>
      <c r="E25" s="983">
        <f>IF(onbekend_gas_kWh="---",0,onbekend_gas_kWh)/1000+IF(REST_rest_gas_kWh="---",0,REST_rest_gas_kWh)/1000</f>
        <v>855.42620140139593</v>
      </c>
      <c r="F25" s="983"/>
      <c r="G25" s="983"/>
      <c r="H25" s="983"/>
      <c r="I25" s="983"/>
      <c r="J25" s="983"/>
      <c r="K25" s="983"/>
      <c r="L25" s="983"/>
      <c r="M25" s="983"/>
      <c r="N25" s="983"/>
      <c r="O25" s="983"/>
      <c r="P25" s="983"/>
      <c r="Q25" s="984"/>
      <c r="R25" s="674">
        <f>SUM(C25:Q25)</f>
        <v>1071.7129754121188</v>
      </c>
      <c r="S25" s="67"/>
    </row>
    <row r="26" spans="1:19" s="447" customFormat="1" ht="15.75" thickBot="1">
      <c r="A26" s="679" t="s">
        <v>824</v>
      </c>
      <c r="B26" s="791"/>
      <c r="C26" s="786">
        <f>SUM(C24:C25)</f>
        <v>292.22199742960737</v>
      </c>
      <c r="D26" s="786">
        <f t="shared" ref="D26:R26" si="2">SUM(D24:D25)</f>
        <v>0</v>
      </c>
      <c r="E26" s="786">
        <f t="shared" si="2"/>
        <v>914.13420720215083</v>
      </c>
      <c r="F26" s="786">
        <f t="shared" si="2"/>
        <v>2.2319681492233818</v>
      </c>
      <c r="G26" s="786">
        <f t="shared" si="2"/>
        <v>316.3420374389728</v>
      </c>
      <c r="H26" s="786">
        <f t="shared" si="2"/>
        <v>0</v>
      </c>
      <c r="I26" s="786">
        <f t="shared" si="2"/>
        <v>0</v>
      </c>
      <c r="J26" s="786">
        <f t="shared" si="2"/>
        <v>0</v>
      </c>
      <c r="K26" s="786">
        <f t="shared" si="2"/>
        <v>11.001383145806674</v>
      </c>
      <c r="L26" s="786">
        <f t="shared" si="2"/>
        <v>0</v>
      </c>
      <c r="M26" s="786">
        <f t="shared" si="2"/>
        <v>0</v>
      </c>
      <c r="N26" s="786">
        <f t="shared" si="2"/>
        <v>0</v>
      </c>
      <c r="O26" s="786">
        <f t="shared" si="2"/>
        <v>0</v>
      </c>
      <c r="P26" s="786">
        <f t="shared" si="2"/>
        <v>0</v>
      </c>
      <c r="Q26" s="786">
        <f t="shared" si="2"/>
        <v>0</v>
      </c>
      <c r="R26" s="786">
        <f t="shared" si="2"/>
        <v>1535.931593365761</v>
      </c>
      <c r="S26" s="67"/>
    </row>
    <row r="27" spans="1:19" s="447" customFormat="1" ht="17.25" thickTop="1" thickBot="1">
      <c r="A27" s="680" t="s">
        <v>115</v>
      </c>
      <c r="B27" s="779"/>
      <c r="C27" s="681">
        <f ca="1">C22+C16+C26</f>
        <v>15820.098820848953</v>
      </c>
      <c r="D27" s="681">
        <f t="shared" ref="D27:R27" ca="1" si="3">D22+D16+D26</f>
        <v>0</v>
      </c>
      <c r="E27" s="681">
        <f t="shared" ca="1" si="3"/>
        <v>39717.13066896105</v>
      </c>
      <c r="F27" s="681">
        <f t="shared" si="3"/>
        <v>1142.5176606675541</v>
      </c>
      <c r="G27" s="681">
        <f t="shared" ca="1" si="3"/>
        <v>4870.3234993000142</v>
      </c>
      <c r="H27" s="681">
        <f t="shared" si="3"/>
        <v>12320.332833872639</v>
      </c>
      <c r="I27" s="681">
        <f t="shared" si="3"/>
        <v>3775.6547830799941</v>
      </c>
      <c r="J27" s="681">
        <f t="shared" si="3"/>
        <v>0</v>
      </c>
      <c r="K27" s="681">
        <f t="shared" si="3"/>
        <v>12.050766290173128</v>
      </c>
      <c r="L27" s="681">
        <f t="shared" si="3"/>
        <v>0</v>
      </c>
      <c r="M27" s="681">
        <f t="shared" ca="1" si="3"/>
        <v>0</v>
      </c>
      <c r="N27" s="681">
        <f t="shared" si="3"/>
        <v>830.56095164009616</v>
      </c>
      <c r="O27" s="681">
        <f t="shared" ca="1" si="3"/>
        <v>2789.7984644771677</v>
      </c>
      <c r="P27" s="681">
        <f t="shared" si="3"/>
        <v>26.576666666666668</v>
      </c>
      <c r="Q27" s="681">
        <f t="shared" si="3"/>
        <v>38.133333333333333</v>
      </c>
      <c r="R27" s="681">
        <f t="shared" ca="1" si="3"/>
        <v>81343.178449137646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1737.528670730894</v>
      </c>
      <c r="D40" s="979">
        <f ca="1">tertiair!C20</f>
        <v>0</v>
      </c>
      <c r="E40" s="979">
        <f ca="1">tertiair!D20</f>
        <v>1262.3519994050919</v>
      </c>
      <c r="F40" s="979">
        <f>tertiair!E20</f>
        <v>20.582573741950309</v>
      </c>
      <c r="G40" s="979">
        <f ca="1">tertiair!F20</f>
        <v>348.57257808216451</v>
      </c>
      <c r="H40" s="979">
        <f>tertiair!G20</f>
        <v>0</v>
      </c>
      <c r="I40" s="979">
        <f>tertiair!H20</f>
        <v>0</v>
      </c>
      <c r="J40" s="979">
        <f>tertiair!I20</f>
        <v>0</v>
      </c>
      <c r="K40" s="979">
        <f>tertiair!J20</f>
        <v>5.8974217211256435E-3</v>
      </c>
      <c r="L40" s="979">
        <f>tertiair!K20</f>
        <v>0</v>
      </c>
      <c r="M40" s="979">
        <f ca="1">tertiair!L20</f>
        <v>0</v>
      </c>
      <c r="N40" s="979">
        <f>tertiair!M20</f>
        <v>0</v>
      </c>
      <c r="O40" s="979">
        <f ca="1">tertiair!N20</f>
        <v>0</v>
      </c>
      <c r="P40" s="979">
        <f>tertiair!O20</f>
        <v>0</v>
      </c>
      <c r="Q40" s="748">
        <f>tertiair!P20</f>
        <v>0</v>
      </c>
      <c r="R40" s="824">
        <f t="shared" ca="1" si="4"/>
        <v>3369.0417193818221</v>
      </c>
    </row>
    <row r="41" spans="1:18">
      <c r="A41" s="796" t="s">
        <v>224</v>
      </c>
      <c r="B41" s="803"/>
      <c r="C41" s="979">
        <f ca="1">huishoudens!B12</f>
        <v>1575.1745883714432</v>
      </c>
      <c r="D41" s="979">
        <f ca="1">huishoudens!C12</f>
        <v>0</v>
      </c>
      <c r="E41" s="979">
        <f>huishoudens!D12</f>
        <v>6438.8686365111998</v>
      </c>
      <c r="F41" s="979">
        <f>huishoudens!E12</f>
        <v>222.11841011168721</v>
      </c>
      <c r="G41" s="979">
        <f>huishoudens!F12</f>
        <v>838.76593489454501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9074.927569888876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76.540320590080924</v>
      </c>
      <c r="D43" s="979">
        <f ca="1">industrie!C22</f>
        <v>0</v>
      </c>
      <c r="E43" s="979">
        <f>industrie!D22</f>
        <v>132.39483595863422</v>
      </c>
      <c r="F43" s="979">
        <f>industrie!E22</f>
        <v>7.7348864752419715</v>
      </c>
      <c r="G43" s="979">
        <f>industrie!F22</f>
        <v>28.574537340188559</v>
      </c>
      <c r="H43" s="979">
        <f>industrie!G22</f>
        <v>0</v>
      </c>
      <c r="I43" s="979">
        <f>industrie!H22</f>
        <v>0</v>
      </c>
      <c r="J43" s="979">
        <f>industrie!I22</f>
        <v>0</v>
      </c>
      <c r="K43" s="979">
        <f>industrie!J22</f>
        <v>0.36558421138459879</v>
      </c>
      <c r="L43" s="979">
        <f>industrie!K22</f>
        <v>0</v>
      </c>
      <c r="M43" s="979">
        <f>industrie!L22</f>
        <v>0</v>
      </c>
      <c r="N43" s="979">
        <f>industrie!M22</f>
        <v>0</v>
      </c>
      <c r="O43" s="979">
        <f>industrie!N22</f>
        <v>0</v>
      </c>
      <c r="P43" s="979">
        <f>industrie!O22</f>
        <v>0</v>
      </c>
      <c r="Q43" s="748">
        <f>industrie!P22</f>
        <v>0</v>
      </c>
      <c r="R43" s="823">
        <f t="shared" ca="1" si="4"/>
        <v>245.61016457553029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3389.2435796924183</v>
      </c>
      <c r="D46" s="706">
        <f t="shared" ref="D46:Q46" ca="1" si="5">SUM(D39:D45)</f>
        <v>0</v>
      </c>
      <c r="E46" s="706">
        <f t="shared" ca="1" si="5"/>
        <v>7833.6154718749258</v>
      </c>
      <c r="F46" s="706">
        <f t="shared" si="5"/>
        <v>250.4358703288795</v>
      </c>
      <c r="G46" s="706">
        <f t="shared" ca="1" si="5"/>
        <v>1215.9130503168981</v>
      </c>
      <c r="H46" s="706">
        <f t="shared" si="5"/>
        <v>0</v>
      </c>
      <c r="I46" s="706">
        <f t="shared" si="5"/>
        <v>0</v>
      </c>
      <c r="J46" s="706">
        <f t="shared" si="5"/>
        <v>0</v>
      </c>
      <c r="K46" s="706">
        <f t="shared" si="5"/>
        <v>0.37148163310572441</v>
      </c>
      <c r="L46" s="706">
        <f t="shared" si="5"/>
        <v>0</v>
      </c>
      <c r="M46" s="706">
        <f t="shared" ca="1" si="5"/>
        <v>0</v>
      </c>
      <c r="N46" s="706">
        <f t="shared" si="5"/>
        <v>0</v>
      </c>
      <c r="O46" s="706">
        <f t="shared" ca="1" si="5"/>
        <v>0</v>
      </c>
      <c r="P46" s="706">
        <f t="shared" si="5"/>
        <v>0</v>
      </c>
      <c r="Q46" s="706">
        <f t="shared" si="5"/>
        <v>0</v>
      </c>
      <c r="R46" s="706">
        <f ca="1">SUM(R39:R45)</f>
        <v>12689.579453846229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68.355292212402006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68.355292212402006</v>
      </c>
    </row>
    <row r="50" spans="1:18">
      <c r="A50" s="799" t="s">
        <v>306</v>
      </c>
      <c r="B50" s="809"/>
      <c r="C50" s="677">
        <f ca="1">transport!B18</f>
        <v>1.1844031613050272</v>
      </c>
      <c r="D50" s="677">
        <f>transport!C18</f>
        <v>0</v>
      </c>
      <c r="E50" s="677">
        <f>transport!D18</f>
        <v>4.5898134003719457</v>
      </c>
      <c r="F50" s="677">
        <f>transport!E18</f>
        <v>8.4089818727816308</v>
      </c>
      <c r="G50" s="677">
        <f>transport!F18</f>
        <v>0</v>
      </c>
      <c r="H50" s="677">
        <f>transport!G18</f>
        <v>3221.1735744315929</v>
      </c>
      <c r="I50" s="677">
        <f>transport!H18</f>
        <v>940.13804098691855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4175.4948138529699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1.1844031613050272</v>
      </c>
      <c r="D52" s="706">
        <f t="shared" ref="D52:Q52" ca="1" si="6">SUM(D48:D51)</f>
        <v>0</v>
      </c>
      <c r="E52" s="706">
        <f t="shared" si="6"/>
        <v>4.5898134003719457</v>
      </c>
      <c r="F52" s="706">
        <f t="shared" si="6"/>
        <v>8.4089818727816308</v>
      </c>
      <c r="G52" s="706">
        <f t="shared" si="6"/>
        <v>0</v>
      </c>
      <c r="H52" s="706">
        <f t="shared" si="6"/>
        <v>3289.5288666439951</v>
      </c>
      <c r="I52" s="706">
        <f t="shared" si="6"/>
        <v>940.13804098691855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4243.8501060653716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16.580045636074423</v>
      </c>
      <c r="D54" s="677">
        <f ca="1">+landbouw!C12</f>
        <v>0</v>
      </c>
      <c r="E54" s="677">
        <f>+landbouw!D12</f>
        <v>11.859017171752495</v>
      </c>
      <c r="F54" s="677">
        <f>+landbouw!E12</f>
        <v>0.50665676987370767</v>
      </c>
      <c r="G54" s="677">
        <f>+landbouw!F12</f>
        <v>84.463323996205744</v>
      </c>
      <c r="H54" s="677">
        <f>+landbouw!G12</f>
        <v>0</v>
      </c>
      <c r="I54" s="677">
        <f>+landbouw!H12</f>
        <v>0</v>
      </c>
      <c r="J54" s="677">
        <f>+landbouw!I12</f>
        <v>0</v>
      </c>
      <c r="K54" s="677">
        <f>+landbouw!J12</f>
        <v>3.8944896336155623</v>
      </c>
      <c r="L54" s="677">
        <f>+landbouw!K12</f>
        <v>0</v>
      </c>
      <c r="M54" s="677">
        <f>+landbouw!L12</f>
        <v>0</v>
      </c>
      <c r="N54" s="677">
        <f>+landbouw!M12</f>
        <v>0</v>
      </c>
      <c r="O54" s="677">
        <f>+landbouw!N12</f>
        <v>0</v>
      </c>
      <c r="P54" s="677">
        <f>+landbouw!O12</f>
        <v>0</v>
      </c>
      <c r="Q54" s="678">
        <f>+landbouw!P12</f>
        <v>0</v>
      </c>
      <c r="R54" s="705">
        <f ca="1">SUM(C54:Q54)</f>
        <v>117.30353320752194</v>
      </c>
    </row>
    <row r="55" spans="1:18" ht="15" thickBot="1">
      <c r="A55" s="799" t="s">
        <v>823</v>
      </c>
      <c r="B55" s="809"/>
      <c r="C55" s="677">
        <f ca="1">C25*'EF ele_warmte'!B12</f>
        <v>47.225048167637119</v>
      </c>
      <c r="D55" s="677"/>
      <c r="E55" s="677">
        <f>E25*EF_CO2_aardgas</f>
        <v>172.79609268308198</v>
      </c>
      <c r="F55" s="677"/>
      <c r="G55" s="677"/>
      <c r="H55" s="677"/>
      <c r="I55" s="677"/>
      <c r="J55" s="677"/>
      <c r="K55" s="677"/>
      <c r="L55" s="677"/>
      <c r="M55" s="677"/>
      <c r="N55" s="677"/>
      <c r="O55" s="677"/>
      <c r="P55" s="677"/>
      <c r="Q55" s="678"/>
      <c r="R55" s="705">
        <f ca="1">SUM(C55:Q55)</f>
        <v>220.02114085071909</v>
      </c>
    </row>
    <row r="56" spans="1:18" ht="15.75" thickBot="1">
      <c r="A56" s="797" t="s">
        <v>824</v>
      </c>
      <c r="B56" s="810"/>
      <c r="C56" s="706">
        <f ca="1">SUM(C54:C55)</f>
        <v>63.805093803711543</v>
      </c>
      <c r="D56" s="706">
        <f t="shared" ref="D56:Q56" ca="1" si="7">SUM(D54:D55)</f>
        <v>0</v>
      </c>
      <c r="E56" s="706">
        <f t="shared" si="7"/>
        <v>184.65510985483448</v>
      </c>
      <c r="F56" s="706">
        <f t="shared" si="7"/>
        <v>0.50665676987370767</v>
      </c>
      <c r="G56" s="706">
        <f t="shared" si="7"/>
        <v>84.463323996205744</v>
      </c>
      <c r="H56" s="706">
        <f t="shared" si="7"/>
        <v>0</v>
      </c>
      <c r="I56" s="706">
        <f t="shared" si="7"/>
        <v>0</v>
      </c>
      <c r="J56" s="706">
        <f t="shared" si="7"/>
        <v>0</v>
      </c>
      <c r="K56" s="706">
        <f t="shared" si="7"/>
        <v>3.8944896336155623</v>
      </c>
      <c r="L56" s="706">
        <f t="shared" si="7"/>
        <v>0</v>
      </c>
      <c r="M56" s="706">
        <f t="shared" si="7"/>
        <v>0</v>
      </c>
      <c r="N56" s="706">
        <f t="shared" si="7"/>
        <v>0</v>
      </c>
      <c r="O56" s="706">
        <f t="shared" si="7"/>
        <v>0</v>
      </c>
      <c r="P56" s="706">
        <f t="shared" si="7"/>
        <v>0</v>
      </c>
      <c r="Q56" s="707">
        <f t="shared" si="7"/>
        <v>0</v>
      </c>
      <c r="R56" s="708">
        <f ca="1">SUM(R54:R55)</f>
        <v>337.32467405824104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3454.233076657435</v>
      </c>
      <c r="D61" s="714">
        <f t="shared" ref="D61:Q61" ca="1" si="8">D46+D52+D56</f>
        <v>0</v>
      </c>
      <c r="E61" s="714">
        <f t="shared" ca="1" si="8"/>
        <v>8022.860395130132</v>
      </c>
      <c r="F61" s="714">
        <f t="shared" si="8"/>
        <v>259.35150897153483</v>
      </c>
      <c r="G61" s="714">
        <f t="shared" ca="1" si="8"/>
        <v>1300.3763743131037</v>
      </c>
      <c r="H61" s="714">
        <f t="shared" si="8"/>
        <v>3289.5288666439951</v>
      </c>
      <c r="I61" s="714">
        <f t="shared" si="8"/>
        <v>940.13804098691855</v>
      </c>
      <c r="J61" s="714">
        <f t="shared" si="8"/>
        <v>0</v>
      </c>
      <c r="K61" s="714">
        <f t="shared" si="8"/>
        <v>4.2659712667212863</v>
      </c>
      <c r="L61" s="714">
        <f t="shared" si="8"/>
        <v>0</v>
      </c>
      <c r="M61" s="714">
        <f t="shared" ca="1" si="8"/>
        <v>0</v>
      </c>
      <c r="N61" s="714">
        <f t="shared" si="8"/>
        <v>0</v>
      </c>
      <c r="O61" s="714">
        <f t="shared" ca="1" si="8"/>
        <v>0</v>
      </c>
      <c r="P61" s="714">
        <f t="shared" si="8"/>
        <v>0</v>
      </c>
      <c r="Q61" s="714">
        <f t="shared" si="8"/>
        <v>0</v>
      </c>
      <c r="R61" s="714">
        <f ca="1">R46+R52+R56</f>
        <v>17270.754233969841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0.21834459542725351</v>
      </c>
      <c r="D63" s="755">
        <f t="shared" ca="1" si="9"/>
        <v>0</v>
      </c>
      <c r="E63" s="990">
        <f t="shared" ca="1" si="9"/>
        <v>0.20199999999999999</v>
      </c>
      <c r="F63" s="755">
        <f t="shared" si="9"/>
        <v>0.22700000000000004</v>
      </c>
      <c r="G63" s="755">
        <f t="shared" ca="1" si="9"/>
        <v>0.26699999999999996</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190.08489932209616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190.08489932209616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7214.1679774082095</v>
      </c>
      <c r="C4" s="451">
        <f>huishoudens!C8</f>
        <v>0</v>
      </c>
      <c r="D4" s="451">
        <f>huishoudens!D8</f>
        <v>31875.587309461382</v>
      </c>
      <c r="E4" s="451">
        <f>huishoudens!E8</f>
        <v>978.49519872989958</v>
      </c>
      <c r="F4" s="451">
        <f>huishoudens!F8</f>
        <v>3141.4454490432395</v>
      </c>
      <c r="G4" s="451">
        <f>huishoudens!G8</f>
        <v>0</v>
      </c>
      <c r="H4" s="451">
        <f>huishoudens!H8</f>
        <v>0</v>
      </c>
      <c r="I4" s="451">
        <f>huishoudens!I8</f>
        <v>0</v>
      </c>
      <c r="J4" s="451">
        <f>huishoudens!J8</f>
        <v>0</v>
      </c>
      <c r="K4" s="451">
        <f>huishoudens!K8</f>
        <v>0</v>
      </c>
      <c r="L4" s="451">
        <f>huishoudens!L8</f>
        <v>0</v>
      </c>
      <c r="M4" s="451">
        <f>huishoudens!M8</f>
        <v>0</v>
      </c>
      <c r="N4" s="451">
        <f>huishoudens!N8</f>
        <v>2097.8788901983326</v>
      </c>
      <c r="O4" s="451">
        <f>huishoudens!O8</f>
        <v>25.013333333333335</v>
      </c>
      <c r="P4" s="452">
        <f>huishoudens!P8</f>
        <v>38.133333333333333</v>
      </c>
      <c r="Q4" s="453">
        <f>SUM(B4:P4)</f>
        <v>45370.721491507735</v>
      </c>
    </row>
    <row r="5" spans="1:17">
      <c r="A5" s="450" t="s">
        <v>155</v>
      </c>
      <c r="B5" s="451">
        <f ca="1">tertiair!B16</f>
        <v>7654.0011066845882</v>
      </c>
      <c r="C5" s="451">
        <f ca="1">tertiair!C16</f>
        <v>0</v>
      </c>
      <c r="D5" s="451">
        <f ca="1">tertiair!D16</f>
        <v>6249.2673237875833</v>
      </c>
      <c r="E5" s="451">
        <f>tertiair!E16</f>
        <v>90.67213102180753</v>
      </c>
      <c r="F5" s="451">
        <f ca="1">tertiair!F16</f>
        <v>1305.5152737159719</v>
      </c>
      <c r="G5" s="451">
        <f>tertiair!G16</f>
        <v>0</v>
      </c>
      <c r="H5" s="451">
        <f>tertiair!H16</f>
        <v>0</v>
      </c>
      <c r="I5" s="451">
        <f>tertiair!I16</f>
        <v>0</v>
      </c>
      <c r="J5" s="451">
        <f>tertiair!J16</f>
        <v>1.6659383393010294E-2</v>
      </c>
      <c r="K5" s="451">
        <f>tertiair!K16</f>
        <v>0</v>
      </c>
      <c r="L5" s="451">
        <f ca="1">tertiair!L16</f>
        <v>0</v>
      </c>
      <c r="M5" s="451">
        <f>tertiair!M16</f>
        <v>0</v>
      </c>
      <c r="N5" s="451">
        <f ca="1">tertiair!N16</f>
        <v>666.80121963089618</v>
      </c>
      <c r="O5" s="451">
        <f>tertiair!O16</f>
        <v>1.5633333333333335</v>
      </c>
      <c r="P5" s="452">
        <f>tertiair!P16</f>
        <v>0</v>
      </c>
      <c r="Q5" s="450">
        <f t="shared" ref="Q5:Q14" ca="1" si="0">SUM(B5:P5)</f>
        <v>15967.837047557572</v>
      </c>
    </row>
    <row r="6" spans="1:17">
      <c r="A6" s="450" t="s">
        <v>193</v>
      </c>
      <c r="B6" s="451">
        <f>'openbare verlichting'!B8</f>
        <v>303.73500000000001</v>
      </c>
      <c r="C6" s="451"/>
      <c r="D6" s="451"/>
      <c r="E6" s="451"/>
      <c r="F6" s="451"/>
      <c r="G6" s="451"/>
      <c r="H6" s="451"/>
      <c r="I6" s="451"/>
      <c r="J6" s="451"/>
      <c r="K6" s="451"/>
      <c r="L6" s="451"/>
      <c r="M6" s="451"/>
      <c r="N6" s="451"/>
      <c r="O6" s="451"/>
      <c r="P6" s="452"/>
      <c r="Q6" s="450">
        <f t="shared" si="0"/>
        <v>303.73500000000001</v>
      </c>
    </row>
    <row r="7" spans="1:17">
      <c r="A7" s="450" t="s">
        <v>111</v>
      </c>
      <c r="B7" s="451">
        <f>landbouw!B8</f>
        <v>75.935223418884405</v>
      </c>
      <c r="C7" s="451">
        <f>landbouw!C8</f>
        <v>0</v>
      </c>
      <c r="D7" s="451">
        <f>landbouw!D8</f>
        <v>58.708005800754918</v>
      </c>
      <c r="E7" s="451">
        <f>landbouw!E8</f>
        <v>2.2319681492233818</v>
      </c>
      <c r="F7" s="451">
        <f>landbouw!F8</f>
        <v>316.3420374389728</v>
      </c>
      <c r="G7" s="451">
        <f>landbouw!G8</f>
        <v>0</v>
      </c>
      <c r="H7" s="451">
        <f>landbouw!H8</f>
        <v>0</v>
      </c>
      <c r="I7" s="451">
        <f>landbouw!I8</f>
        <v>0</v>
      </c>
      <c r="J7" s="451">
        <f>landbouw!J8</f>
        <v>11.001383145806674</v>
      </c>
      <c r="K7" s="451">
        <f>landbouw!K8</f>
        <v>0</v>
      </c>
      <c r="L7" s="451">
        <f>landbouw!L8</f>
        <v>0</v>
      </c>
      <c r="M7" s="451">
        <f>landbouw!M8</f>
        <v>0</v>
      </c>
      <c r="N7" s="451">
        <f>landbouw!N8</f>
        <v>0</v>
      </c>
      <c r="O7" s="451">
        <f>landbouw!O8</f>
        <v>0</v>
      </c>
      <c r="P7" s="452">
        <f>landbouw!P8</f>
        <v>0</v>
      </c>
      <c r="Q7" s="450">
        <f t="shared" si="0"/>
        <v>464.21861795364219</v>
      </c>
    </row>
    <row r="8" spans="1:17">
      <c r="A8" s="450" t="s">
        <v>634</v>
      </c>
      <c r="B8" s="451">
        <f>industrie!B18</f>
        <v>350.54827182833606</v>
      </c>
      <c r="C8" s="451">
        <f>industrie!C18</f>
        <v>0</v>
      </c>
      <c r="D8" s="451">
        <f>industrie!D18</f>
        <v>655.41997999323871</v>
      </c>
      <c r="E8" s="451">
        <f>industrie!E18</f>
        <v>34.074389758775204</v>
      </c>
      <c r="F8" s="451">
        <f>industrie!F18</f>
        <v>107.0207391018298</v>
      </c>
      <c r="G8" s="451">
        <f>industrie!G18</f>
        <v>0</v>
      </c>
      <c r="H8" s="451">
        <f>industrie!H18</f>
        <v>0</v>
      </c>
      <c r="I8" s="451">
        <f>industrie!I18</f>
        <v>0</v>
      </c>
      <c r="J8" s="451">
        <f>industrie!J18</f>
        <v>1.032723760973443</v>
      </c>
      <c r="K8" s="451">
        <f>industrie!K18</f>
        <v>0</v>
      </c>
      <c r="L8" s="451">
        <f>industrie!L18</f>
        <v>0</v>
      </c>
      <c r="M8" s="451">
        <f>industrie!M18</f>
        <v>0</v>
      </c>
      <c r="N8" s="451">
        <f>industrie!N18</f>
        <v>25.118354647938858</v>
      </c>
      <c r="O8" s="451">
        <f>industrie!O18</f>
        <v>0</v>
      </c>
      <c r="P8" s="452">
        <f>industrie!P18</f>
        <v>0</v>
      </c>
      <c r="Q8" s="450">
        <f t="shared" si="0"/>
        <v>1173.2144590910918</v>
      </c>
    </row>
    <row r="9" spans="1:17" s="456" customFormat="1">
      <c r="A9" s="454" t="s">
        <v>560</v>
      </c>
      <c r="B9" s="455">
        <f>transport!B14</f>
        <v>5.4244674982103609</v>
      </c>
      <c r="C9" s="455">
        <f>transport!C14</f>
        <v>0</v>
      </c>
      <c r="D9" s="455">
        <f>transport!D14</f>
        <v>22.721848516692798</v>
      </c>
      <c r="E9" s="455">
        <f>transport!E14</f>
        <v>37.043973007848592</v>
      </c>
      <c r="F9" s="455">
        <f>transport!F14</f>
        <v>0</v>
      </c>
      <c r="G9" s="455">
        <f>transport!G14</f>
        <v>12064.320503489111</v>
      </c>
      <c r="H9" s="455">
        <f>transport!H14</f>
        <v>3775.6547830799941</v>
      </c>
      <c r="I9" s="455">
        <f>transport!I14</f>
        <v>0</v>
      </c>
      <c r="J9" s="455">
        <f>transport!J14</f>
        <v>0</v>
      </c>
      <c r="K9" s="455">
        <f>transport!K14</f>
        <v>0</v>
      </c>
      <c r="L9" s="455">
        <f>transport!L14</f>
        <v>0</v>
      </c>
      <c r="M9" s="455">
        <f>transport!M14</f>
        <v>816.0216798274364</v>
      </c>
      <c r="N9" s="455">
        <f>transport!N14</f>
        <v>0</v>
      </c>
      <c r="O9" s="455">
        <f>transport!O14</f>
        <v>0</v>
      </c>
      <c r="P9" s="455">
        <f>transport!P14</f>
        <v>0</v>
      </c>
      <c r="Q9" s="454">
        <f>SUM(B9:P9)</f>
        <v>16721.187255419292</v>
      </c>
    </row>
    <row r="10" spans="1:17">
      <c r="A10" s="450" t="s">
        <v>550</v>
      </c>
      <c r="B10" s="451">
        <f>transport!B54</f>
        <v>0</v>
      </c>
      <c r="C10" s="451">
        <f>transport!C54</f>
        <v>0</v>
      </c>
      <c r="D10" s="451">
        <f>transport!D54</f>
        <v>0</v>
      </c>
      <c r="E10" s="451">
        <f>transport!E54</f>
        <v>0</v>
      </c>
      <c r="F10" s="451">
        <f>transport!F54</f>
        <v>0</v>
      </c>
      <c r="G10" s="451">
        <f>transport!G54</f>
        <v>256.01233038352808</v>
      </c>
      <c r="H10" s="451">
        <f>transport!H54</f>
        <v>0</v>
      </c>
      <c r="I10" s="451">
        <f>transport!I54</f>
        <v>0</v>
      </c>
      <c r="J10" s="451">
        <f>transport!J54</f>
        <v>0</v>
      </c>
      <c r="K10" s="451">
        <f>transport!K54</f>
        <v>0</v>
      </c>
      <c r="L10" s="451">
        <f>transport!L54</f>
        <v>0</v>
      </c>
      <c r="M10" s="451">
        <f>transport!M54</f>
        <v>14.539271812659731</v>
      </c>
      <c r="N10" s="451">
        <f>transport!N54</f>
        <v>0</v>
      </c>
      <c r="O10" s="451">
        <f>transport!O54</f>
        <v>0</v>
      </c>
      <c r="P10" s="452">
        <f>transport!P54</f>
        <v>0</v>
      </c>
      <c r="Q10" s="450">
        <f t="shared" si="0"/>
        <v>270.55160219618779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216.28677401072298</v>
      </c>
      <c r="C14" s="458"/>
      <c r="D14" s="458">
        <f>'SEAP template'!E25</f>
        <v>855.42620140139593</v>
      </c>
      <c r="E14" s="458"/>
      <c r="F14" s="458"/>
      <c r="G14" s="458"/>
      <c r="H14" s="458"/>
      <c r="I14" s="458"/>
      <c r="J14" s="458"/>
      <c r="K14" s="458"/>
      <c r="L14" s="458"/>
      <c r="M14" s="458"/>
      <c r="N14" s="458"/>
      <c r="O14" s="458"/>
      <c r="P14" s="459"/>
      <c r="Q14" s="450">
        <f t="shared" si="0"/>
        <v>1071.7129754121188</v>
      </c>
    </row>
    <row r="15" spans="1:17" s="460" customFormat="1">
      <c r="A15" s="1005" t="s">
        <v>554</v>
      </c>
      <c r="B15" s="953">
        <f ca="1">SUM(B4:B14)</f>
        <v>15820.098820848954</v>
      </c>
      <c r="C15" s="953">
        <f t="shared" ref="C15:Q15" ca="1" si="1">SUM(C4:C14)</f>
        <v>0</v>
      </c>
      <c r="D15" s="953">
        <f t="shared" ca="1" si="1"/>
        <v>39717.13066896105</v>
      </c>
      <c r="E15" s="953">
        <f t="shared" si="1"/>
        <v>1142.5176606675541</v>
      </c>
      <c r="F15" s="953">
        <f t="shared" ca="1" si="1"/>
        <v>4870.3234993000133</v>
      </c>
      <c r="G15" s="953">
        <f t="shared" si="1"/>
        <v>12320.332833872639</v>
      </c>
      <c r="H15" s="953">
        <f t="shared" si="1"/>
        <v>3775.6547830799941</v>
      </c>
      <c r="I15" s="953">
        <f t="shared" si="1"/>
        <v>0</v>
      </c>
      <c r="J15" s="953">
        <f t="shared" si="1"/>
        <v>12.050766290173128</v>
      </c>
      <c r="K15" s="953">
        <f t="shared" si="1"/>
        <v>0</v>
      </c>
      <c r="L15" s="953">
        <f t="shared" ca="1" si="1"/>
        <v>0</v>
      </c>
      <c r="M15" s="953">
        <f t="shared" si="1"/>
        <v>830.56095164009616</v>
      </c>
      <c r="N15" s="953">
        <f t="shared" ca="1" si="1"/>
        <v>2789.7984644771677</v>
      </c>
      <c r="O15" s="953">
        <f t="shared" si="1"/>
        <v>26.576666666666668</v>
      </c>
      <c r="P15" s="953">
        <f t="shared" si="1"/>
        <v>38.133333333333333</v>
      </c>
      <c r="Q15" s="953">
        <f t="shared" ca="1" si="1"/>
        <v>81343.178449137631</v>
      </c>
    </row>
    <row r="17" spans="1:17">
      <c r="A17" s="461" t="s">
        <v>555</v>
      </c>
      <c r="B17" s="760">
        <f ca="1">huishoudens!B10</f>
        <v>0.21834459542725351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1575.1745883714432</v>
      </c>
      <c r="C22" s="451">
        <f t="shared" ref="C22:C32" ca="1" si="3">C4*$C$17</f>
        <v>0</v>
      </c>
      <c r="D22" s="451">
        <f t="shared" ref="D22:D32" si="4">D4*$D$17</f>
        <v>6438.8686365111998</v>
      </c>
      <c r="E22" s="451">
        <f t="shared" ref="E22:E32" si="5">E4*$E$17</f>
        <v>222.11841011168721</v>
      </c>
      <c r="F22" s="451">
        <f t="shared" ref="F22:F32" si="6">F4*$F$17</f>
        <v>838.76593489454501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9074.927569888876</v>
      </c>
    </row>
    <row r="23" spans="1:17">
      <c r="A23" s="450" t="s">
        <v>155</v>
      </c>
      <c r="B23" s="451">
        <f t="shared" ca="1" si="2"/>
        <v>1671.209775038797</v>
      </c>
      <c r="C23" s="451">
        <f t="shared" ca="1" si="3"/>
        <v>0</v>
      </c>
      <c r="D23" s="451">
        <f t="shared" ca="1" si="4"/>
        <v>1262.3519994050919</v>
      </c>
      <c r="E23" s="451">
        <f t="shared" si="5"/>
        <v>20.582573741950309</v>
      </c>
      <c r="F23" s="451">
        <f t="shared" ca="1" si="6"/>
        <v>348.57257808216451</v>
      </c>
      <c r="G23" s="451">
        <f t="shared" si="7"/>
        <v>0</v>
      </c>
      <c r="H23" s="451">
        <f t="shared" si="8"/>
        <v>0</v>
      </c>
      <c r="I23" s="451">
        <f t="shared" si="9"/>
        <v>0</v>
      </c>
      <c r="J23" s="451">
        <f t="shared" si="10"/>
        <v>5.8974217211256435E-3</v>
      </c>
      <c r="K23" s="451">
        <f t="shared" si="11"/>
        <v>0</v>
      </c>
      <c r="L23" s="451">
        <f t="shared" ca="1" si="12"/>
        <v>0</v>
      </c>
      <c r="M23" s="451">
        <f t="shared" si="13"/>
        <v>0</v>
      </c>
      <c r="N23" s="451">
        <f t="shared" ca="1" si="14"/>
        <v>0</v>
      </c>
      <c r="O23" s="451">
        <f t="shared" si="15"/>
        <v>0</v>
      </c>
      <c r="P23" s="452">
        <f t="shared" si="16"/>
        <v>0</v>
      </c>
      <c r="Q23" s="450">
        <f t="shared" ref="Q23:Q32" ca="1" si="17">SUM(B23:P23)</f>
        <v>3302.7228236897249</v>
      </c>
    </row>
    <row r="24" spans="1:17">
      <c r="A24" s="450" t="s">
        <v>193</v>
      </c>
      <c r="B24" s="451">
        <f t="shared" ca="1" si="2"/>
        <v>66.318895692096845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66.318895692096845</v>
      </c>
    </row>
    <row r="25" spans="1:17">
      <c r="A25" s="450" t="s">
        <v>111</v>
      </c>
      <c r="B25" s="451">
        <f t="shared" ca="1" si="2"/>
        <v>16.580045636074423</v>
      </c>
      <c r="C25" s="451">
        <f t="shared" ca="1" si="3"/>
        <v>0</v>
      </c>
      <c r="D25" s="451">
        <f t="shared" si="4"/>
        <v>11.859017171752495</v>
      </c>
      <c r="E25" s="451">
        <f t="shared" si="5"/>
        <v>0.50665676987370767</v>
      </c>
      <c r="F25" s="451">
        <f t="shared" si="6"/>
        <v>84.463323996205744</v>
      </c>
      <c r="G25" s="451">
        <f t="shared" si="7"/>
        <v>0</v>
      </c>
      <c r="H25" s="451">
        <f t="shared" si="8"/>
        <v>0</v>
      </c>
      <c r="I25" s="451">
        <f t="shared" si="9"/>
        <v>0</v>
      </c>
      <c r="J25" s="451">
        <f t="shared" si="10"/>
        <v>3.8944896336155623</v>
      </c>
      <c r="K25" s="451">
        <f t="shared" si="11"/>
        <v>0</v>
      </c>
      <c r="L25" s="451">
        <f t="shared" si="12"/>
        <v>0</v>
      </c>
      <c r="M25" s="451">
        <f t="shared" si="13"/>
        <v>0</v>
      </c>
      <c r="N25" s="451">
        <f t="shared" si="14"/>
        <v>0</v>
      </c>
      <c r="O25" s="451">
        <f t="shared" si="15"/>
        <v>0</v>
      </c>
      <c r="P25" s="452">
        <f t="shared" si="16"/>
        <v>0</v>
      </c>
      <c r="Q25" s="450">
        <f t="shared" ca="1" si="17"/>
        <v>117.30353320752194</v>
      </c>
    </row>
    <row r="26" spans="1:17">
      <c r="A26" s="450" t="s">
        <v>634</v>
      </c>
      <c r="B26" s="451">
        <f t="shared" ca="1" si="2"/>
        <v>76.540320590080924</v>
      </c>
      <c r="C26" s="451">
        <f t="shared" ca="1" si="3"/>
        <v>0</v>
      </c>
      <c r="D26" s="451">
        <f t="shared" si="4"/>
        <v>132.39483595863422</v>
      </c>
      <c r="E26" s="451">
        <f t="shared" si="5"/>
        <v>7.7348864752419715</v>
      </c>
      <c r="F26" s="451">
        <f t="shared" si="6"/>
        <v>28.574537340188559</v>
      </c>
      <c r="G26" s="451">
        <f t="shared" si="7"/>
        <v>0</v>
      </c>
      <c r="H26" s="451">
        <f t="shared" si="8"/>
        <v>0</v>
      </c>
      <c r="I26" s="451">
        <f t="shared" si="9"/>
        <v>0</v>
      </c>
      <c r="J26" s="451">
        <f t="shared" si="10"/>
        <v>0.36558421138459879</v>
      </c>
      <c r="K26" s="451">
        <f t="shared" si="11"/>
        <v>0</v>
      </c>
      <c r="L26" s="451">
        <f t="shared" si="12"/>
        <v>0</v>
      </c>
      <c r="M26" s="451">
        <f t="shared" si="13"/>
        <v>0</v>
      </c>
      <c r="N26" s="451">
        <f t="shared" si="14"/>
        <v>0</v>
      </c>
      <c r="O26" s="451">
        <f t="shared" si="15"/>
        <v>0</v>
      </c>
      <c r="P26" s="452">
        <f t="shared" si="16"/>
        <v>0</v>
      </c>
      <c r="Q26" s="450">
        <f t="shared" ca="1" si="17"/>
        <v>245.61016457553029</v>
      </c>
    </row>
    <row r="27" spans="1:17" s="456" customFormat="1">
      <c r="A27" s="454" t="s">
        <v>560</v>
      </c>
      <c r="B27" s="754">
        <f t="shared" ca="1" si="2"/>
        <v>1.1844031613050272</v>
      </c>
      <c r="C27" s="455">
        <f t="shared" ca="1" si="3"/>
        <v>0</v>
      </c>
      <c r="D27" s="455">
        <f t="shared" si="4"/>
        <v>4.5898134003719457</v>
      </c>
      <c r="E27" s="455">
        <f t="shared" si="5"/>
        <v>8.4089818727816308</v>
      </c>
      <c r="F27" s="455">
        <f t="shared" si="6"/>
        <v>0</v>
      </c>
      <c r="G27" s="455">
        <f t="shared" si="7"/>
        <v>3221.1735744315929</v>
      </c>
      <c r="H27" s="455">
        <f t="shared" si="8"/>
        <v>940.13804098691855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4175.4948138529699</v>
      </c>
    </row>
    <row r="28" spans="1:17">
      <c r="A28" s="450" t="s">
        <v>550</v>
      </c>
      <c r="B28" s="451">
        <f t="shared" ca="1" si="2"/>
        <v>0</v>
      </c>
      <c r="C28" s="451">
        <f t="shared" ca="1" si="3"/>
        <v>0</v>
      </c>
      <c r="D28" s="451">
        <f t="shared" si="4"/>
        <v>0</v>
      </c>
      <c r="E28" s="451">
        <f t="shared" si="5"/>
        <v>0</v>
      </c>
      <c r="F28" s="451">
        <f t="shared" si="6"/>
        <v>0</v>
      </c>
      <c r="G28" s="451">
        <f t="shared" si="7"/>
        <v>68.355292212402006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68.355292212402006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47.225048167637119</v>
      </c>
      <c r="C32" s="451">
        <f t="shared" ca="1" si="3"/>
        <v>0</v>
      </c>
      <c r="D32" s="451">
        <f t="shared" si="4"/>
        <v>172.79609268308198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220.02114085071909</v>
      </c>
    </row>
    <row r="33" spans="1:17" s="460" customFormat="1">
      <c r="A33" s="1005" t="s">
        <v>554</v>
      </c>
      <c r="B33" s="953">
        <f ca="1">SUM(B22:B32)</f>
        <v>3454.2330766574346</v>
      </c>
      <c r="C33" s="953">
        <f t="shared" ref="C33:Q33" ca="1" si="18">SUM(C22:C32)</f>
        <v>0</v>
      </c>
      <c r="D33" s="953">
        <f t="shared" ca="1" si="18"/>
        <v>8022.860395130132</v>
      </c>
      <c r="E33" s="953">
        <f t="shared" si="18"/>
        <v>259.35150897153483</v>
      </c>
      <c r="F33" s="953">
        <f t="shared" ca="1" si="18"/>
        <v>1300.3763743131037</v>
      </c>
      <c r="G33" s="953">
        <f t="shared" si="18"/>
        <v>3289.5288666439951</v>
      </c>
      <c r="H33" s="953">
        <f t="shared" si="18"/>
        <v>940.13804098691855</v>
      </c>
      <c r="I33" s="953">
        <f t="shared" si="18"/>
        <v>0</v>
      </c>
      <c r="J33" s="953">
        <f t="shared" si="18"/>
        <v>4.2659712667212863</v>
      </c>
      <c r="K33" s="953">
        <f t="shared" si="18"/>
        <v>0</v>
      </c>
      <c r="L33" s="953">
        <f t="shared" ca="1" si="18"/>
        <v>0</v>
      </c>
      <c r="M33" s="953">
        <f t="shared" si="18"/>
        <v>0</v>
      </c>
      <c r="N33" s="953">
        <f t="shared" ca="1" si="18"/>
        <v>0</v>
      </c>
      <c r="O33" s="953">
        <f t="shared" si="18"/>
        <v>0</v>
      </c>
      <c r="P33" s="953">
        <f t="shared" si="18"/>
        <v>0</v>
      </c>
      <c r="Q33" s="953">
        <f t="shared" ca="1" si="18"/>
        <v>17270.754233969841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190.08489932209616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190.08489932209616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0.21834459542725351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0.21834459542725351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0.21834459542725351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0.21834459542725351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1947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144.01</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13</v>
      </c>
      <c r="C17" s="330"/>
      <c r="D17" s="330"/>
      <c r="E17" s="330"/>
      <c r="F17" s="330"/>
    </row>
    <row r="18" spans="1:6">
      <c r="A18" s="1293" t="s">
        <v>8</v>
      </c>
      <c r="B18" s="1294">
        <v>13</v>
      </c>
      <c r="C18" s="330"/>
      <c r="D18" s="330"/>
      <c r="E18" s="330"/>
      <c r="F18" s="330"/>
    </row>
    <row r="19" spans="1:6">
      <c r="A19" s="1293" t="s">
        <v>9</v>
      </c>
      <c r="B19" s="1294">
        <v>16</v>
      </c>
      <c r="C19" s="330"/>
      <c r="D19" s="330"/>
      <c r="E19" s="330"/>
      <c r="F19" s="330"/>
    </row>
    <row r="20" spans="1:6">
      <c r="A20" s="1293" t="s">
        <v>10</v>
      </c>
      <c r="B20" s="1294">
        <v>10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4990</v>
      </c>
    </row>
    <row r="39" spans="1:6">
      <c r="A39" s="1293" t="s">
        <v>29</v>
      </c>
      <c r="B39" s="1293" t="s">
        <v>30</v>
      </c>
      <c r="C39" s="1294">
        <v>1560</v>
      </c>
      <c r="D39" s="1294">
        <v>35338788.591420598</v>
      </c>
      <c r="E39" s="1294">
        <v>1905</v>
      </c>
      <c r="F39" s="1294">
        <v>7052995.8005280001</v>
      </c>
    </row>
    <row r="40" spans="1:6">
      <c r="A40" s="1293" t="s">
        <v>29</v>
      </c>
      <c r="B40" s="1293" t="s">
        <v>28</v>
      </c>
      <c r="C40" s="1294">
        <v>0</v>
      </c>
      <c r="D40" s="1294">
        <v>0</v>
      </c>
      <c r="E40" s="1294">
        <v>0</v>
      </c>
      <c r="F40" s="1294">
        <v>0</v>
      </c>
    </row>
    <row r="41" spans="1:6">
      <c r="A41" s="1293" t="s">
        <v>31</v>
      </c>
      <c r="B41" s="1293" t="s">
        <v>32</v>
      </c>
      <c r="C41" s="1294">
        <v>0</v>
      </c>
      <c r="D41" s="1294">
        <v>0</v>
      </c>
      <c r="E41" s="1294">
        <v>10</v>
      </c>
      <c r="F41" s="1294">
        <v>62076.415278926099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726629.68957121798</v>
      </c>
      <c r="E48" s="1294">
        <v>20</v>
      </c>
      <c r="F48" s="1294">
        <v>288471.85654940997</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0</v>
      </c>
      <c r="F51" s="1294">
        <v>0</v>
      </c>
    </row>
    <row r="52" spans="1:6">
      <c r="A52" s="1293" t="s">
        <v>41</v>
      </c>
      <c r="B52" s="1293" t="s">
        <v>28</v>
      </c>
      <c r="C52" s="1294">
        <v>1</v>
      </c>
      <c r="D52" s="1294">
        <v>65086.4809321008</v>
      </c>
      <c r="E52" s="1294">
        <v>2</v>
      </c>
      <c r="F52" s="1294">
        <v>75935.223418884401</v>
      </c>
    </row>
    <row r="53" spans="1:6">
      <c r="A53" s="1293" t="s">
        <v>43</v>
      </c>
      <c r="B53" s="1293" t="s">
        <v>44</v>
      </c>
      <c r="C53" s="1294">
        <v>40</v>
      </c>
      <c r="D53" s="1294">
        <v>855426.20140139596</v>
      </c>
      <c r="E53" s="1294">
        <v>59</v>
      </c>
      <c r="F53" s="1294">
        <v>216286.77401072299</v>
      </c>
    </row>
    <row r="54" spans="1:6">
      <c r="A54" s="1293" t="s">
        <v>45</v>
      </c>
      <c r="B54" s="1293" t="s">
        <v>46</v>
      </c>
      <c r="C54" s="1294">
        <v>0</v>
      </c>
      <c r="D54" s="1294">
        <v>0</v>
      </c>
      <c r="E54" s="1294">
        <v>1</v>
      </c>
      <c r="F54" s="1294">
        <v>303735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303855.60073290003</v>
      </c>
      <c r="E57" s="1294">
        <v>8</v>
      </c>
      <c r="F57" s="1294">
        <v>59197.086171782597</v>
      </c>
    </row>
    <row r="58" spans="1:6">
      <c r="A58" s="1293" t="s">
        <v>48</v>
      </c>
      <c r="B58" s="1293" t="s">
        <v>50</v>
      </c>
      <c r="C58" s="1294">
        <v>6</v>
      </c>
      <c r="D58" s="1294">
        <v>189718.48891923099</v>
      </c>
      <c r="E58" s="1294">
        <v>7</v>
      </c>
      <c r="F58" s="1294">
        <v>41234.342299861397</v>
      </c>
    </row>
    <row r="59" spans="1:6">
      <c r="A59" s="1293" t="s">
        <v>48</v>
      </c>
      <c r="B59" s="1293" t="s">
        <v>51</v>
      </c>
      <c r="C59" s="1294">
        <v>9</v>
      </c>
      <c r="D59" s="1294">
        <v>171653.70872481901</v>
      </c>
      <c r="E59" s="1294">
        <v>19</v>
      </c>
      <c r="F59" s="1294">
        <v>238590.54777170901</v>
      </c>
    </row>
    <row r="60" spans="1:6">
      <c r="A60" s="1293" t="s">
        <v>48</v>
      </c>
      <c r="B60" s="1293" t="s">
        <v>52</v>
      </c>
      <c r="C60" s="1294">
        <v>12</v>
      </c>
      <c r="D60" s="1294">
        <v>749872.46575206204</v>
      </c>
      <c r="E60" s="1294">
        <v>14</v>
      </c>
      <c r="F60" s="1294">
        <v>216338.57997067799</v>
      </c>
    </row>
    <row r="61" spans="1:6">
      <c r="A61" s="1293" t="s">
        <v>48</v>
      </c>
      <c r="B61" s="1293" t="s">
        <v>53</v>
      </c>
      <c r="C61" s="1294">
        <v>63</v>
      </c>
      <c r="D61" s="1294">
        <v>2241235.8140068599</v>
      </c>
      <c r="E61" s="1294">
        <v>97</v>
      </c>
      <c r="F61" s="1294">
        <v>749564.98993744794</v>
      </c>
    </row>
    <row r="62" spans="1:6">
      <c r="A62" s="1293" t="s">
        <v>48</v>
      </c>
      <c r="B62" s="1293" t="s">
        <v>54</v>
      </c>
      <c r="C62" s="1294">
        <v>0</v>
      </c>
      <c r="D62" s="1294">
        <v>0</v>
      </c>
      <c r="E62" s="1294">
        <v>0</v>
      </c>
      <c r="F62" s="1294">
        <v>0</v>
      </c>
    </row>
    <row r="63" spans="1:6">
      <c r="A63" s="1293" t="s">
        <v>48</v>
      </c>
      <c r="B63" s="1293" t="s">
        <v>28</v>
      </c>
      <c r="C63" s="1294">
        <v>58</v>
      </c>
      <c r="D63" s="1294">
        <v>3271898.2054423802</v>
      </c>
      <c r="E63" s="1294">
        <v>75</v>
      </c>
      <c r="F63" s="1294">
        <v>6349075.5605331101</v>
      </c>
    </row>
    <row r="64" spans="1:6">
      <c r="A64" s="1293" t="s">
        <v>55</v>
      </c>
      <c r="B64" s="1293" t="s">
        <v>56</v>
      </c>
      <c r="C64" s="1294">
        <v>0</v>
      </c>
      <c r="D64" s="1294">
        <v>0</v>
      </c>
      <c r="E64" s="1294">
        <v>0</v>
      </c>
      <c r="F64" s="1294">
        <v>0</v>
      </c>
    </row>
    <row r="65" spans="1:6">
      <c r="A65" s="1293" t="s">
        <v>55</v>
      </c>
      <c r="B65" s="1293" t="s">
        <v>28</v>
      </c>
      <c r="C65" s="1294">
        <v>3</v>
      </c>
      <c r="D65" s="1294">
        <v>139638.628403646</v>
      </c>
      <c r="E65" s="1294">
        <v>3</v>
      </c>
      <c r="F65" s="1294">
        <v>24253.559961669202</v>
      </c>
    </row>
    <row r="66" spans="1:6">
      <c r="A66" s="1293" t="s">
        <v>55</v>
      </c>
      <c r="B66" s="1293" t="s">
        <v>57</v>
      </c>
      <c r="C66" s="1294">
        <v>0</v>
      </c>
      <c r="D66" s="1294">
        <v>0</v>
      </c>
      <c r="E66" s="1294">
        <v>3</v>
      </c>
      <c r="F66" s="1294">
        <v>90764.712943213206</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0</v>
      </c>
      <c r="E73" s="449"/>
      <c r="F73" s="330"/>
    </row>
    <row r="74" spans="1:6">
      <c r="A74" s="1293" t="s">
        <v>63</v>
      </c>
      <c r="B74" s="1293" t="s">
        <v>656</v>
      </c>
      <c r="C74" s="1307" t="s">
        <v>658</v>
      </c>
      <c r="D74" s="1308">
        <v>0</v>
      </c>
      <c r="E74" s="449"/>
      <c r="F74" s="330"/>
    </row>
    <row r="75" spans="1:6">
      <c r="A75" s="1293" t="s">
        <v>64</v>
      </c>
      <c r="B75" s="1293" t="s">
        <v>655</v>
      </c>
      <c r="C75" s="1307" t="s">
        <v>659</v>
      </c>
      <c r="D75" s="1308">
        <v>16219757</v>
      </c>
      <c r="E75" s="449"/>
      <c r="F75" s="330"/>
    </row>
    <row r="76" spans="1:6">
      <c r="A76" s="1293" t="s">
        <v>64</v>
      </c>
      <c r="B76" s="1293" t="s">
        <v>656</v>
      </c>
      <c r="C76" s="1307" t="s">
        <v>660</v>
      </c>
      <c r="D76" s="1308">
        <v>413206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73788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161.17217688020946</v>
      </c>
      <c r="C91" s="330"/>
      <c r="D91" s="330"/>
      <c r="E91" s="330"/>
      <c r="F91" s="330"/>
    </row>
    <row r="92" spans="1:6">
      <c r="A92" s="1288" t="s">
        <v>68</v>
      </c>
      <c r="B92" s="1289">
        <v>28.912722441886697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1194</v>
      </c>
      <c r="C97" s="330"/>
      <c r="D97" s="330"/>
      <c r="E97" s="330"/>
      <c r="F97" s="330"/>
    </row>
    <row r="98" spans="1:6">
      <c r="A98" s="1293" t="s">
        <v>71</v>
      </c>
      <c r="B98" s="1294">
        <v>0</v>
      </c>
      <c r="C98" s="330"/>
      <c r="D98" s="330"/>
      <c r="E98" s="330"/>
      <c r="F98" s="330"/>
    </row>
    <row r="99" spans="1:6">
      <c r="A99" s="1293" t="s">
        <v>72</v>
      </c>
      <c r="B99" s="1294">
        <v>9</v>
      </c>
      <c r="C99" s="330"/>
      <c r="D99" s="330"/>
      <c r="E99" s="330"/>
      <c r="F99" s="330"/>
    </row>
    <row r="100" spans="1:6">
      <c r="A100" s="1293" t="s">
        <v>73</v>
      </c>
      <c r="B100" s="1294">
        <v>91</v>
      </c>
      <c r="C100" s="330"/>
      <c r="D100" s="330"/>
      <c r="E100" s="330"/>
      <c r="F100" s="330"/>
    </row>
    <row r="101" spans="1:6">
      <c r="A101" s="1293" t="s">
        <v>74</v>
      </c>
      <c r="B101" s="1294">
        <v>14</v>
      </c>
      <c r="C101" s="330"/>
      <c r="D101" s="330"/>
      <c r="E101" s="330"/>
      <c r="F101" s="330"/>
    </row>
    <row r="102" spans="1:6">
      <c r="A102" s="1293" t="s">
        <v>75</v>
      </c>
      <c r="B102" s="1294">
        <v>42</v>
      </c>
      <c r="C102" s="330"/>
      <c r="D102" s="330"/>
      <c r="E102" s="330"/>
      <c r="F102" s="330"/>
    </row>
    <row r="103" spans="1:6">
      <c r="A103" s="1293" t="s">
        <v>76</v>
      </c>
      <c r="B103" s="1294">
        <v>15</v>
      </c>
      <c r="C103" s="330"/>
      <c r="D103" s="330"/>
      <c r="E103" s="330"/>
      <c r="F103" s="330"/>
    </row>
    <row r="104" spans="1:6">
      <c r="A104" s="1293" t="s">
        <v>77</v>
      </c>
      <c r="B104" s="1294">
        <v>480</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v>
      </c>
      <c r="C123" s="1294">
        <v>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15820.098820848953</v>
      </c>
      <c r="C3" s="43" t="s">
        <v>169</v>
      </c>
      <c r="D3" s="43"/>
      <c r="E3" s="154"/>
      <c r="F3" s="43"/>
      <c r="G3" s="43"/>
      <c r="H3" s="43"/>
      <c r="I3" s="43"/>
      <c r="J3" s="43"/>
      <c r="K3" s="96"/>
    </row>
    <row r="4" spans="1:11">
      <c r="A4" s="358" t="s">
        <v>170</v>
      </c>
      <c r="B4" s="49">
        <f>IF(ISERROR('SEAP template'!B78+'SEAP template'!C78),0,'SEAP template'!B78+'SEAP template'!C78)</f>
        <v>190.08489932209616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0.21834459542725351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303.73500000000001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0.21834459542725351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66.318895692096845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B46*B57</f>
        <v>978.49519872989958</v>
      </c>
      <c r="F5" s="17">
        <f>B51*B62</f>
        <v>3141.4454490432395</v>
      </c>
      <c r="G5" s="18"/>
      <c r="H5" s="17"/>
      <c r="I5" s="17"/>
      <c r="J5" s="17">
        <f>B50*B61+C50*C61</f>
        <v>0</v>
      </c>
      <c r="K5" s="17"/>
      <c r="L5" s="17"/>
      <c r="M5" s="17"/>
      <c r="N5" s="17">
        <f>B48*B59+C48*C59</f>
        <v>2097.8788901983326</v>
      </c>
      <c r="O5" s="17">
        <f>B69*B70*B71</f>
        <v>25.013333333333335</v>
      </c>
      <c r="P5" s="17">
        <f>B77*B78*B79/1000-B77*B78*B79/1000/B80</f>
        <v>38.133333333333333</v>
      </c>
    </row>
    <row r="6" spans="1:16">
      <c r="A6" s="16" t="s">
        <v>620</v>
      </c>
      <c r="B6" s="762">
        <f>kWh_PV_kleiner_dan_10kW</f>
        <v>161.17217688020946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7214.1679774082095</v>
      </c>
      <c r="C8" s="21">
        <f>C5</f>
        <v>0</v>
      </c>
      <c r="D8" s="21">
        <f>D5</f>
        <v>31875.587309461382</v>
      </c>
      <c r="E8" s="21">
        <f>E5</f>
        <v>978.49519872989958</v>
      </c>
      <c r="F8" s="21">
        <f>F5</f>
        <v>3141.4454490432395</v>
      </c>
      <c r="G8" s="21"/>
      <c r="H8" s="21"/>
      <c r="I8" s="21"/>
      <c r="J8" s="21">
        <f>J5</f>
        <v>0</v>
      </c>
      <c r="K8" s="21"/>
      <c r="L8" s="21">
        <f>L5</f>
        <v>0</v>
      </c>
      <c r="M8" s="21">
        <f>M5</f>
        <v>0</v>
      </c>
      <c r="N8" s="21">
        <f>N5</f>
        <v>2097.8788901983326</v>
      </c>
      <c r="O8" s="21">
        <f>O5</f>
        <v>25.013333333333335</v>
      </c>
      <c r="P8" s="21">
        <f>P5</f>
        <v>38.133333333333333</v>
      </c>
    </row>
    <row r="9" spans="1:16">
      <c r="B9" s="19"/>
      <c r="C9" s="19"/>
      <c r="D9" s="258"/>
      <c r="E9" s="19"/>
      <c r="F9" s="19"/>
      <c r="G9" s="19"/>
      <c r="H9" s="19"/>
      <c r="I9" s="19"/>
      <c r="J9" s="19"/>
      <c r="K9" s="19"/>
      <c r="L9" s="19"/>
      <c r="M9" s="19"/>
      <c r="N9" s="19"/>
      <c r="O9" s="19"/>
      <c r="P9" s="19"/>
    </row>
    <row r="10" spans="1:16">
      <c r="A10" s="24" t="s">
        <v>213</v>
      </c>
      <c r="B10" s="25">
        <f ca="1">'EF ele_warmte'!B12</f>
        <v>0.21834459542725351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1575.1745883714432</v>
      </c>
      <c r="C12" s="23">
        <f ca="1">C10*C8</f>
        <v>0</v>
      </c>
      <c r="D12" s="23">
        <f>D8*D10</f>
        <v>6438.8686365111998</v>
      </c>
      <c r="E12" s="23">
        <f>E10*E8</f>
        <v>222.11841011168721</v>
      </c>
      <c r="F12" s="23">
        <f>F10*F8</f>
        <v>838.76593489454501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1947</v>
      </c>
      <c r="C28" s="36"/>
      <c r="D28" s="228"/>
    </row>
    <row r="29" spans="1:7" s="15" customFormat="1">
      <c r="A29" s="230" t="s">
        <v>781</v>
      </c>
      <c r="B29" s="37">
        <f>SUM(HH_hh_gas_aantal,HH_rest_gas_aantal)</f>
        <v>1560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1560</v>
      </c>
      <c r="C32" s="167">
        <f>IF(ISERROR(B32/SUM($B$32,$B$34,$B$35,$B$36,$B$38,$B$39)*100),0,B32/SUM($B$32,$B$34,$B$35,$B$36,$B$38,$B$39)*100)</f>
        <v>80.205655526992288</v>
      </c>
      <c r="D32" s="233"/>
      <c r="G32" s="15"/>
    </row>
    <row r="33" spans="1:7">
      <c r="A33" s="171" t="s">
        <v>71</v>
      </c>
      <c r="B33" s="34" t="s">
        <v>110</v>
      </c>
      <c r="C33" s="167"/>
      <c r="D33" s="233"/>
      <c r="G33" s="15"/>
    </row>
    <row r="34" spans="1:7">
      <c r="A34" s="171" t="s">
        <v>72</v>
      </c>
      <c r="B34" s="33">
        <f>IF((($B$28-$B$32-$B$39-$B$77-$B$38)*C20/100)&lt;0,0,($B$28-$B$32-$B$39-$B$77-$B$38)*C20/100)</f>
        <v>18.505263157894738</v>
      </c>
      <c r="C34" s="167">
        <f>IF(ISERROR(B34/SUM($B$32,$B$34,$B$35,$B$36,$B$38,$B$39)*100),0,B34/SUM($B$32,$B$34,$B$35,$B$36,$B$38,$B$39)*100)</f>
        <v>0.95142741171695322</v>
      </c>
      <c r="D34" s="233"/>
      <c r="G34" s="15"/>
    </row>
    <row r="35" spans="1:7">
      <c r="A35" s="171" t="s">
        <v>73</v>
      </c>
      <c r="B35" s="33">
        <f>IF((($B$28-$B$32-$B$39-$B$77-$B$38)*C21/100)&lt;0,0,($B$28-$B$32-$B$39-$B$77-$B$38)*C21/100)</f>
        <v>187.10877192982463</v>
      </c>
      <c r="C35" s="167">
        <f>IF(ISERROR(B35/SUM($B$32,$B$34,$B$35,$B$36,$B$38,$B$39)*100),0,B35/SUM($B$32,$B$34,$B$35,$B$36,$B$38,$B$39)*100)</f>
        <v>9.6199882740269747</v>
      </c>
      <c r="D35" s="233"/>
      <c r="G35" s="15"/>
    </row>
    <row r="36" spans="1:7">
      <c r="A36" s="171" t="s">
        <v>74</v>
      </c>
      <c r="B36" s="33">
        <f>IF((($B$28-$B$32-$B$39-$B$77-$B$38)*C22/100)&lt;0,0,($B$28-$B$32-$B$39-$B$77-$B$38)*C22/100)</f>
        <v>28.785964912280704</v>
      </c>
      <c r="C36" s="167">
        <f>IF(ISERROR(B36/SUM($B$32,$B$34,$B$35,$B$36,$B$38,$B$39)*100),0,B36/SUM($B$32,$B$34,$B$35,$B$36,$B$38,$B$39)*100)</f>
        <v>1.4799981960041495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150.59999999999997</v>
      </c>
      <c r="C39" s="167">
        <f>IF(ISERROR(B39/SUM($B$32,$B$34,$B$35,$B$36,$B$38,$B$39)*100),0,B39/SUM($B$32,$B$34,$B$35,$B$36,$B$38,$B$39)*100)</f>
        <v>7.7429305912596389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1560</v>
      </c>
      <c r="C44" s="34" t="s">
        <v>110</v>
      </c>
      <c r="D44" s="174"/>
    </row>
    <row r="45" spans="1:7">
      <c r="A45" s="171" t="s">
        <v>71</v>
      </c>
      <c r="B45" s="33" t="str">
        <f t="shared" si="0"/>
        <v>-</v>
      </c>
      <c r="C45" s="34" t="s">
        <v>110</v>
      </c>
      <c r="D45" s="174"/>
    </row>
    <row r="46" spans="1:7">
      <c r="A46" s="171" t="s">
        <v>72</v>
      </c>
      <c r="B46" s="33">
        <f t="shared" si="0"/>
        <v>18.505263157894738</v>
      </c>
      <c r="C46" s="34" t="s">
        <v>110</v>
      </c>
      <c r="D46" s="174"/>
    </row>
    <row r="47" spans="1:7">
      <c r="A47" s="171" t="s">
        <v>73</v>
      </c>
      <c r="B47" s="33">
        <f t="shared" si="0"/>
        <v>187.10877192982463</v>
      </c>
      <c r="C47" s="34" t="s">
        <v>110</v>
      </c>
      <c r="D47" s="174"/>
    </row>
    <row r="48" spans="1:7">
      <c r="A48" s="171" t="s">
        <v>74</v>
      </c>
      <c r="B48" s="33">
        <f t="shared" si="0"/>
        <v>28.785964912280704</v>
      </c>
      <c r="C48" s="33">
        <f>B48*10</f>
        <v>287.85964912280701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150.59999999999997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53</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52</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51</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50</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49</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0.21834459542725351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1671.209775038797</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749.56498993744799</v>
      </c>
      <c r="C26" s="39">
        <f>IF(ISERROR(B26*3.6/1000000/'E Balans VL '!Z12*100),0,B26*3.6/1000000/'E Balans VL '!Z12*100)</f>
        <v>1.5844616480420719E-2</v>
      </c>
      <c r="D26" s="237" t="s">
        <v>744</v>
      </c>
      <c r="F26" s="6"/>
    </row>
    <row r="27" spans="1:18">
      <c r="A27" s="231" t="s">
        <v>52</v>
      </c>
      <c r="B27" s="33">
        <f>IF(ISERROR(TER_horeca_ele_kWh/1000),0,TER_horeca_ele_kWh/1000)</f>
        <v>216.33857997067798</v>
      </c>
      <c r="C27" s="39">
        <f>IF(ISERROR(B27*3.6/1000000/'E Balans VL '!Z9*100),0,B27*3.6/1000000/'E Balans VL '!Z9*100)</f>
        <v>1.70538896255833E-2</v>
      </c>
      <c r="D27" s="237" t="s">
        <v>744</v>
      </c>
      <c r="F27" s="6"/>
    </row>
    <row r="28" spans="1:18">
      <c r="A28" s="171" t="s">
        <v>51</v>
      </c>
      <c r="B28" s="33">
        <f>IF(ISERROR(TER_handel_ele_kWh/1000),0,TER_handel_ele_kWh/1000)</f>
        <v>238.590547771709</v>
      </c>
      <c r="C28" s="39">
        <f>IF(ISERROR(B28*3.6/1000000/'E Balans VL '!Z13*100),0,B28*3.6/1000000/'E Balans VL '!Z13*100)</f>
        <v>6.9248617101716281E-3</v>
      </c>
      <c r="D28" s="237" t="s">
        <v>744</v>
      </c>
      <c r="F28" s="6"/>
    </row>
    <row r="29" spans="1:18">
      <c r="A29" s="231" t="s">
        <v>50</v>
      </c>
      <c r="B29" s="33">
        <f>IF(ISERROR(TER_gezond_ele_kWh/1000),0,TER_gezond_ele_kWh/1000)</f>
        <v>41.234342299861396</v>
      </c>
      <c r="C29" s="39">
        <f>IF(ISERROR(B29*3.6/1000000/'E Balans VL '!Z10*100),0,B29*3.6/1000000/'E Balans VL '!Z10*100)</f>
        <v>4.3426533299484159E-3</v>
      </c>
      <c r="D29" s="237" t="s">
        <v>744</v>
      </c>
      <c r="F29" s="6"/>
    </row>
    <row r="30" spans="1:18">
      <c r="A30" s="231" t="s">
        <v>49</v>
      </c>
      <c r="B30" s="33">
        <f>IF(ISERROR(TER_ander_ele_kWh/1000),0,TER_ander_ele_kWh/1000)</f>
        <v>59.197086171782594</v>
      </c>
      <c r="C30" s="39">
        <f>IF(ISERROR(B30*3.6/1000000/'E Balans VL '!Z14*100),0,B30*3.6/1000000/'E Balans VL '!Z14*100)</f>
        <v>4.3663899335738424E-3</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6349.0755605331096</v>
      </c>
      <c r="C32" s="39">
        <f>IF(ISERROR(B32*3.6/1000000/'E Balans VL '!Z8*100),0,B32*3.6/1000000/'E Balans VL '!Z8*100)</f>
        <v>5.2244464322062679E-2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25.118354647938858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4.8691897042241603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20.249164943714696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25.118354647938858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0.21834459542725351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76.540320590080924</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62.076415278926099</v>
      </c>
      <c r="C31" s="39">
        <f>IF(ISERROR(B31*3.6/1000000/'E Balans VL '!Z19*100),0,B31*3.6/1000000/'E Balans VL '!Z19*100)</f>
        <v>2.8155277153576611E-3</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288.47185654940995</v>
      </c>
      <c r="C37" s="39">
        <f>IF(ISERROR(B37*3.6/1000000/'E Balans VL '!Z15*100),0,B37*3.6/1000000/'E Balans VL '!Z15*100)</f>
        <v>2.2864937402873771E-3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75.935223418884405</v>
      </c>
      <c r="C5" s="17">
        <f>'Eigen informatie GS &amp; warmtenet'!B60</f>
        <v>0</v>
      </c>
      <c r="D5" s="30">
        <f>IF(ISERROR(SUM(LB_lb_gas_kWh,LB_rest_gas_kWh)/1000),0,SUM(LB_lb_gas_kWh,LB_rest_gas_kWh)/1000)*0.902</f>
        <v>58.708005800754918</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75.935223418884405</v>
      </c>
      <c r="C8" s="21">
        <f>C5+C6</f>
        <v>0</v>
      </c>
      <c r="D8" s="21">
        <f>MAX((D5+D6),0)</f>
        <v>58.708005800754918</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0.21834459542725351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16.580045636074423</v>
      </c>
      <c r="C12" s="23">
        <f ca="1">C8*C10</f>
        <v>0</v>
      </c>
      <c r="D12" s="23">
        <f>D8*D10</f>
        <v>11.859017171752495</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1.077544644263761E-2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2.887001300677468</v>
      </c>
      <c r="C26" s="247">
        <f>B26*'GWP N2O_CH4'!B5</f>
        <v>60.627027314226829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0.1701735765509528</v>
      </c>
      <c r="C27" s="247">
        <f>B27*'GWP N2O_CH4'!B5</f>
        <v>3.5736451075700089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7">
        <f>B28*'GWP N2O_CH4'!B4</f>
        <v>14.256591614380019</v>
      </c>
      <c r="D28" s="50"/>
    </row>
    <row r="29" spans="1:4">
      <c r="A29" s="41" t="s">
        <v>276</v>
      </c>
      <c r="B29" s="247">
        <f>B34*'ha_N2O bodem landbouw'!B4</f>
        <v>0.93696367784662216</v>
      </c>
      <c r="C29" s="247">
        <f>B29*'GWP N2O_CH4'!B4</f>
        <v>290.45874013245287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2.1381188236412009E-4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1.9528082993557298E-5</v>
      </c>
      <c r="C5" s="437" t="s">
        <v>210</v>
      </c>
      <c r="D5" s="422">
        <f>SUM(D6:D11)</f>
        <v>8.1798654660094084E-5</v>
      </c>
      <c r="E5" s="422">
        <f>SUM(E6:E11)</f>
        <v>1.3335830282825494E-4</v>
      </c>
      <c r="F5" s="435" t="s">
        <v>210</v>
      </c>
      <c r="G5" s="422">
        <f>SUM(G6:G11)</f>
        <v>4.3431553812560794E-2</v>
      </c>
      <c r="H5" s="422">
        <f>SUM(H6:H11)</f>
        <v>1.3592357219087978E-2</v>
      </c>
      <c r="I5" s="437" t="s">
        <v>210</v>
      </c>
      <c r="J5" s="437" t="s">
        <v>210</v>
      </c>
      <c r="K5" s="437" t="s">
        <v>210</v>
      </c>
      <c r="L5" s="437" t="s">
        <v>210</v>
      </c>
      <c r="M5" s="422">
        <f>SUM(M6:M11)</f>
        <v>2.937678047378771E-3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3"/>
      <c r="D6" s="865">
        <f>vkm_GW_PW*SUMIFS(TableVerdeelsleutelVkm[CNG],TableVerdeelsleutelVkm[Voertuigtype],"Lichte voertuigen")*SUMIFS(TableECFTransport[EnergieConsumptieFactor (PJ per km)],TableECFTransport[Index],CONCATENATE($A6,"_CNG_CNG"))</f>
        <v>0</v>
      </c>
      <c r="E6" s="865">
        <f>vkm_GW_PW*SUMIFS(TableVerdeelsleutelVkm[LPG],TableVerdeelsleutelVkm[Voertuigtype],"Lichte voertuigen")*SUMIFS(TableECFTransport[EnergieConsumptieFactor (PJ per km)],TableECFTransport[Index],CONCATENATE($A6,"_LPG_LPG"))</f>
        <v>0</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1.9528082993557298E-5</v>
      </c>
      <c r="C8" s="423"/>
      <c r="D8" s="425">
        <f>vkm_NGW_PW*SUMIFS(TableVerdeelsleutelVkm[CNG],TableVerdeelsleutelVkm[Voertuigtype],"Lichte voertuigen")*SUMIFS(TableECFTransport[EnergieConsumptieFactor (PJ per km)],TableECFTransport[Index],CONCATENATE($A8,"_CNG_CNG"))</f>
        <v>8.1798654660094084E-5</v>
      </c>
      <c r="E8" s="425">
        <f>vkm_NGW_PW*SUMIFS(TableVerdeelsleutelVkm[LPG],TableVerdeelsleutelVkm[Voertuigtype],"Lichte voertuigen")*SUMIFS(TableECFTransport[EnergieConsumptieFactor (PJ per km)],TableECFTransport[Index],CONCATENATE($A8,"_LPG_LPG"))</f>
        <v>1.3335830282825494E-4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3.8437027999007792E-2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1.3592254297185124E-2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2.6458695293110294E-3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4.994525813553005E-3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1.0292190285421812E-7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2.9180851806774149E-4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5.4244674982103609</v>
      </c>
      <c r="C14" s="21"/>
      <c r="D14" s="21">
        <f t="shared" ref="D14:M14" si="0">((D5)*10^9/3600)+D12</f>
        <v>22.721848516692798</v>
      </c>
      <c r="E14" s="21">
        <f t="shared" si="0"/>
        <v>37.043973007848592</v>
      </c>
      <c r="F14" s="21"/>
      <c r="G14" s="21">
        <f t="shared" si="0"/>
        <v>12064.320503489111</v>
      </c>
      <c r="H14" s="21">
        <f t="shared" si="0"/>
        <v>3775.6547830799941</v>
      </c>
      <c r="I14" s="21"/>
      <c r="J14" s="21"/>
      <c r="K14" s="21"/>
      <c r="L14" s="21"/>
      <c r="M14" s="21">
        <f t="shared" si="0"/>
        <v>816.0216798274364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0.21834459542725351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1.1844031613050272</v>
      </c>
      <c r="C18" s="23"/>
      <c r="D18" s="23">
        <f t="shared" ref="D18:M18" si="1">D14*D16</f>
        <v>4.5898134003719457</v>
      </c>
      <c r="E18" s="23">
        <f t="shared" si="1"/>
        <v>8.4089818727816308</v>
      </c>
      <c r="F18" s="23"/>
      <c r="G18" s="23">
        <f t="shared" si="1"/>
        <v>3221.1735744315929</v>
      </c>
      <c r="H18" s="23">
        <f t="shared" si="1"/>
        <v>940.13804098691855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9.2164438938070097E-4</v>
      </c>
      <c r="H50" s="319">
        <f t="shared" si="2"/>
        <v>0</v>
      </c>
      <c r="I50" s="319">
        <f t="shared" si="2"/>
        <v>0</v>
      </c>
      <c r="J50" s="319">
        <f t="shared" si="2"/>
        <v>0</v>
      </c>
      <c r="K50" s="319">
        <f t="shared" si="2"/>
        <v>0</v>
      </c>
      <c r="L50" s="319">
        <f t="shared" si="2"/>
        <v>0</v>
      </c>
      <c r="M50" s="319">
        <f t="shared" si="2"/>
        <v>5.2341378525575033E-5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9.2164438938070097E-4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5.2341378525575033E-5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256.01233038352808</v>
      </c>
      <c r="H54" s="21">
        <f t="shared" si="3"/>
        <v>0</v>
      </c>
      <c r="I54" s="21">
        <f t="shared" si="3"/>
        <v>0</v>
      </c>
      <c r="J54" s="21">
        <f t="shared" si="3"/>
        <v>0</v>
      </c>
      <c r="K54" s="21">
        <f t="shared" si="3"/>
        <v>0</v>
      </c>
      <c r="L54" s="21">
        <f t="shared" si="3"/>
        <v>0</v>
      </c>
      <c r="M54" s="21">
        <f t="shared" si="3"/>
        <v>14.539271812659731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0.21834459542725351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68.355292212402006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190.08489932209616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190.08489932209616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2020-06-20T15:42:03Z</dcterms:modified>
</cp:coreProperties>
</file>