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D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I63" i="14"/>
  <c r="E8" i="48"/>
  <c r="E26" i="48" s="1"/>
  <c r="E33" i="48" s="1"/>
  <c r="F13" i="14"/>
  <c r="F16" i="14" s="1"/>
  <c r="F27" i="14"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<sst xmlns="http://schemas.openxmlformats.org/spreadsheetml/2006/main" count="2398" uniqueCount="887">
  <si>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</si>
  <si>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</si>
  <si>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</si>
  <si>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</si>
  <si>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</si>
  <si>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</si>
  <si>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</si>
  <si>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</si>
  <si>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</si>
  <si>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</si>
  <si>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</si>
  <si>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</si>
  <si>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</si>
  <si>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</si>
  <si>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</si>
  <si>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</si>
  <si>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</si>
  <si>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</si>
  <si>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</si>
  <si>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</si>
  <si>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</si>
  <si>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</si>
  <si>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</si>
  <si>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</si>
  <si>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</si>
  <si>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</si>
  <si>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</si>
  <si>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</si>
  <si>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</si>
  <si>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</si>
  <si>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</si>
  <si>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</si>
  <si>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</si>
  <si>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</si>
  <si>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</si>
  <si>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</si>
  <si>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</si>
  <si>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</si>
  <si>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</si>
  <si>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</si>
  <si>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</si>
  <si>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</si>
  <si>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</si>
  <si>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</si>
  <si>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</si>
  <si>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</si>
  <si>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</si>
  <si>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</si>
  <si>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</si>
  <si>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</si>
  <si>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</si>
  <si>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</si>
  <si>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</si>
  <si>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</si>
  <si>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</si>
  <si>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</si>
  <si>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</si>
  <si>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</si>
  <si>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</si>
  <si>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</si>
  <si>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</si>
  <si>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</si>
  <si>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</si>
  <si>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</si>
  <si>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</si>
  <si>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</si>
  <si>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</si>
  <si>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</si>
  <si>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</si>
  <si>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</si>
  <si>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</si>
  <si>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</si>
  <si>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</si>
  <si>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</si>
  <si>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</si>
  <si>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</si>
  <si>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</si>
  <si>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</si>
  <si>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</si>
  <si>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</si>
  <si>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</si>
  <si>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</si>
  <si>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</si>
  <si>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</si>
  <si>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</si>
  <si>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</si>
  <si>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</si>
  <si>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</si>
  <si>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</si>
  <si>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</si>
  <si>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</si>
  <si>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</si>
  <si>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</si>
  <si>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</si>
  <si>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</si>
  <si>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</si>
  <si>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</si>
  <si>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</si>
  <si>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</si>
  <si>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</si>
  <si>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</si>
  <si>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</si>
  <si>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</si>
  <si>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</si>
  <si>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</si>
  <si>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</si>
  <si>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</si>
  <si>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</si>
  <si>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</si>
  <si>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</si>
  <si>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</si>
  <si>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</si>
  <si>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</si>
  <si>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</si>
  <si>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</si>
  <si>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</si>
  <si>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</si>
  <si>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</si>
  <si>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</si>
  <si>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</si>
  <si>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</si>
  <si>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</si>
  <si>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</si>
  <si>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</si>
  <si>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</si>
  <si>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</si>
  <si>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</si>
  <si>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</si>
  <si>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</si>
  <si>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</si>
  <si>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</si>
  <si>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</si>
  <si>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</si>
  <si>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</si>
  <si>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</si>
  <si>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</si>
  <si>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</si>
  <si>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</si>
  <si>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</si>
  <si>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</si>
  <si>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</si>
  <si>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</si>
  <si>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</si>
  <si>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</si>
  <si>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</si>
  <si>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</si>
  <si>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</si>
  <si>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</si>
  <si>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</si>
  <si>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</si>
  <si>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</si>
  <si>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</si>
  <si>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</si>
  <si>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</si>
  <si>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</si>
  <si>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</si>
  <si>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</si>
  <si>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</si>
  <si>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</si>
  <si>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</si>
  <si>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</si>
  <si>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</si>
  <si>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</si>
  <si>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</si>
  <si>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</si>
  <si>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</si>
  <si>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</si>
  <si>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</si>
  <si>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</si>
  <si>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</si>
  <si>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</si>
  <si>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</si>
  <si>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</si>
  <si>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</si>
  <si>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</si>
  <si>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</si>
  <si>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</si>
  <si>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</si>
  <si>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</si>
  <si>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</si>
  <si>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</si>
  <si>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</si>
  <si>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</si>
  <si>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</si>
  <si>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</si>
  <si>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</si>
  <si>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</si>
  <si>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</si>
  <si>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</si>
  <si>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</si>
  <si>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</si>
  <si>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</si>
  <si>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</si>
  <si>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</si>
  <si>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</si>
  <si>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</si>
  <si>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</si>
  <si>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</si>
  <si>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</si>
  <si>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</si>
  <si>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</si>
  <si>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</si>
  <si>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</si>
  <si>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</si>
  <si>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</si>
  <si>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</si>
  <si>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</si>
  <si>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</si>
  <si>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</si>
  <si>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</si>
  <si>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</si>
  <si>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</si>
  <si>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</si>
  <si>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</si>
  <si>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</si>
  <si>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</si>
  <si>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</si>
  <si>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</si>
  <si>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</si>
  <si>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</si>
  <si>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</si>
  <si>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</si>
  <si>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</si>
  <si>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</si>
  <si>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</si>
  <si>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</si>
  <si>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</si>
  <si>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</si>
  <si>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</si>
  <si>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</si>
  <si>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</si>
  <si>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</si>
  <si>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</si>
  <si>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</si>
  <si>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</si>
  <si>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</si>
  <si>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</si>
  <si>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</si>
  <si>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</si>
  <si>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</si>
  <si>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</si>
  <si>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</si>
  <si>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</si>
  <si>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</si>
  <si>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</si>
  <si>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</si>
  <si>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</si>
  <si>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</si>
  <si>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</si>
  <si>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</si>
  <si>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</si>
  <si>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</si>
  <si>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</si>
  <si>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</si>
  <si>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</si>
  <si>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</si>
  <si>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</si>
  <si>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</si>
  <si>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</si>
  <si>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</si>
  <si>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</si>
  <si>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</si>
  <si>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</si>
  <si>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</si>
  <si>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</si>
  <si>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</si>
  <si>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</si>
  <si>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</si>
  <si>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</si>
  <si>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</si>
  <si>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</si>
  <si>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</si>
  <si>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</si>
  <si>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</si>
  <si>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</si>
  <si>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</si>
  <si>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</si>
  <si>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</si>
  <si>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</si>
  <si>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</si>
  <si>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</si>
  <si>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</si>
  <si>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</si>
  <si>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</si>
  <si>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</si>
  <si>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</si>
  <si>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</si>
  <si>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</si>
  <si>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</si>
  <si>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</si>
  <si>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</si>
  <si>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</si>
  <si>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</si>
  <si>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</si>
  <si>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</si>
  <si>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</si>
  <si>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</si>
  <si>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</si>
  <si>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</si>
  <si>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</si>
  <si>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</si>
  <si>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</si>
  <si>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</si>
  <si>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</si>
  <si>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</si>
  <si>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</si>
  <si>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</si>
  <si>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</si>
  <si>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</si>
  <si>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</si>
  <si>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</si>
  <si>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</si>
  <si>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</si>
  <si>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</si>
  <si>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</si>
  <si>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</si>
  <si>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</si>
  <si>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</si>
  <si>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</si>
  <si>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</si>
  <si>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</si>
  <si>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</si>
  <si>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</si>
  <si>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</si>
  <si>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</si>
  <si>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</si>
  <si>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</si>
  <si>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</si>
  <si>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</si>
  <si>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</si>
  <si>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</si>
  <si>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</si>
  <si>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</si>
  <si>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</si>
  <si>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</si>
  <si>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</si>
  <si>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</si>
  <si>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</si>
  <si>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</si>
  <si>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</si>
  <si>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</si>
  <si>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</si>
  <si>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</si>
  <si>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</si>
  <si>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</si>
  <si>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</si>
  <si>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</si>
  <si>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</si>
  <si>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</si>
  <si>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</si>
  <si>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</si>
  <si>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</si>
  <si>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</si>
  <si>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</si>
  <si>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</si>
  <si>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</si>
  <si>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</si>
  <si>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</si>
  <si>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</si>
  <si>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</si>
  <si>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</si>
  <si>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</si>
  <si>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</si>
  <si>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</si>
  <si>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</si>
  <si>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</si>
  <si>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</si>
  <si>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</si>
  <si>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</si>
  <si>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</si>
  <si>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</si>
  <si>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</si>
  <si>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</si>
  <si>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</si>
  <si>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</si>
  <si>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</si>
  <si>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</si>
  <si>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</si>
  <si>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</si>
  <si>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</si>
  <si>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</si>
  <si>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</si>
  <si>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</si>
  <si>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</si>
  <si>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</si>
  <si>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</si>
  <si>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</si>
  <si>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</si>
  <si>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</si>
  <si>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</si>
  <si>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</si>
  <si>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</si>
  <si>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</si>
  <si>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</si>
  <si>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</si>
  <si>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</si>
  <si>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</si>
  <si>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</si>
  <si>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</si>
  <si>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</si>
  <si>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</si>
  <si>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</si>
  <si>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</si>
  <si>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</si>
  <si>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</si>
  <si>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</si>
  <si>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</si>
  <si>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</si>
  <si>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</si>
  <si>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</si>
  <si>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</si>
  <si>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</si>
  <si>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</si>
  <si>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</si>
  <si>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</si>
  <si>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</si>
  <si>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</si>
  <si>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</si>
  <si>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</si>
  <si>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</si>
  <si>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</si>
  <si>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</si>
  <si>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</si>
  <si>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</si>
  <si>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</si>
  <si>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</si>
  <si>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</si>
  <si>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</si>
  <si>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</si>
  <si>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</si>
  <si>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</si>
  <si>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</si>
  <si>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</si>
  <si>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</si>
  <si>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</si>
  <si>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</si>
  <si>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</si>
  <si>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</si>
  <si>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</si>
  <si>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</si>
  <si>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</si>
  <si>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</si>
  <si>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</si>
  <si>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</si>
  <si>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</si>
  <si>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</si>
  <si>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</si>
  <si>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</si>
  <si>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</si>
  <si>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</si>
  <si>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</si>
  <si>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</si>
  <si>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</si>
  <si>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</si>
  <si>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</si>
  <si>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</si>
  <si>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</si>
  <si>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</si>
  <si>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</si>
  <si>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</si>
  <si>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</si>
  <si>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</si>
  <si>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</si>
  <si>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</si>
  <si>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</si>
  <si>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</si>
  <si>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</si>
  <si>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</si>
  <si>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</si>
  <si>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</si>
  <si>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</si>
  <si>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</si>
  <si>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</si>
  <si>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</si>
  <si>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</si>
  <si>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</si>
  <si>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</si>
  <si>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</si>
  <si>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</si>
  <si>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</si>
  <si>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</si>
  <si>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</si>
  <si>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</si>
  <si>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</si>
  <si>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</si>
  <si>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</si>
  <si>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</si>
  <si>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</si>
  <si>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</si>
  <si>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</si>
  <si>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</si>
  <si>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</si>
  <si>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</si>
  <si>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</si>
  <si>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</si>
  <si>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</si>
  <si>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</si>
  <si>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</si>
  <si>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</si>
  <si>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</si>
  <si>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</si>
  <si>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</si>
  <si>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</si>
  <si>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</si>
  <si>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</si>
  <si>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</si>
  <si>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</si>
  <si>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</si>
  <si>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</si>
  <si>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</si>
  <si>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</si>
  <si>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</si>
  <si>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</si>
  <si>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</si>
  <si>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</si>
  <si>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</si>
  <si>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</si>
  <si>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</si>
  <si>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</si>
  <si>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</si>
  <si>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</si>
  <si>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</si>
  <si>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</si>
  <si>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</si>
  <si>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</si>
  <si>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</si>
  <si>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</si>
  <si>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</si>
  <si>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</si>
  <si>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</si>
  <si>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</si>
  <si>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</si>
  <si>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</si>
  <si>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</si>
  <si>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</si>
  <si>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</si>
  <si>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</si>
  <si>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</si>
  <si>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</si>
  <si>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</si>
  <si>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</si>
  <si>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</si>
  <si>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</si>
  <si>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</si>
  <si>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</si>
  <si>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</si>
  <si>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</si>
  <si>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</si>
  <si>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</si>
  <si>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</si>
  <si>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</si>
  <si>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</si>
  <si>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</si>
  <si>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</si>
  <si>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</si>
  <si>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</si>
  <si>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</si>
  <si>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</si>
  <si>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</si>
  <si>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</si>
  <si>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</si>
  <si>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</si>
  <si>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</si>
  <si>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</si>
  <si>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</si>
  <si>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</si>
  <si>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</si>
  <si>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</si>
  <si>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</si>
  <si>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</si>
  <si>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</si>
  <si>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</si>
  <si>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</si>
  <si>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</si>
  <si>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</si>
  <si>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</si>
  <si>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</si>
  <si>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</si>
  <si>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</si>
  <si>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</si>
  <si>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</si>
  <si>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</si>
  <si>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</si>
  <si>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</si>
  <si>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</si>
  <si>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</si>
  <si>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</si>
  <si>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</si>
  <si>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</si>
  <si>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</si>
  <si>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</si>
  <si>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</si>
  <si>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</si>
  <si>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</si>
  <si>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</si>
  <si>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</si>
  <si>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</si>
  <si>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</si>
  <si>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</si>
  <si>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</si>
  <si>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</si>
  <si>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</si>
  <si>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</si>
  <si>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</si>
  <si>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</si>
  <si>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</si>
  <si>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</si>
  <si>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</si>
  <si>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</si>
  <si>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</si>
  <si>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</si>
  <si>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</si>
  <si>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</si>
  <si>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</si>
  <si>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</si>
  <si>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</si>
  <si>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</si>
  <si>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</si>
  <si>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</si>
  <si>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</si>
  <si>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</si>
  <si>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</si>
  <si>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</si>
  <si>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</si>
  <si>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</si>
  <si>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</si>
  <si>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</si>
  <si>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</si>
  <si>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</si>
  <si>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</si>
  <si>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</si>
  <si>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</si>
  <si>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</si>
  <si>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</si>
  <si>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</si>
  <si>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</si>
  <si>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</si>
  <si>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</si>
  <si>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</si>
  <si>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</si>
  <si>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</si>
  <si>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</si>
  <si>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</si>
  <si>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</si>
  <si>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</si>
  <si>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</si>
  <si>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</si>
  <si>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</si>
  <si>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</si>
  <si>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</si>
  <si>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</si>
  <si>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</si>
  <si>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</si>
  <si>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</si>
  <si>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</si>
  <si>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</si>
  <si>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</si>
  <si>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</si>
  <si>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</si>
  <si>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</si>
  <si>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</si>
  <si>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</si>
  <si>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</si>
  <si>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</si>
  <si>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</si>
  <si>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</si>
  <si>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</si>
  <si>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</si>
  <si>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</si>
  <si>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</si>
  <si>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</si>
  <si>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</si>
  <si>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</si>
  <si>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</si>
  <si>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</si>
  <si>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</si>
  <si>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</si>
  <si>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</si>
  <si>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</si>
  <si>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</si>
  <si>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</si>
  <si>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</si>
  <si>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</si>
  <si>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</si>
  <si>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</si>
  <si>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</si>
  <si>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</si>
  <si>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</si>
  <si>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</si>
  <si>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</si>
  <si>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</si>
  <si>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</si>
  <si>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</si>
  <si>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</si>
  <si>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</si>
  <si>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</si>
  <si>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</si>
  <si>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</si>
  <si>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</si>
  <si>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</si>
  <si>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</si>
  <si>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</si>
  <si>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</si>
  <si>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</si>
  <si>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</si>
  <si>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</si>
  <si>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</si>
  <si>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</si>
  <si>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</si>
  <si>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</si>
  <si>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</si>
  <si>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</si>
  <si>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</si>
  <si>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</si>
  <si>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</si>
  <si>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</si>
  <si>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</si>
  <si>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</si>
  <si>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</si>
  <si>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</si>
  <si>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</si>
  <si>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</si>
  <si>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</si>
  <si>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</si>
  <si>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</si>
  <si>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</si>
  <si>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</si>
  <si>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</si>
  <si>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</si>
  <si>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</si>
  <si>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</si>
  <si>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</si>
  <si>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</si>
  <si>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</si>
  <si>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</si>
  <si>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</si>
  <si>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</si>
  <si>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</si>
  <si>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</si>
  <si>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</si>
  <si>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</si>
  <si>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</si>
  <si>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</si>
  <si>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</si>
  <si>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</si>
  <si>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</si>
  <si>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</si>
  <si>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</si>
  <si>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</si>
  <si>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</si>
  <si>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</si>
  <si>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</si>
  <si>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</si>
  <si>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</si>
  <si>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</si>
  <si>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</si>
  <si>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</si>
  <si>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</si>
  <si>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</si>
  <si>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</si>
  <si>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</si>
  <si>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</si>
  <si>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</si>
  <si>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</si>
  <si>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</si>
  <si>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</si>
  <si>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</si>
  <si>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</si>
  <si>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</si>
  <si>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</si>
  <si>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</si>
  <si>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</si>
  <si>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</si>
  <si>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</si>
  <si>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</si>
  <si>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</si>
  <si>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</si>
  <si>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</si>
  <si>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</si>
  <si>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</si>
  <si>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</si>
  <si>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</si>
  <si>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</si>
  <si>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</si>
  <si>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</si>
  <si>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</si>
  <si>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</si>
  <si>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</si>
  <si>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</si>
  <si>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</si>
  <si>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</si>
  <si>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</si>
  <si>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</si>
  <si>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</si>
  <si>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</si>
  <si>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</si>
  <si>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</si>
  <si>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</si>
  <si>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</si>
  <si>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</si>
  <si>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</si>
  <si>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</si>
  <si>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</si>
  <si>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</si>
  <si>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</si>
  <si>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</si>
  <si>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</si>
  <si>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</si>
  <si>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</si>
  <si>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</si>
  <si>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</si>
  <si>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</si>
  <si>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</si>
  <si>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</si>
  <si>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</si>
  <si>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</si>
  <si>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</si>
  <si>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</si>
  <si>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</si>
  <si>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</si>
  <si>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</si>
  <si>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</si>
  <si>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</si>
  <si>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</si>
  <si>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</si>
  <si>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</si>
  <si>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</si>
  <si>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</si>
  <si>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</si>
  <si>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</si>
  <si>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</si>
  <si>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</si>
  <si>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</si>
  <si>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</si>
  <si>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</si>
  <si>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</si>
  <si>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</si>
  <si>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</si>
  <si>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</si>
  <si>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</si>
  <si>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</si>
  <si>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</si>
  <si>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</si>
  <si>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</si>
  <si>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</si>
  <si>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</si>
  <si>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</si>
  <si>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</si>
  <si>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</si>
  <si>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</si>
  <si>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</si>
  <si>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</si>
  <si>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</si>
  <si>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</si>
  <si>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</si>
  <si>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</si>
  <si>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</si>
  <si>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</si>
  <si>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</si>
  <si>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</si>
  <si>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</si>
  <si>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</si>
  <si>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</si>
  <si>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</si>
  <si>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</si>
  <si>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</si>
  <si>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</si>
  <si>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</si>
  <si>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</si>
  <si>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</si>
  <si>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</si>
  <si>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</si>
  <si>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</si>
  <si>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</si>
  <si>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</si>
  <si>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</si>
  <si>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</si>
  <si>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</si>
  <si>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</si>
  <si>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</si>
  <si>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</si>
  <si>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</si>
  <si>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</si>
  <si>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23099</t>
  </si>
  <si>
    <t>KRAAINEM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</si>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</sst>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119225.01042468232</c:v>
                </c:pt>
                <c:pt idx="1">
                  <c:v>32109.792212626086</c:v>
                </c:pt>
                <c:pt idx="2">
                  <c:v>1009.373</c:v>
                </c:pt>
                <c:pt idx="3">
                  <c:v>6.852658456980409</c:v>
                </c:pt>
                <c:pt idx="4">
                  <c:v>1264.3865936026484</c:v>
                </c:pt>
                <c:pt idx="5">
                  <c:v>148627.01880218281</c:v>
                </c:pt>
                <c:pt idx="6">
                  <c:v>1679.7313627108574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119225.01042468232</c:v>
                </c:pt>
                <c:pt idx="1">
                  <c:v>32109.792212626086</c:v>
                </c:pt>
                <c:pt idx="2">
                  <c:v>1009.373</c:v>
                </c:pt>
                <c:pt idx="3">
                  <c:v>6.852658456980409</c:v>
                </c:pt>
                <c:pt idx="4">
                  <c:v>1264.3865936026484</c:v>
                </c:pt>
                <c:pt idx="5">
                  <c:v>148627.01880218281</c:v>
                </c:pt>
                <c:pt idx="6">
                  <c:v>1679.7313627108574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24095.402752487335</c:v>
                </c:pt>
                <c:pt idx="2">
                  <c:v>6748.1279347989057</c:v>
                </c:pt>
                <c:pt idx="3">
                  <c:v>220.08734354064964</c:v>
                </c:pt>
                <c:pt idx="4">
                  <c:v>1.7815036604306205</c:v>
                </c:pt>
                <c:pt idx="5">
                  <c:v>268.43338227612412</c:v>
                </c:pt>
                <c:pt idx="6">
                  <c:v>37199.737332497025</c:v>
                </c:pt>
                <c:pt idx="7">
                  <c:v>424.38679795057124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24095.402752487335</c:v>
                </c:pt>
                <c:pt idx="2">
                  <c:v>6748.1279347989057</c:v>
                </c:pt>
                <c:pt idx="3">
                  <c:v>220.08734354064964</c:v>
                </c:pt>
                <c:pt idx="4">
                  <c:v>1.7815036604306205</c:v>
                </c:pt>
                <c:pt idx="5">
                  <c:v>268.43338227612412</c:v>
                </c:pt>
                <c:pt idx="6">
                  <c:v>37199.737332497025</c:v>
                </c:pt>
                <c:pt idx="7">
                  <c:v>424.38679795057124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23099</v>
      </c>
      <c r="B6" s="390"/>
      <c r="C6" s="391"/>
    </row>
    <row r="7" spans="1:7" s="388" customFormat="1" ht="15.75" customHeight="1">
      <c r="A7" s="392" t="str">
        <f>txtMunicipality</f>
        <v>KRAAINEM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0.2180436206839787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0.2180436206839787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67.150000000000006</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1</v>
      </c>
      <c r="C18" s="330"/>
      <c r="D18" s="330"/>
      <c r="E18" s="330"/>
      <c r="F18" s="330"/>
    </row>
    <row r="19" spans="1:6">
      <c r="A19" s="1293" t="s">
        <v>9</v>
      </c>
      <c r="B19" s="1294">
        <v>4</v>
      </c>
      <c r="C19" s="330"/>
      <c r="D19" s="330"/>
      <c r="E19" s="330"/>
      <c r="F19" s="330"/>
    </row>
    <row r="20" spans="1:6">
      <c r="A20" s="1293" t="s">
        <v>10</v>
      </c>
      <c r="B20" s="1294">
        <v>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3722.5565466528001</v>
      </c>
    </row>
    <row r="39" spans="1:6">
      <c r="A39" s="1293" t="s">
        <v>29</v>
      </c>
      <c r="B39" s="1293" t="s">
        <v>30</v>
      </c>
      <c r="C39" s="1294">
        <v>4249</v>
      </c>
      <c r="D39" s="1294">
        <v>98544963.303522393</v>
      </c>
      <c r="E39" s="1294">
        <v>5366</v>
      </c>
      <c r="F39" s="1294">
        <v>20368144.7674721</v>
      </c>
    </row>
    <row r="40" spans="1:6">
      <c r="A40" s="1293" t="s">
        <v>29</v>
      </c>
      <c r="B40" s="1293" t="s">
        <v>28</v>
      </c>
      <c r="C40" s="1294">
        <v>0</v>
      </c>
      <c r="D40" s="1294">
        <v>0</v>
      </c>
      <c r="E40" s="1294">
        <v>0</v>
      </c>
      <c r="F40" s="1294">
        <v>0</v>
      </c>
    </row>
    <row r="41" spans="1:6">
      <c r="A41" s="1293" t="s">
        <v>31</v>
      </c>
      <c r="B41" s="1293" t="s">
        <v>32</v>
      </c>
      <c r="C41" s="1294">
        <v>12</v>
      </c>
      <c r="D41" s="1294">
        <v>365766.36273996503</v>
      </c>
      <c r="E41" s="1294">
        <v>28</v>
      </c>
      <c r="F41" s="1294">
        <v>151742.98944983899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5</v>
      </c>
      <c r="F44" s="1294">
        <v>99760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14</v>
      </c>
      <c r="D48" s="1294">
        <v>365863.59741049702</v>
      </c>
      <c r="E48" s="1294">
        <v>21</v>
      </c>
      <c r="F48" s="1294">
        <v>119734.70786965</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3672</v>
      </c>
    </row>
    <row r="51" spans="1:6">
      <c r="A51" s="1293" t="s">
        <v>41</v>
      </c>
      <c r="B51" s="1293" t="s">
        <v>42</v>
      </c>
      <c r="C51" s="1294">
        <v>0</v>
      </c>
      <c r="D51" s="1294">
        <v>0</v>
      </c>
      <c r="E51" s="1294">
        <v>0</v>
      </c>
      <c r="F51" s="1294">
        <v>0</v>
      </c>
    </row>
    <row r="52" spans="1:6">
      <c r="A52" s="1293" t="s">
        <v>41</v>
      </c>
      <c r="B52" s="1293" t="s">
        <v>28</v>
      </c>
      <c r="C52" s="1294">
        <v>0</v>
      </c>
      <c r="D52" s="1294">
        <v>0</v>
      </c>
      <c r="E52" s="1294">
        <v>1</v>
      </c>
      <c r="F52" s="1294">
        <v>1283.2170980224</v>
      </c>
    </row>
    <row r="53" spans="1:6">
      <c r="A53" s="1293" t="s">
        <v>43</v>
      </c>
      <c r="B53" s="1293" t="s">
        <v>44</v>
      </c>
      <c r="C53" s="1294">
        <v>160</v>
      </c>
      <c r="D53" s="1294">
        <v>5488393.6088492302</v>
      </c>
      <c r="E53" s="1294">
        <v>250</v>
      </c>
      <c r="F53" s="1294">
        <v>1019632.46594387</v>
      </c>
    </row>
    <row r="54" spans="1:6">
      <c r="A54" s="1293" t="s">
        <v>45</v>
      </c>
      <c r="B54" s="1293" t="s">
        <v>46</v>
      </c>
      <c r="C54" s="1294">
        <v>0</v>
      </c>
      <c r="D54" s="1294">
        <v>0</v>
      </c>
      <c r="E54" s="1294">
        <v>1</v>
      </c>
      <c r="F54" s="1294">
        <v>1009373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21</v>
      </c>
      <c r="D57" s="1294">
        <v>1030950.94693025</v>
      </c>
      <c r="E57" s="1294">
        <v>32</v>
      </c>
      <c r="F57" s="1294">
        <v>260865.82405612501</v>
      </c>
    </row>
    <row r="58" spans="1:6">
      <c r="A58" s="1293" t="s">
        <v>48</v>
      </c>
      <c r="B58" s="1293" t="s">
        <v>50</v>
      </c>
      <c r="C58" s="1294">
        <v>22</v>
      </c>
      <c r="D58" s="1294">
        <v>675993.52917510399</v>
      </c>
      <c r="E58" s="1294">
        <v>30</v>
      </c>
      <c r="F58" s="1294">
        <v>177035.69902110501</v>
      </c>
    </row>
    <row r="59" spans="1:6">
      <c r="A59" s="1293" t="s">
        <v>48</v>
      </c>
      <c r="B59" s="1293" t="s">
        <v>51</v>
      </c>
      <c r="C59" s="1294">
        <v>28</v>
      </c>
      <c r="D59" s="1294">
        <v>4559527.5803424697</v>
      </c>
      <c r="E59" s="1294">
        <v>69</v>
      </c>
      <c r="F59" s="1294">
        <v>6299778.4394087698</v>
      </c>
    </row>
    <row r="60" spans="1:6">
      <c r="A60" s="1293" t="s">
        <v>48</v>
      </c>
      <c r="B60" s="1293" t="s">
        <v>52</v>
      </c>
      <c r="C60" s="1294">
        <v>17</v>
      </c>
      <c r="D60" s="1294">
        <v>927372.05537578999</v>
      </c>
      <c r="E60" s="1294">
        <v>24</v>
      </c>
      <c r="F60" s="1294">
        <v>578995.18357541098</v>
      </c>
    </row>
    <row r="61" spans="1:6">
      <c r="A61" s="1293" t="s">
        <v>48</v>
      </c>
      <c r="B61" s="1293" t="s">
        <v>53</v>
      </c>
      <c r="C61" s="1294">
        <v>172</v>
      </c>
      <c r="D61" s="1294">
        <v>10046572.536915701</v>
      </c>
      <c r="E61" s="1294">
        <v>332</v>
      </c>
      <c r="F61" s="1294">
        <v>3509252.0095871501</v>
      </c>
    </row>
    <row r="62" spans="1:6">
      <c r="A62" s="1293" t="s">
        <v>48</v>
      </c>
      <c r="B62" s="1293" t="s">
        <v>54</v>
      </c>
      <c r="C62" s="1294">
        <v>0</v>
      </c>
      <c r="D62" s="1294">
        <v>0</v>
      </c>
      <c r="E62" s="1294">
        <v>0</v>
      </c>
      <c r="F62" s="1294">
        <v>0</v>
      </c>
    </row>
    <row r="63" spans="1:6">
      <c r="A63" s="1293" t="s">
        <v>48</v>
      </c>
      <c r="B63" s="1293" t="s">
        <v>28</v>
      </c>
      <c r="C63" s="1294">
        <v>68</v>
      </c>
      <c r="D63" s="1294">
        <v>2644737.5269650398</v>
      </c>
      <c r="E63" s="1294">
        <v>63</v>
      </c>
      <c r="F63" s="1294">
        <v>752781.15285499406</v>
      </c>
    </row>
    <row r="64" spans="1:6">
      <c r="A64" s="1293" t="s">
        <v>55</v>
      </c>
      <c r="B64" s="1293" t="s">
        <v>56</v>
      </c>
      <c r="C64" s="1294">
        <v>0</v>
      </c>
      <c r="D64" s="1294">
        <v>0</v>
      </c>
      <c r="E64" s="1294">
        <v>0</v>
      </c>
      <c r="F64" s="1294">
        <v>0</v>
      </c>
    </row>
    <row r="65" spans="1:6">
      <c r="A65" s="1293" t="s">
        <v>55</v>
      </c>
      <c r="B65" s="1293" t="s">
        <v>28</v>
      </c>
      <c r="C65" s="1294">
        <v>1</v>
      </c>
      <c r="D65" s="1294">
        <v>16997.496753020801</v>
      </c>
      <c r="E65" s="1294">
        <v>4</v>
      </c>
      <c r="F65" s="1294">
        <v>17437.659774801599</v>
      </c>
    </row>
    <row r="66" spans="1:6">
      <c r="A66" s="1293" t="s">
        <v>55</v>
      </c>
      <c r="B66" s="1293" t="s">
        <v>57</v>
      </c>
      <c r="C66" s="1294">
        <v>0</v>
      </c>
      <c r="D66" s="1294">
        <v>0</v>
      </c>
      <c r="E66" s="1294">
        <v>7</v>
      </c>
      <c r="F66" s="1294">
        <v>1044330.04099659</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39663229</v>
      </c>
      <c r="E73" s="449"/>
      <c r="F73" s="330"/>
    </row>
    <row r="74" spans="1:6">
      <c r="A74" s="1293" t="s">
        <v>63</v>
      </c>
      <c r="B74" s="1293" t="s">
        <v>656</v>
      </c>
      <c r="C74" s="1307" t="s">
        <v>658</v>
      </c>
      <c r="D74" s="1308">
        <v>505900</v>
      </c>
      <c r="E74" s="449"/>
      <c r="F74" s="330"/>
    </row>
    <row r="75" spans="1:6">
      <c r="A75" s="1293" t="s">
        <v>64</v>
      </c>
      <c r="B75" s="1293" t="s">
        <v>655</v>
      </c>
      <c r="C75" s="1307" t="s">
        <v>659</v>
      </c>
      <c r="D75" s="1308">
        <v>9181415</v>
      </c>
      <c r="E75" s="449"/>
      <c r="F75" s="330"/>
    </row>
    <row r="76" spans="1:6">
      <c r="A76" s="1293" t="s">
        <v>64</v>
      </c>
      <c r="B76" s="1293" t="s">
        <v>656</v>
      </c>
      <c r="C76" s="1307" t="s">
        <v>660</v>
      </c>
      <c r="D76" s="1308">
        <v>8083.6</v>
      </c>
      <c r="E76" s="449"/>
      <c r="F76" s="330"/>
    </row>
    <row r="77" spans="1:6">
      <c r="A77" s="1293" t="s">
        <v>65</v>
      </c>
      <c r="B77" s="1293" t="s">
        <v>655</v>
      </c>
      <c r="C77" s="1307" t="s">
        <v>661</v>
      </c>
      <c r="D77" s="1308">
        <v>123361871</v>
      </c>
      <c r="E77" s="449"/>
      <c r="F77" s="330"/>
    </row>
    <row r="78" spans="1:6">
      <c r="A78" s="1288" t="s">
        <v>65</v>
      </c>
      <c r="B78" s="1288" t="s">
        <v>656</v>
      </c>
      <c r="C78" s="1288" t="s">
        <v>662</v>
      </c>
      <c r="D78" s="1309">
        <v>12128601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458116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466.54865636288434</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3016</v>
      </c>
      <c r="C97" s="330"/>
      <c r="D97" s="330"/>
      <c r="E97" s="330"/>
      <c r="F97" s="330"/>
    </row>
    <row r="98" spans="1:6">
      <c r="A98" s="1293" t="s">
        <v>71</v>
      </c>
      <c r="B98" s="1294">
        <v>1</v>
      </c>
      <c r="C98" s="330"/>
      <c r="D98" s="330"/>
      <c r="E98" s="330"/>
      <c r="F98" s="330"/>
    </row>
    <row r="99" spans="1:6">
      <c r="A99" s="1293" t="s">
        <v>72</v>
      </c>
      <c r="B99" s="1294">
        <v>9</v>
      </c>
      <c r="C99" s="330"/>
      <c r="D99" s="330"/>
      <c r="E99" s="330"/>
      <c r="F99" s="330"/>
    </row>
    <row r="100" spans="1:6">
      <c r="A100" s="1293" t="s">
        <v>73</v>
      </c>
      <c r="B100" s="1294">
        <v>151</v>
      </c>
      <c r="C100" s="330"/>
      <c r="D100" s="330"/>
      <c r="E100" s="330"/>
      <c r="F100" s="330"/>
    </row>
    <row r="101" spans="1:6">
      <c r="A101" s="1293" t="s">
        <v>74</v>
      </c>
      <c r="B101" s="1294">
        <v>8</v>
      </c>
      <c r="C101" s="330"/>
      <c r="D101" s="330"/>
      <c r="E101" s="330"/>
      <c r="F101" s="330"/>
    </row>
    <row r="102" spans="1:6">
      <c r="A102" s="1293" t="s">
        <v>75</v>
      </c>
      <c r="B102" s="1294">
        <v>72</v>
      </c>
      <c r="C102" s="330"/>
      <c r="D102" s="330"/>
      <c r="E102" s="330"/>
      <c r="F102" s="330"/>
    </row>
    <row r="103" spans="1:6">
      <c r="A103" s="1293" t="s">
        <v>76</v>
      </c>
      <c r="B103" s="1294">
        <v>14</v>
      </c>
      <c r="C103" s="330"/>
      <c r="D103" s="330"/>
      <c r="E103" s="330"/>
      <c r="F103" s="330"/>
    </row>
    <row r="104" spans="1:6">
      <c r="A104" s="1293" t="s">
        <v>77</v>
      </c>
      <c r="B104" s="1294">
        <v>1300</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37</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34876.192137265862</v>
      </c>
      <c r="C3" s="43" t="s">
        <v>169</v>
      </c>
      <c r="D3" s="43"/>
      <c r="E3" s="154"/>
      <c r="F3" s="43"/>
      <c r="G3" s="43"/>
      <c r="H3" s="43"/>
      <c r="I3" s="43"/>
      <c r="J3" s="43"/>
      <c r="K3" s="96"/>
    </row>
    <row r="4" spans="1:11">
      <c r="A4" s="358" t="s">
        <v>170</v>
      </c>
      <c r="B4" s="49">
        <f>IF(ISERROR('SEAP template'!B78+'SEAP template'!C78),0,'SEAP template'!B78+'SEAP template'!C78)</f>
        <v>466.54865636288434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0.2180436206839787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1009.373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1009.373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0.2180436206839787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220.08734354064964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20368.144767472098</v>
      </c>
      <c r="C5" s="17">
        <f>IF(ISERROR('Eigen informatie GS &amp; warmtenet'!B57),0,'Eigen informatie GS &amp; warmtenet'!B57)</f>
        <v>0</v>
      </c>
      <c r="D5" s="30">
        <f>(SUM(HH_hh_gas_kWh,HH_rest_gas_kWh)/1000)*0.902</f>
        <v>88887.556899777206</v>
      </c>
      <c r="E5" s="17">
        <f>B46*B57</f>
        <v>2367.2660156620191</v>
      </c>
      <c r="F5" s="17">
        <f>B51*B62</f>
        <v>3969.5688509490601</v>
      </c>
      <c r="G5" s="18"/>
      <c r="H5" s="17"/>
      <c r="I5" s="17"/>
      <c r="J5" s="17">
        <f>B50*B61+C50*C61</f>
        <v>0</v>
      </c>
      <c r="K5" s="17"/>
      <c r="L5" s="17"/>
      <c r="M5" s="17"/>
      <c r="N5" s="17">
        <f>B48*B59+C48*C59</f>
        <v>2900.2185677923826</v>
      </c>
      <c r="O5" s="17">
        <f>B69*B70*B71</f>
        <v>75.040000000000006</v>
      </c>
      <c r="P5" s="17">
        <f>B77*B78*B79/1000-B77*B78*B79/1000/B80</f>
        <v>190.66666666666669</v>
      </c>
    </row>
    <row r="6" spans="1:16">
      <c r="A6" s="16" t="s">
        <v>620</v>
      </c>
      <c r="B6" s="762">
        <f>kWh_PV_kleiner_dan_10kW</f>
        <v>466.54865636288434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20834.693423834982</v>
      </c>
      <c r="C8" s="21">
        <f>C5</f>
        <v>0</v>
      </c>
      <c r="D8" s="21">
        <f>D5</f>
        <v>88887.556899777206</v>
      </c>
      <c r="E8" s="21">
        <f>E5</f>
        <v>2367.2660156620191</v>
      </c>
      <c r="F8" s="21">
        <f>F5</f>
        <v>3969.5688509490601</v>
      </c>
      <c r="G8" s="21"/>
      <c r="H8" s="21"/>
      <c r="I8" s="21"/>
      <c r="J8" s="21">
        <f>J5</f>
        <v>0</v>
      </c>
      <c r="K8" s="21"/>
      <c r="L8" s="21">
        <f>L5</f>
        <v>0</v>
      </c>
      <c r="M8" s="21">
        <f>M5</f>
        <v>0</v>
      </c>
      <c r="N8" s="21">
        <f>N5</f>
        <v>2900.2185677923826</v>
      </c>
      <c r="O8" s="21">
        <f>O5</f>
        <v>75.040000000000006</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0.2180436206839787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4542.8719899736607</v>
      </c>
      <c r="C12" s="23">
        <f ca="1">C10*C8</f>
        <v>0</v>
      </c>
      <c r="D12" s="23">
        <f>D8*D10</f>
        <v>17955.286493754997</v>
      </c>
      <c r="E12" s="23">
        <f>E10*E8</f>
        <v>537.36938555527831</v>
      </c>
      <c r="F12" s="23">
        <f>F10*F8</f>
        <v>1059.8748832033991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5285</v>
      </c>
      <c r="C28" s="36"/>
      <c r="D28" s="228"/>
    </row>
    <row r="29" spans="1:7" s="15" customFormat="1">
      <c r="A29" s="230" t="s">
        <v>781</v>
      </c>
      <c r="B29" s="37">
        <f>SUM(HH_hh_gas_aantal,HH_rest_gas_aantal)</f>
        <v>4249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4249</v>
      </c>
      <c r="C32" s="167">
        <f>IF(ISERROR(B32/SUM($B$32,$B$34,$B$35,$B$36,$B$38,$B$39)*100),0,B32/SUM($B$32,$B$34,$B$35,$B$36,$B$38,$B$39)*100)</f>
        <v>80.549763033175353</v>
      </c>
      <c r="D32" s="233"/>
      <c r="G32" s="15"/>
    </row>
    <row r="33" spans="1:7">
      <c r="A33" s="171" t="s">
        <v>71</v>
      </c>
      <c r="B33" s="34" t="s">
        <v>110</v>
      </c>
      <c r="C33" s="167"/>
      <c r="D33" s="233"/>
      <c r="G33" s="15"/>
    </row>
    <row r="34" spans="1:7">
      <c r="A34" s="171" t="s">
        <v>72</v>
      </c>
      <c r="B34" s="33">
        <f>IF((($B$28-$B$32-$B$39-$B$77-$B$38)*C20/100)&lt;0,0,($B$28-$B$32-$B$39-$B$77-$B$38)*C20/100)</f>
        <v>44.769642857142856</v>
      </c>
      <c r="C34" s="167">
        <f>IF(ISERROR(B34/SUM($B$32,$B$34,$B$35,$B$36,$B$38,$B$39)*100),0,B34/SUM($B$32,$B$34,$B$35,$B$36,$B$38,$B$39)*100)</f>
        <v>0.84871360866621526</v>
      </c>
      <c r="D34" s="233"/>
      <c r="G34" s="15"/>
    </row>
    <row r="35" spans="1:7">
      <c r="A35" s="171" t="s">
        <v>73</v>
      </c>
      <c r="B35" s="33">
        <f>IF((($B$28-$B$32-$B$39-$B$77-$B$38)*C21/100)&lt;0,0,($B$28-$B$32-$B$39-$B$77-$B$38)*C21/100)</f>
        <v>751.13511904761913</v>
      </c>
      <c r="C35" s="167">
        <f>IF(ISERROR(B35/SUM($B$32,$B$34,$B$35,$B$36,$B$38,$B$39)*100),0,B35/SUM($B$32,$B$34,$B$35,$B$36,$B$38,$B$39)*100)</f>
        <v>14.239528323177614</v>
      </c>
      <c r="D35" s="233"/>
      <c r="G35" s="15"/>
    </row>
    <row r="36" spans="1:7">
      <c r="A36" s="171" t="s">
        <v>74</v>
      </c>
      <c r="B36" s="33">
        <f>IF((($B$28-$B$32-$B$39-$B$77-$B$38)*C22/100)&lt;0,0,($B$28-$B$32-$B$39-$B$77-$B$38)*C22/100)</f>
        <v>39.795238095238098</v>
      </c>
      <c r="C36" s="167">
        <f>IF(ISERROR(B36/SUM($B$32,$B$34,$B$35,$B$36,$B$38,$B$39)*100),0,B36/SUM($B$32,$B$34,$B$35,$B$36,$B$38,$B$39)*100)</f>
        <v>0.75441209659219144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190.29999999999995</v>
      </c>
      <c r="C39" s="167">
        <f>IF(ISERROR(B39/SUM($B$32,$B$34,$B$35,$B$36,$B$38,$B$39)*100),0,B39/SUM($B$32,$B$34,$B$35,$B$36,$B$38,$B$39)*100)</f>
        <v>3.6075829383886244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4249</v>
      </c>
      <c r="C44" s="34" t="s">
        <v>110</v>
      </c>
      <c r="D44" s="174"/>
    </row>
    <row r="45" spans="1:7">
      <c r="A45" s="171" t="s">
        <v>71</v>
      </c>
      <c r="B45" s="33" t="str">
        <f t="shared" si="0"/>
        <v>-</v>
      </c>
      <c r="C45" s="34" t="s">
        <v>110</v>
      </c>
      <c r="D45" s="174"/>
    </row>
    <row r="46" spans="1:7">
      <c r="A46" s="171" t="s">
        <v>72</v>
      </c>
      <c r="B46" s="33">
        <f t="shared" si="0"/>
        <v>44.769642857142856</v>
      </c>
      <c r="C46" s="34" t="s">
        <v>110</v>
      </c>
      <c r="D46" s="174"/>
    </row>
    <row r="47" spans="1:7">
      <c r="A47" s="171" t="s">
        <v>73</v>
      </c>
      <c r="B47" s="33">
        <f t="shared" si="0"/>
        <v>751.13511904761913</v>
      </c>
      <c r="C47" s="34" t="s">
        <v>110</v>
      </c>
      <c r="D47" s="174"/>
    </row>
    <row r="48" spans="1:7">
      <c r="A48" s="171" t="s">
        <v>74</v>
      </c>
      <c r="B48" s="33">
        <f t="shared" si="0"/>
        <v>39.795238095238098</v>
      </c>
      <c r="C48" s="33">
        <f>B48*10</f>
        <v>397.95238095238096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190.29999999999995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11578.708308503556</v>
      </c>
      <c r="C5" s="17">
        <f>IF(ISERROR('Eigen informatie GS &amp; warmtenet'!B58),0,'Eigen informatie GS &amp; warmtenet'!B58)</f>
        <v>0</v>
      </c>
      <c r="D5" s="30">
        <f>SUM(D6:D12)</f>
        <v>17936.409066485328</v>
      </c>
      <c r="E5" s="17">
        <f>SUM(E6:E12)</f>
        <v>246.4753465572179</v>
      </c>
      <c r="F5" s="17">
        <f>SUM(F6:F12)</f>
        <v>2038.7912640113241</v>
      </c>
      <c r="G5" s="18"/>
      <c r="H5" s="17"/>
      <c r="I5" s="17"/>
      <c r="J5" s="17">
        <f>SUM(J6:J12)</f>
        <v>7.4852530336768017E-3</v>
      </c>
      <c r="K5" s="17"/>
      <c r="L5" s="17"/>
      <c r="M5" s="17"/>
      <c r="N5" s="17">
        <f>SUM(N6:N12)</f>
        <v>309.40074181562647</v>
      </c>
      <c r="O5" s="17">
        <f>B38*B39*B40</f>
        <v>0</v>
      </c>
      <c r="P5" s="17">
        <f>B46*B47*B48/1000-B46*B47*B48/1000/B49</f>
        <v>0</v>
      </c>
      <c r="R5" s="32"/>
    </row>
    <row r="6" spans="1:18">
      <c r="A6" s="32" t="s">
        <v>53</v>
      </c>
      <c r="B6" s="37">
        <f>B26</f>
        <v>3509.25200958715</v>
      </c>
      <c r="C6" s="33"/>
      <c r="D6" s="37">
        <f>IF(ISERROR(TER_kantoor_gas_kWh/1000),0,TER_kantoor_gas_kWh/1000)*0.902</f>
        <v>9062.0084282979624</v>
      </c>
      <c r="E6" s="33">
        <f>$C$26*'E Balans VL '!I12/100/3.6*1000000</f>
        <v>2.1994824437159059E-2</v>
      </c>
      <c r="F6" s="33">
        <f>$C$26*('E Balans VL '!L12+'E Balans VL '!N12)/100/3.6*1000000</f>
        <v>527.34251918765437</v>
      </c>
      <c r="G6" s="34"/>
      <c r="H6" s="33"/>
      <c r="I6" s="33"/>
      <c r="J6" s="33">
        <f>$C$26*('E Balans VL '!D12+'E Balans VL '!E12)/100/3.6*1000000</f>
        <v>0</v>
      </c>
      <c r="K6" s="33"/>
      <c r="L6" s="33"/>
      <c r="M6" s="33"/>
      <c r="N6" s="33">
        <f>$C$26*'E Balans VL '!Y12/100/3.6*1000000</f>
        <v>3.3560792434593902</v>
      </c>
      <c r="O6" s="33"/>
      <c r="P6" s="33"/>
      <c r="R6" s="32"/>
    </row>
    <row r="7" spans="1:18">
      <c r="A7" s="32" t="s">
        <v>52</v>
      </c>
      <c r="B7" s="37">
        <f t="shared" ref="B7:B12" si="0">B27</f>
        <v>578.99518357541103</v>
      </c>
      <c r="C7" s="33"/>
      <c r="D7" s="37">
        <f>IF(ISERROR(TER_horeca_gas_kWh/1000),0,TER_horeca_gas_kWh/1000)*0.902</f>
        <v>836.48959394896258</v>
      </c>
      <c r="E7" s="33">
        <f>$C$27*'E Balans VL '!I9/100/3.6*1000000</f>
        <v>8.2911145866129345</v>
      </c>
      <c r="F7" s="33">
        <f>$C$27*('E Balans VL '!L9+'E Balans VL '!N9)/100/3.6*1000000</f>
        <v>73.319886237491133</v>
      </c>
      <c r="G7" s="34"/>
      <c r="H7" s="33"/>
      <c r="I7" s="33"/>
      <c r="J7" s="33">
        <f>$C$27*('E Balans VL '!D9+'E Balans VL '!E9)/100/3.6*1000000</f>
        <v>0</v>
      </c>
      <c r="K7" s="33"/>
      <c r="L7" s="33"/>
      <c r="M7" s="33"/>
      <c r="N7" s="33">
        <f>$C$27*'E Balans VL '!Y9/100/3.6*1000000</f>
        <v>0.16644834952994036</v>
      </c>
      <c r="O7" s="33"/>
      <c r="P7" s="33"/>
      <c r="R7" s="32"/>
    </row>
    <row r="8" spans="1:18">
      <c r="A8" s="6" t="s">
        <v>51</v>
      </c>
      <c r="B8" s="37">
        <f t="shared" si="0"/>
        <v>6299.7784394087703</v>
      </c>
      <c r="C8" s="33"/>
      <c r="D8" s="37">
        <f>IF(ISERROR(TER_handel_gas_kWh/1000),0,TER_handel_gas_kWh/1000)*0.902</f>
        <v>4112.6938774689079</v>
      </c>
      <c r="E8" s="33">
        <f>$C$28*'E Balans VL '!I13/100/3.6*1000000</f>
        <v>228.49218714348322</v>
      </c>
      <c r="F8" s="33">
        <f>$C$28*('E Balans VL '!L13+'E Balans VL '!N13)/100/3.6*1000000</f>
        <v>1213.401116742426</v>
      </c>
      <c r="G8" s="34"/>
      <c r="H8" s="33"/>
      <c r="I8" s="33"/>
      <c r="J8" s="33">
        <f>$C$28*('E Balans VL '!D13+'E Balans VL '!E13)/100/3.6*1000000</f>
        <v>0</v>
      </c>
      <c r="K8" s="33"/>
      <c r="L8" s="33"/>
      <c r="M8" s="33"/>
      <c r="N8" s="33">
        <f>$C$28*'E Balans VL '!Y13/100/3.6*1000000</f>
        <v>8.726642652953652</v>
      </c>
      <c r="O8" s="33"/>
      <c r="P8" s="33"/>
      <c r="R8" s="32"/>
    </row>
    <row r="9" spans="1:18">
      <c r="A9" s="32" t="s">
        <v>50</v>
      </c>
      <c r="B9" s="37">
        <f t="shared" si="0"/>
        <v>177.03569902110502</v>
      </c>
      <c r="C9" s="33"/>
      <c r="D9" s="37">
        <f>IF(ISERROR(TER_gezond_gas_kWh/1000),0,TER_gezond_gas_kWh/1000)*0.902</f>
        <v>609.74616331594382</v>
      </c>
      <c r="E9" s="33">
        <f>$C$29*'E Balans VL '!I10/100/3.6*1000000</f>
        <v>1.108418267047049E-2</v>
      </c>
      <c r="F9" s="33">
        <f>$C$29*('E Balans VL '!L10+'E Balans VL '!N10)/100/3.6*1000000</f>
        <v>26.299192111954891</v>
      </c>
      <c r="G9" s="34"/>
      <c r="H9" s="33"/>
      <c r="I9" s="33"/>
      <c r="J9" s="33">
        <f>$C$29*('E Balans VL '!D10+'E Balans VL '!E10)/100/3.6*1000000</f>
        <v>0</v>
      </c>
      <c r="K9" s="33"/>
      <c r="L9" s="33"/>
      <c r="M9" s="33"/>
      <c r="N9" s="33">
        <f>$C$29*'E Balans VL '!Y10/100/3.6*1000000</f>
        <v>2.7384052749431942</v>
      </c>
      <c r="O9" s="33"/>
      <c r="P9" s="33"/>
      <c r="R9" s="32"/>
    </row>
    <row r="10" spans="1:18">
      <c r="A10" s="32" t="s">
        <v>49</v>
      </c>
      <c r="B10" s="37">
        <f t="shared" si="0"/>
        <v>260.86582405612501</v>
      </c>
      <c r="C10" s="33"/>
      <c r="D10" s="37">
        <f>IF(ISERROR(TER_ander_gas_kWh/1000),0,TER_ander_gas_kWh/1000)*0.902</f>
        <v>929.91775413108553</v>
      </c>
      <c r="E10" s="33">
        <f>$C$30*'E Balans VL '!I14/100/3.6*1000000</f>
        <v>0.31094274050545156</v>
      </c>
      <c r="F10" s="33">
        <f>$C$30*('E Balans VL '!L14+'E Balans VL '!N14)/100/3.6*1000000</f>
        <v>68.25409675674058</v>
      </c>
      <c r="G10" s="34"/>
      <c r="H10" s="33"/>
      <c r="I10" s="33"/>
      <c r="J10" s="33">
        <f>$C$30*('E Balans VL '!D14+'E Balans VL '!E14)/100/3.6*1000000</f>
        <v>5.6623744744632191E-3</v>
      </c>
      <c r="K10" s="33"/>
      <c r="L10" s="33"/>
      <c r="M10" s="33"/>
      <c r="N10" s="33">
        <f>$C$30*'E Balans VL '!Y14/100/3.6*1000000</f>
        <v>221.52087449159799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752.78115285499405</v>
      </c>
      <c r="C12" s="33"/>
      <c r="D12" s="37">
        <f>IF(ISERROR(TER_rest_gas_kWh/1000),0,TER_rest_gas_kWh/1000)*0.902</f>
        <v>2385.5532493224659</v>
      </c>
      <c r="E12" s="33">
        <f>$C$32*'E Balans VL '!I8/100/3.6*1000000</f>
        <v>9.3480230795086587</v>
      </c>
      <c r="F12" s="33">
        <f>$C$32*('E Balans VL '!L8+'E Balans VL '!N8)/100/3.6*1000000</f>
        <v>130.17445297505691</v>
      </c>
      <c r="G12" s="34"/>
      <c r="H12" s="33"/>
      <c r="I12" s="33"/>
      <c r="J12" s="33">
        <f>$C$32*('E Balans VL '!D8+'E Balans VL '!E8)/100/3.6*1000000</f>
        <v>1.8228785592135823E-3</v>
      </c>
      <c r="K12" s="33"/>
      <c r="L12" s="33"/>
      <c r="M12" s="33"/>
      <c r="N12" s="33">
        <f>$C$32*'E Balans VL '!Y8/100/3.6*1000000</f>
        <v>72.892291803142342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11578.708308503556</v>
      </c>
      <c r="C16" s="21">
        <f t="shared" ca="1" si="1"/>
        <v>0</v>
      </c>
      <c r="D16" s="21">
        <f t="shared" ca="1" si="1"/>
        <v>17936.409066485328</v>
      </c>
      <c r="E16" s="21">
        <f t="shared" si="1"/>
        <v>246.4753465572179</v>
      </c>
      <c r="F16" s="21">
        <f t="shared" ca="1" si="1"/>
        <v>2038.7912640113241</v>
      </c>
      <c r="G16" s="21">
        <f t="shared" si="1"/>
        <v>0</v>
      </c>
      <c r="H16" s="21">
        <f t="shared" si="1"/>
        <v>0</v>
      </c>
      <c r="I16" s="21">
        <f t="shared" si="1"/>
        <v>0</v>
      </c>
      <c r="J16" s="21">
        <f t="shared" si="1"/>
        <v>7.4852530336768017E-3</v>
      </c>
      <c r="K16" s="21">
        <f t="shared" si="1"/>
        <v>0</v>
      </c>
      <c r="L16" s="21">
        <f t="shared" ca="1" si="1"/>
        <v>0</v>
      </c>
      <c r="M16" s="21">
        <f t="shared" si="1"/>
        <v>0</v>
      </c>
      <c r="N16" s="21">
        <f t="shared" ca="1" si="1"/>
        <v>309.40074181562647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0.2180436206839787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2524.6634824297821</v>
      </c>
      <c r="C20" s="23">
        <f t="shared" ref="C20:P20" ca="1" si="2">C16*C18</f>
        <v>0</v>
      </c>
      <c r="D20" s="23">
        <f t="shared" ca="1" si="2"/>
        <v>3623.1546314300367</v>
      </c>
      <c r="E20" s="23">
        <f t="shared" si="2"/>
        <v>55.949903668488467</v>
      </c>
      <c r="F20" s="23">
        <f t="shared" ca="1" si="2"/>
        <v>544.35726749102355</v>
      </c>
      <c r="G20" s="23">
        <f t="shared" si="2"/>
        <v>0</v>
      </c>
      <c r="H20" s="23">
        <f t="shared" si="2"/>
        <v>0</v>
      </c>
      <c r="I20" s="23">
        <f t="shared" si="2"/>
        <v>0</v>
      </c>
      <c r="J20" s="23">
        <f t="shared" si="2"/>
        <v>2.6497795739215874E-3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3509.25200958715</v>
      </c>
      <c r="C26" s="39">
        <f>IF(ISERROR(B26*3.6/1000000/'E Balans VL '!Z12*100),0,B26*3.6/1000000/'E Balans VL '!Z12*100)</f>
        <v>7.4180028378452126E-2</v>
      </c>
      <c r="D26" s="237" t="s">
        <v>744</v>
      </c>
      <c r="F26" s="6"/>
    </row>
    <row r="27" spans="1:18">
      <c r="A27" s="231" t="s">
        <v>52</v>
      </c>
      <c r="B27" s="33">
        <f>IF(ISERROR(TER_horeca_ele_kWh/1000),0,TER_horeca_ele_kWh/1000)</f>
        <v>578.99518357541103</v>
      </c>
      <c r="C27" s="39">
        <f>IF(ISERROR(B27*3.6/1000000/'E Balans VL '!Z9*100),0,B27*3.6/1000000/'E Balans VL '!Z9*100)</f>
        <v>4.5641974518727618E-2</v>
      </c>
      <c r="D27" s="237" t="s">
        <v>744</v>
      </c>
      <c r="F27" s="6"/>
    </row>
    <row r="28" spans="1:18">
      <c r="A28" s="171" t="s">
        <v>51</v>
      </c>
      <c r="B28" s="33">
        <f>IF(ISERROR(TER_handel_ele_kWh/1000),0,TER_handel_ele_kWh/1000)</f>
        <v>6299.7784394087703</v>
      </c>
      <c r="C28" s="39">
        <f>IF(ISERROR(B28*3.6/1000000/'E Balans VL '!Z13*100),0,B28*3.6/1000000/'E Balans VL '!Z13*100)</f>
        <v>0.18284502426880903</v>
      </c>
      <c r="D28" s="237" t="s">
        <v>744</v>
      </c>
      <c r="F28" s="6"/>
    </row>
    <row r="29" spans="1:18">
      <c r="A29" s="231" t="s">
        <v>50</v>
      </c>
      <c r="B29" s="33">
        <f>IF(ISERROR(TER_gezond_ele_kWh/1000),0,TER_gezond_ele_kWh/1000)</f>
        <v>177.03569902110502</v>
      </c>
      <c r="C29" s="39">
        <f>IF(ISERROR(B29*3.6/1000000/'E Balans VL '!Z10*100),0,B29*3.6/1000000/'E Balans VL '!Z10*100)</f>
        <v>1.8644766109833923E-2</v>
      </c>
      <c r="D29" s="237" t="s">
        <v>744</v>
      </c>
      <c r="F29" s="6"/>
    </row>
    <row r="30" spans="1:18">
      <c r="A30" s="231" t="s">
        <v>49</v>
      </c>
      <c r="B30" s="33">
        <f>IF(ISERROR(TER_ander_ele_kWh/1000),0,TER_ander_ele_kWh/1000)</f>
        <v>260.86582405612501</v>
      </c>
      <c r="C30" s="39">
        <f>IF(ISERROR(B30*3.6/1000000/'E Balans VL '!Z14*100),0,B30*3.6/1000000/'E Balans VL '!Z14*100)</f>
        <v>1.9241519842154921E-2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752.78115285499405</v>
      </c>
      <c r="C32" s="39">
        <f>IF(ISERROR(B32*3.6/1000000/'E Balans VL '!Z8*100),0,B32*3.6/1000000/'E Balans VL '!Z8*100)</f>
        <v>6.1943896725890684E-3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374.909697319489</v>
      </c>
      <c r="C5" s="17">
        <f>IF(ISERROR('Eigen informatie GS &amp; warmtenet'!B59),0,'Eigen informatie GS &amp; warmtenet'!B59)</f>
        <v>0</v>
      </c>
      <c r="D5" s="30">
        <f>SUM(D6:D15)</f>
        <v>659.93022405571674</v>
      </c>
      <c r="E5" s="17">
        <f>SUM(E6:E15)</f>
        <v>51.893659524534577</v>
      </c>
      <c r="F5" s="17">
        <f>SUM(F6:F15)</f>
        <v>155.24047598406284</v>
      </c>
      <c r="G5" s="18"/>
      <c r="H5" s="17"/>
      <c r="I5" s="17"/>
      <c r="J5" s="17">
        <f>SUM(J6:J15)</f>
        <v>0.42864797734271159</v>
      </c>
      <c r="K5" s="17"/>
      <c r="L5" s="17"/>
      <c r="M5" s="17"/>
      <c r="N5" s="17">
        <f>SUM(N6:N15)</f>
        <v>21.983888741502543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99.76</v>
      </c>
      <c r="C8" s="33"/>
      <c r="D8" s="37">
        <f>IF( ISERROR(IND_metaal_Gas_kWH/1000),0,IND_metaal_Gas_kWH/1000)*0.902</f>
        <v>0</v>
      </c>
      <c r="E8" s="33">
        <f>C30*'E Balans VL '!I18/100/3.6*1000000</f>
        <v>0.91719685087571712</v>
      </c>
      <c r="F8" s="33">
        <f>C30*'E Balans VL '!L18/100/3.6*1000000+C30*'E Balans VL '!N18/100/3.6*1000000</f>
        <v>9.3541666533980692</v>
      </c>
      <c r="G8" s="34"/>
      <c r="H8" s="33"/>
      <c r="I8" s="33"/>
      <c r="J8" s="40">
        <f>C30*'E Balans VL '!D18/100/3.6*1000000+C30*'E Balans VL '!E18/100/3.6*1000000</f>
        <v>0</v>
      </c>
      <c r="K8" s="33"/>
      <c r="L8" s="33"/>
      <c r="M8" s="33"/>
      <c r="N8" s="33">
        <f>C30*'E Balans VL '!Y18/100/3.6*1000000</f>
        <v>1.423241260342442</v>
      </c>
      <c r="O8" s="33"/>
      <c r="P8" s="33"/>
      <c r="R8" s="32"/>
    </row>
    <row r="9" spans="1:18">
      <c r="A9" s="6" t="s">
        <v>32</v>
      </c>
      <c r="B9" s="37">
        <f t="shared" si="0"/>
        <v>151.742989449839</v>
      </c>
      <c r="C9" s="33"/>
      <c r="D9" s="37">
        <f>IF( ISERROR(IND_andere_gas_kWh/1000),0,IND_andere_gas_kWh/1000)*0.902</f>
        <v>329.92125919144843</v>
      </c>
      <c r="E9" s="33">
        <f>C31*'E Balans VL '!I19/100/3.6*1000000</f>
        <v>44.357429903759922</v>
      </c>
      <c r="F9" s="33">
        <f>C31*'E Balans VL '!L19/100/3.6*1000000+C31*'E Balans VL '!N19/100/3.6*1000000</f>
        <v>121.93697791185551</v>
      </c>
      <c r="G9" s="34"/>
      <c r="H9" s="33"/>
      <c r="I9" s="33"/>
      <c r="J9" s="40">
        <f>C31*'E Balans VL '!D19/100/3.6*1000000+C31*'E Balans VL '!E19/100/3.6*1000000</f>
        <v>0</v>
      </c>
      <c r="K9" s="33"/>
      <c r="L9" s="33"/>
      <c r="M9" s="33"/>
      <c r="N9" s="33">
        <f>C31*'E Balans VL '!Y19/100/3.6*1000000</f>
        <v>11.902513999840835</v>
      </c>
      <c r="O9" s="33"/>
      <c r="P9" s="33"/>
      <c r="R9" s="32"/>
    </row>
    <row r="10" spans="1:18">
      <c r="A10" s="6" t="s">
        <v>40</v>
      </c>
      <c r="B10" s="37">
        <f t="shared" si="0"/>
        <v>3.6720000000000002</v>
      </c>
      <c r="C10" s="33"/>
      <c r="D10" s="37">
        <f>IF( ISERROR(IND_voed_gas_kWh/1000),0,IND_voed_gas_kWh/1000)*0.902</f>
        <v>0</v>
      </c>
      <c r="E10" s="33">
        <f>C32*'E Balans VL '!I20/100/3.6*1000000</f>
        <v>7.7681729350343306E-3</v>
      </c>
      <c r="F10" s="33">
        <f>C32*'E Balans VL '!L20/100/3.6*1000000+C32*'E Balans VL '!N20/100/3.6*1000000</f>
        <v>0.23346951083800838</v>
      </c>
      <c r="G10" s="34"/>
      <c r="H10" s="33"/>
      <c r="I10" s="33"/>
      <c r="J10" s="40">
        <f>C32*'E Balans VL '!D20/100/3.6*1000000+C32*'E Balans VL '!E20/100/3.6*1000000</f>
        <v>0</v>
      </c>
      <c r="K10" s="33"/>
      <c r="L10" s="33"/>
      <c r="M10" s="33"/>
      <c r="N10" s="33">
        <f>C32*'E Balans VL '!Y20/100/3.6*1000000</f>
        <v>0.25340423618141594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119.73470786964999</v>
      </c>
      <c r="C15" s="33"/>
      <c r="D15" s="37">
        <f>IF( ISERROR(IND_rest_gas_kWh/1000),0,IND_rest_gas_kWh/1000)*0.902</f>
        <v>330.00896486426836</v>
      </c>
      <c r="E15" s="33">
        <f>C37*'E Balans VL '!I15/100/3.6*1000000</f>
        <v>6.6112645969638972</v>
      </c>
      <c r="F15" s="33">
        <f>C37*'E Balans VL '!L15/100/3.6*1000000+C37*'E Balans VL '!N15/100/3.6*1000000</f>
        <v>23.715861907971263</v>
      </c>
      <c r="G15" s="34"/>
      <c r="H15" s="33"/>
      <c r="I15" s="33"/>
      <c r="J15" s="40">
        <f>C37*'E Balans VL '!D15/100/3.6*1000000+C37*'E Balans VL '!E15/100/3.6*1000000</f>
        <v>0.42864797734271159</v>
      </c>
      <c r="K15" s="33"/>
      <c r="L15" s="33"/>
      <c r="M15" s="33"/>
      <c r="N15" s="33">
        <f>C37*'E Balans VL '!Y15/100/3.6*1000000</f>
        <v>8.404729245137851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374.909697319489</v>
      </c>
      <c r="C18" s="21">
        <f>C5+C16</f>
        <v>0</v>
      </c>
      <c r="D18" s="21">
        <f>MAX((D5+D16),0)</f>
        <v>659.93022405571674</v>
      </c>
      <c r="E18" s="21">
        <f>MAX((E5+E16),0)</f>
        <v>51.893659524534577</v>
      </c>
      <c r="F18" s="21">
        <f>MAX((F5+F16),0)</f>
        <v>155.24047598406284</v>
      </c>
      <c r="G18" s="21"/>
      <c r="H18" s="21"/>
      <c r="I18" s="21"/>
      <c r="J18" s="21">
        <f>MAX((J5+J16),0)</f>
        <v>0.42864797734271159</v>
      </c>
      <c r="K18" s="21"/>
      <c r="L18" s="21">
        <f>MAX((L5+L16),0)</f>
        <v>0</v>
      </c>
      <c r="M18" s="21"/>
      <c r="N18" s="21">
        <f>MAX((N5+N16),0)</f>
        <v>21.983888741502543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0.2180436206839787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81.746667833075932</v>
      </c>
      <c r="C22" s="23">
        <f ca="1">C18*C20</f>
        <v>0</v>
      </c>
      <c r="D22" s="23">
        <f>D18*D20</f>
        <v>133.30590525925479</v>
      </c>
      <c r="E22" s="23">
        <f>E18*E20</f>
        <v>11.779860712069349</v>
      </c>
      <c r="F22" s="23">
        <f>F18*F20</f>
        <v>41.449207087744782</v>
      </c>
      <c r="G22" s="23"/>
      <c r="H22" s="23"/>
      <c r="I22" s="23"/>
      <c r="J22" s="23">
        <f>J18*J20</f>
        <v>0.15174138397931991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99.76</v>
      </c>
      <c r="C30" s="39">
        <f>IF(ISERROR(B30*3.6/1000000/'E Balans VL '!Z18*100),0,B30*3.6/1000000/'E Balans VL '!Z18*100)</f>
        <v>5.653655001370648E-3</v>
      </c>
      <c r="D30" s="237" t="s">
        <v>744</v>
      </c>
    </row>
    <row r="31" spans="1:18">
      <c r="A31" s="6" t="s">
        <v>32</v>
      </c>
      <c r="B31" s="37">
        <f>IF( ISERROR(IND_ander_ele_kWh/1000),0,IND_ander_ele_kWh/1000)</f>
        <v>151.742989449839</v>
      </c>
      <c r="C31" s="39">
        <f>IF(ISERROR(B31*3.6/1000000/'E Balans VL '!Z19*100),0,B31*3.6/1000000/'E Balans VL '!Z19*100)</f>
        <v>6.8824301546337287E-3</v>
      </c>
      <c r="D31" s="237" t="s">
        <v>744</v>
      </c>
    </row>
    <row r="32" spans="1:18">
      <c r="A32" s="171" t="s">
        <v>40</v>
      </c>
      <c r="B32" s="37">
        <f>IF( ISERROR(IND_voed_ele_kWh/1000),0,IND_voed_ele_kWh/1000)</f>
        <v>3.6720000000000002</v>
      </c>
      <c r="C32" s="39">
        <f>IF(ISERROR(B32*3.6/1000000/'E Balans VL '!Z20*100),0,B32*3.6/1000000/'E Balans VL '!Z20*100)</f>
        <v>1.1359162947250486E-4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119.73470786964999</v>
      </c>
      <c r="C37" s="39">
        <f>IF(ISERROR(B37*3.6/1000000/'E Balans VL '!Z15*100),0,B37*3.6/1000000/'E Balans VL '!Z15*100)</f>
        <v>9.4904460807323241E-4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1.2832170980224</v>
      </c>
      <c r="C5" s="17">
        <f>'Eigen informatie GS &amp; warmtenet'!B60</f>
        <v>0</v>
      </c>
      <c r="D5" s="30">
        <f>IF(ISERROR(SUM(LB_lb_gas_kWh,LB_rest_gas_kWh)/1000),0,SUM(LB_lb_gas_kWh,LB_rest_gas_kWh)/1000)*0.902</f>
        <v>0</v>
      </c>
      <c r="E5" s="17">
        <f>B17*'E Balans VL '!I25/3.6*1000000/100</f>
        <v>3.7717669908278427E-2</v>
      </c>
      <c r="F5" s="17">
        <f>B17*('E Balans VL '!L25/3.6*1000000+'E Balans VL '!N25/3.6*1000000)/100</f>
        <v>5.3458130889489111</v>
      </c>
      <c r="G5" s="18"/>
      <c r="H5" s="17"/>
      <c r="I5" s="17"/>
      <c r="J5" s="17">
        <f>('E Balans VL '!D25+'E Balans VL '!E25)/3.6*1000000*landbouw!B17/100</f>
        <v>0.18591060010081928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1.2832170980224</v>
      </c>
      <c r="C8" s="21">
        <f>C5+C6</f>
        <v>0</v>
      </c>
      <c r="D8" s="21">
        <f>MAX((D5+D6),0)</f>
        <v>0</v>
      </c>
      <c r="E8" s="21">
        <f>MAX((E5+E6),0)</f>
        <v>3.7717669908278427E-2</v>
      </c>
      <c r="F8" s="21">
        <f>MAX((F5+F6),0)</f>
        <v>5.3458130889489111</v>
      </c>
      <c r="G8" s="21"/>
      <c r="H8" s="21"/>
      <c r="I8" s="21"/>
      <c r="J8" s="21">
        <f>MAX((J5+J6),0)</f>
        <v>0.18591060010081928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0.2180436206839787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0.27979730217639209</v>
      </c>
      <c r="C12" s="23">
        <f ca="1">C8*C10</f>
        <v>0</v>
      </c>
      <c r="D12" s="23">
        <f>D8*D10</f>
        <v>0</v>
      </c>
      <c r="E12" s="23">
        <f>E8*E10</f>
        <v>8.5619110691792025E-3</v>
      </c>
      <c r="F12" s="23">
        <f>F8*F10</f>
        <v>1.4273320947493593</v>
      </c>
      <c r="G12" s="23"/>
      <c r="H12" s="23"/>
      <c r="I12" s="23"/>
      <c r="J12" s="23">
        <f>J8*J10</f>
        <v>6.5812352435690016E-2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1.8209253218024404E-4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0.46660148373111615</v>
      </c>
      <c r="C26" s="247">
        <f>B26*'GWP N2O_CH4'!B5</f>
        <v>9.7986311583534391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4.1004569282157316E-2</v>
      </c>
      <c r="C27" s="247">
        <f>B27*'GWP N2O_CH4'!B5</f>
        <v>0.86109595492530366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8.8440394630149004E-3</v>
      </c>
      <c r="C28" s="247">
        <f>B28*'GWP N2O_CH4'!B4</f>
        <v>2.741652233534619</v>
      </c>
      <c r="D28" s="50"/>
    </row>
    <row r="29" spans="1:4">
      <c r="A29" s="41" t="s">
        <v>276</v>
      </c>
      <c r="B29" s="247">
        <f>B34*'ha_N2O bodem landbouw'!B4</f>
        <v>0.43689404185404274</v>
      </c>
      <c r="C29" s="247">
        <f>B29*'GWP N2O_CH4'!B4</f>
        <v>135.43715297475325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9.96977147472444E-5</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2.0733128843738351E-4</v>
      </c>
      <c r="C5" s="437" t="s">
        <v>210</v>
      </c>
      <c r="D5" s="422">
        <f>SUM(D6:D11)</f>
        <v>5.3253414918511465E-4</v>
      </c>
      <c r="E5" s="422">
        <f>SUM(E6:E11)</f>
        <v>1.066107994196247E-3</v>
      </c>
      <c r="F5" s="435" t="s">
        <v>210</v>
      </c>
      <c r="G5" s="422">
        <f>SUM(G6:G11)</f>
        <v>0.41331630609347897</v>
      </c>
      <c r="H5" s="422">
        <f>SUM(H6:H11)</f>
        <v>9.3047449768676641E-2</v>
      </c>
      <c r="I5" s="437" t="s">
        <v>210</v>
      </c>
      <c r="J5" s="437" t="s">
        <v>210</v>
      </c>
      <c r="K5" s="437" t="s">
        <v>210</v>
      </c>
      <c r="L5" s="437" t="s">
        <v>210</v>
      </c>
      <c r="M5" s="422">
        <f>SUM(M6:M11)</f>
        <v>2.6887538393883754E-2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4.7753294189578096E-5</v>
      </c>
      <c r="C6" s="423"/>
      <c r="D6" s="865">
        <f>vkm_GW_PW*SUMIFS(TableVerdeelsleutelVkm[CNG],TableVerdeelsleutelVkm[Voertuigtype],"Lichte voertuigen")*SUMIFS(TableECFTransport[EnergieConsumptieFactor (PJ per km)],TableECFTransport[Index],CONCATENATE($A6,"_CNG_CNG"))</f>
        <v>1.1834432285073012E-4</v>
      </c>
      <c r="E6" s="865">
        <f>vkm_GW_PW*SUMIFS(TableVerdeelsleutelVkm[LPG],TableVerdeelsleutelVkm[Voertuigtype],"Lichte voertuigen")*SUMIFS(TableECFTransport[EnergieConsumptieFactor (PJ per km)],TableECFTransport[Index],CONCATENATE($A6,"_LPG_LPG"))</f>
        <v>2.0316765012224971E-4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6.2253518389562959E-2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2.0107194826307191E-2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4.2291626482340999E-3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4.7528687143962014E-3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7.9506848238250294E-8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2.7768899731591827E-4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1.1054138117993501E-5</v>
      </c>
      <c r="C8" s="423"/>
      <c r="D8" s="425">
        <f>vkm_NGW_PW*SUMIFS(TableVerdeelsleutelVkm[CNG],TableVerdeelsleutelVkm[Voertuigtype],"Lichte voertuigen")*SUMIFS(TableECFTransport[EnergieConsumptieFactor (PJ per km)],TableECFTransport[Index],CONCATENATE($A8,"_CNG_CNG"))</f>
        <v>4.6303245780809639E-5</v>
      </c>
      <c r="E8" s="425">
        <f>vkm_NGW_PW*SUMIFS(TableVerdeelsleutelVkm[LPG],TableVerdeelsleutelVkm[Voertuigtype],"Lichte voertuigen")*SUMIFS(TableECFTransport[EnergieConsumptieFactor (PJ per km)],TableECFTransport[Index],CONCATENATE($A8,"_LPG_LPG"))</f>
        <v>7.5489288893901594E-5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2.1757804720842003E-2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7.6940812052850097E-3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1.4977305877307055E-3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9.7708525206403304E-5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2.0134738941650354E-9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5.7086860709970219E-6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1.4852385612981191E-4</v>
      </c>
      <c r="C10" s="423"/>
      <c r="D10" s="425">
        <f>vkm_SW_PW*SUMIFS(TableVerdeelsleutelVkm[CNG],TableVerdeelsleutelVkm[Voertuigtype],"Lichte voertuigen")*SUMIFS(TableECFTransport[EnergieConsumptieFactor (PJ per km)],TableECFTransport[Index],CONCATENATE($A10,"_CNG_CNG"))</f>
        <v>3.6788658055357488E-4</v>
      </c>
      <c r="E10" s="425">
        <f>vkm_SW_PW*SUMIFS(TableVerdeelsleutelVkm[LPG],TableVerdeelsleutelVkm[Voertuigtype],"Lichte voertuigen")*SUMIFS(TableECFTransport[EnergieConsumptieFactor (PJ per km)],TableECFTransport[Index],CONCATENATE($A10,"_LPG_LPG"))</f>
        <v>7.8745105518009562E-4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0.21586288234912915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6.5244157135497707E-2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1.4532723851313521E-2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0.10859152339434223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1.9350812646051421E-6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6.3445236232185127E-3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57.592024565939866</v>
      </c>
      <c r="C14" s="21"/>
      <c r="D14" s="21">
        <f t="shared" ref="D14:M14" si="0">((D5)*10^9/3600)+D12</f>
        <v>147.92615255142073</v>
      </c>
      <c r="E14" s="21">
        <f t="shared" si="0"/>
        <v>296.14110949895752</v>
      </c>
      <c r="F14" s="21"/>
      <c r="G14" s="21">
        <f t="shared" si="0"/>
        <v>114810.08502596639</v>
      </c>
      <c r="H14" s="21">
        <f t="shared" si="0"/>
        <v>25846.513824632399</v>
      </c>
      <c r="I14" s="21"/>
      <c r="J14" s="21"/>
      <c r="K14" s="21"/>
      <c r="L14" s="21"/>
      <c r="M14" s="21">
        <f t="shared" si="0"/>
        <v>7468.7606649677091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0.2180436206839787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12.557573558878175</v>
      </c>
      <c r="C18" s="23"/>
      <c r="D18" s="23">
        <f t="shared" ref="D18:M18" si="1">D14*D16</f>
        <v>29.881082815386989</v>
      </c>
      <c r="E18" s="23">
        <f t="shared" si="1"/>
        <v>67.224031856263366</v>
      </c>
      <c r="F18" s="23"/>
      <c r="G18" s="23">
        <f t="shared" si="1"/>
        <v>30654.292701933027</v>
      </c>
      <c r="H18" s="23">
        <f t="shared" si="1"/>
        <v>6435.7819423334677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5.7220691858503982E-3</v>
      </c>
      <c r="H50" s="319">
        <f t="shared" si="2"/>
        <v>0</v>
      </c>
      <c r="I50" s="319">
        <f t="shared" si="2"/>
        <v>0</v>
      </c>
      <c r="J50" s="319">
        <f t="shared" si="2"/>
        <v>0</v>
      </c>
      <c r="K50" s="319">
        <f t="shared" si="2"/>
        <v>0</v>
      </c>
      <c r="L50" s="319">
        <f t="shared" si="2"/>
        <v>0</v>
      </c>
      <c r="M50" s="319">
        <f t="shared" si="2"/>
        <v>3.2496371990868881E-4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5.7220691858503982E-3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3.2496371990868881E-4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1589.4636627362217</v>
      </c>
      <c r="H54" s="21">
        <f t="shared" si="3"/>
        <v>0</v>
      </c>
      <c r="I54" s="21">
        <f t="shared" si="3"/>
        <v>0</v>
      </c>
      <c r="J54" s="21">
        <f t="shared" si="3"/>
        <v>0</v>
      </c>
      <c r="K54" s="21">
        <f t="shared" si="3"/>
        <v>0</v>
      </c>
      <c r="L54" s="21">
        <f t="shared" si="3"/>
        <v>0</v>
      </c>
      <c r="M54" s="21">
        <f t="shared" si="3"/>
        <v>90.267699974635775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0.2180436206839787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424.38679795057124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12588.081308503555</v>
      </c>
      <c r="D10" s="979">
        <f ca="1">tertiair!C16</f>
        <v>0</v>
      </c>
      <c r="E10" s="979">
        <f ca="1">tertiair!D16</f>
        <v>17936.409066485328</v>
      </c>
      <c r="F10" s="979">
        <f>tertiair!E16</f>
        <v>246.4753465572179</v>
      </c>
      <c r="G10" s="979">
        <f ca="1">tertiair!F16</f>
        <v>2038.7912640113241</v>
      </c>
      <c r="H10" s="979">
        <f>tertiair!G16</f>
        <v>0</v>
      </c>
      <c r="I10" s="979">
        <f>tertiair!H16</f>
        <v>0</v>
      </c>
      <c r="J10" s="979">
        <f>tertiair!I16</f>
        <v>0</v>
      </c>
      <c r="K10" s="979">
        <f>tertiair!J16</f>
        <v>7.4852530336768017E-3</v>
      </c>
      <c r="L10" s="979">
        <f>tertiair!K16</f>
        <v>0</v>
      </c>
      <c r="M10" s="979">
        <f ca="1">tertiair!L16</f>
        <v>0</v>
      </c>
      <c r="N10" s="979">
        <f>tertiair!M16</f>
        <v>0</v>
      </c>
      <c r="O10" s="979">
        <f ca="1">tertiair!N16</f>
        <v>309.40074181562647</v>
      </c>
      <c r="P10" s="979">
        <f>tertiair!O16</f>
        <v>0</v>
      </c>
      <c r="Q10" s="980">
        <f>tertiair!P16</f>
        <v>0</v>
      </c>
      <c r="R10" s="674">
        <f ca="1">SUM(C10:Q10)</f>
        <v>33119.165212626081</v>
      </c>
      <c r="S10" s="67"/>
    </row>
    <row r="11" spans="1:19" s="447" customFormat="1">
      <c r="A11" s="783" t="s">
        <v>224</v>
      </c>
      <c r="B11" s="788"/>
      <c r="C11" s="979">
        <f>huishoudens!B8</f>
        <v>20834.693423834982</v>
      </c>
      <c r="D11" s="979">
        <f>huishoudens!C8</f>
        <v>0</v>
      </c>
      <c r="E11" s="979">
        <f>huishoudens!D8</f>
        <v>88887.556899777206</v>
      </c>
      <c r="F11" s="979">
        <f>huishoudens!E8</f>
        <v>2367.2660156620191</v>
      </c>
      <c r="G11" s="979">
        <f>huishoudens!F8</f>
        <v>3969.5688509490601</v>
      </c>
      <c r="H11" s="979">
        <f>huishoudens!G8</f>
        <v>0</v>
      </c>
      <c r="I11" s="979">
        <f>huishoudens!H8</f>
        <v>0</v>
      </c>
      <c r="J11" s="979">
        <f>huishoudens!I8</f>
        <v>0</v>
      </c>
      <c r="K11" s="979">
        <f>huishoudens!J8</f>
        <v>0</v>
      </c>
      <c r="L11" s="979">
        <f>huishoudens!K8</f>
        <v>0</v>
      </c>
      <c r="M11" s="979">
        <f>huishoudens!L8</f>
        <v>0</v>
      </c>
      <c r="N11" s="979">
        <f>huishoudens!M8</f>
        <v>0</v>
      </c>
      <c r="O11" s="979">
        <f>huishoudens!N8</f>
        <v>2900.2185677923826</v>
      </c>
      <c r="P11" s="979">
        <f>huishoudens!O8</f>
        <v>75.040000000000006</v>
      </c>
      <c r="Q11" s="980">
        <f>huishoudens!P8</f>
        <v>190.66666666666669</v>
      </c>
      <c r="R11" s="674">
        <f>SUM(C11:Q11)</f>
        <v>119225.01042468232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374.909697319489</v>
      </c>
      <c r="D13" s="979">
        <f>industrie!C18</f>
        <v>0</v>
      </c>
      <c r="E13" s="979">
        <f>industrie!D18</f>
        <v>659.93022405571674</v>
      </c>
      <c r="F13" s="979">
        <f>industrie!E18</f>
        <v>51.893659524534577</v>
      </c>
      <c r="G13" s="979">
        <f>industrie!F18</f>
        <v>155.24047598406284</v>
      </c>
      <c r="H13" s="979">
        <f>industrie!G18</f>
        <v>0</v>
      </c>
      <c r="I13" s="979">
        <f>industrie!H18</f>
        <v>0</v>
      </c>
      <c r="J13" s="979">
        <f>industrie!I18</f>
        <v>0</v>
      </c>
      <c r="K13" s="979">
        <f>industrie!J18</f>
        <v>0.42864797734271159</v>
      </c>
      <c r="L13" s="979">
        <f>industrie!K18</f>
        <v>0</v>
      </c>
      <c r="M13" s="979">
        <f>industrie!L18</f>
        <v>0</v>
      </c>
      <c r="N13" s="979">
        <f>industrie!M18</f>
        <v>0</v>
      </c>
      <c r="O13" s="979">
        <f>industrie!N18</f>
        <v>21.983888741502543</v>
      </c>
      <c r="P13" s="979">
        <f>industrie!O18</f>
        <v>0</v>
      </c>
      <c r="Q13" s="980">
        <f>industrie!P18</f>
        <v>0</v>
      </c>
      <c r="R13" s="674">
        <f>SUM(C13:Q13)</f>
        <v>1264.3865936026484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33797.684429658031</v>
      </c>
      <c r="D16" s="706">
        <f t="shared" ref="D16:R16" ca="1" si="0">SUM(D9:D15)</f>
        <v>0</v>
      </c>
      <c r="E16" s="706">
        <f t="shared" ca="1" si="0"/>
        <v>107483.89619031825</v>
      </c>
      <c r="F16" s="706">
        <f t="shared" si="0"/>
        <v>2665.6350217437716</v>
      </c>
      <c r="G16" s="706">
        <f t="shared" ca="1" si="0"/>
        <v>6163.6005909444466</v>
      </c>
      <c r="H16" s="706">
        <f t="shared" si="0"/>
        <v>0</v>
      </c>
      <c r="I16" s="706">
        <f t="shared" si="0"/>
        <v>0</v>
      </c>
      <c r="J16" s="706">
        <f t="shared" si="0"/>
        <v>0</v>
      </c>
      <c r="K16" s="706">
        <f t="shared" si="0"/>
        <v>0.4361332303763884</v>
      </c>
      <c r="L16" s="706">
        <f t="shared" si="0"/>
        <v>0</v>
      </c>
      <c r="M16" s="706">
        <f t="shared" ca="1" si="0"/>
        <v>0</v>
      </c>
      <c r="N16" s="706">
        <f t="shared" si="0"/>
        <v>0</v>
      </c>
      <c r="O16" s="706">
        <f t="shared" ca="1" si="0"/>
        <v>3231.6031983495118</v>
      </c>
      <c r="P16" s="706">
        <f t="shared" si="0"/>
        <v>75.040000000000006</v>
      </c>
      <c r="Q16" s="706">
        <f t="shared" si="0"/>
        <v>190.66666666666669</v>
      </c>
      <c r="R16" s="706">
        <f t="shared" ca="1" si="0"/>
        <v>153608.56223091105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1589.4636627362217</v>
      </c>
      <c r="I19" s="979">
        <f>transport!H54</f>
        <v>0</v>
      </c>
      <c r="J19" s="979">
        <f>transport!I54</f>
        <v>0</v>
      </c>
      <c r="K19" s="979">
        <f>transport!J54</f>
        <v>0</v>
      </c>
      <c r="L19" s="979">
        <f>transport!K54</f>
        <v>0</v>
      </c>
      <c r="M19" s="979">
        <f>transport!L54</f>
        <v>0</v>
      </c>
      <c r="N19" s="979">
        <f>transport!M54</f>
        <v>90.267699974635775</v>
      </c>
      <c r="O19" s="979">
        <f>transport!N54</f>
        <v>0</v>
      </c>
      <c r="P19" s="979">
        <f>transport!O54</f>
        <v>0</v>
      </c>
      <c r="Q19" s="980">
        <f>transport!P54</f>
        <v>0</v>
      </c>
      <c r="R19" s="674">
        <f>SUM(C19:Q19)</f>
        <v>1679.7313627108574</v>
      </c>
      <c r="S19" s="67"/>
    </row>
    <row r="20" spans="1:19" s="447" customFormat="1">
      <c r="A20" s="783" t="s">
        <v>306</v>
      </c>
      <c r="B20" s="788"/>
      <c r="C20" s="979">
        <f>transport!B14</f>
        <v>57.592024565939866</v>
      </c>
      <c r="D20" s="979">
        <f>transport!C14</f>
        <v>0</v>
      </c>
      <c r="E20" s="979">
        <f>transport!D14</f>
        <v>147.92615255142073</v>
      </c>
      <c r="F20" s="979">
        <f>transport!E14</f>
        <v>296.14110949895752</v>
      </c>
      <c r="G20" s="979">
        <f>transport!F14</f>
        <v>0</v>
      </c>
      <c r="H20" s="979">
        <f>transport!G14</f>
        <v>114810.08502596639</v>
      </c>
      <c r="I20" s="979">
        <f>transport!H14</f>
        <v>25846.513824632399</v>
      </c>
      <c r="J20" s="979">
        <f>transport!I14</f>
        <v>0</v>
      </c>
      <c r="K20" s="979">
        <f>transport!J14</f>
        <v>0</v>
      </c>
      <c r="L20" s="979">
        <f>transport!K14</f>
        <v>0</v>
      </c>
      <c r="M20" s="979">
        <f>transport!L14</f>
        <v>0</v>
      </c>
      <c r="N20" s="979">
        <f>transport!M14</f>
        <v>7468.7606649677091</v>
      </c>
      <c r="O20" s="979">
        <f>transport!N14</f>
        <v>0</v>
      </c>
      <c r="P20" s="979">
        <f>transport!O14</f>
        <v>0</v>
      </c>
      <c r="Q20" s="980">
        <f>transport!P14</f>
        <v>0</v>
      </c>
      <c r="R20" s="674">
        <f>SUM(C20:Q20)</f>
        <v>148627.01880218281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57.592024565939866</v>
      </c>
      <c r="D22" s="786">
        <f t="shared" ref="D22:R22" si="1">SUM(D18:D21)</f>
        <v>0</v>
      </c>
      <c r="E22" s="786">
        <f t="shared" si="1"/>
        <v>147.92615255142073</v>
      </c>
      <c r="F22" s="786">
        <f t="shared" si="1"/>
        <v>296.14110949895752</v>
      </c>
      <c r="G22" s="786">
        <f t="shared" si="1"/>
        <v>0</v>
      </c>
      <c r="H22" s="786">
        <f t="shared" si="1"/>
        <v>116399.54868870261</v>
      </c>
      <c r="I22" s="786">
        <f t="shared" si="1"/>
        <v>25846.513824632399</v>
      </c>
      <c r="J22" s="786">
        <f t="shared" si="1"/>
        <v>0</v>
      </c>
      <c r="K22" s="786">
        <f t="shared" si="1"/>
        <v>0</v>
      </c>
      <c r="L22" s="786">
        <f t="shared" si="1"/>
        <v>0</v>
      </c>
      <c r="M22" s="786">
        <f t="shared" si="1"/>
        <v>0</v>
      </c>
      <c r="N22" s="786">
        <f t="shared" si="1"/>
        <v>7559.0283649423445</v>
      </c>
      <c r="O22" s="786">
        <f t="shared" si="1"/>
        <v>0</v>
      </c>
      <c r="P22" s="786">
        <f t="shared" si="1"/>
        <v>0</v>
      </c>
      <c r="Q22" s="786">
        <f t="shared" si="1"/>
        <v>0</v>
      </c>
      <c r="R22" s="786">
        <f t="shared" si="1"/>
        <v>150306.75016489366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1.2832170980224</v>
      </c>
      <c r="D24" s="979">
        <f>+landbouw!C8</f>
        <v>0</v>
      </c>
      <c r="E24" s="979">
        <f>+landbouw!D8</f>
        <v>0</v>
      </c>
      <c r="F24" s="979">
        <f>+landbouw!E8</f>
        <v>3.7717669908278427E-2</v>
      </c>
      <c r="G24" s="979">
        <f>+landbouw!F8</f>
        <v>5.3458130889489111</v>
      </c>
      <c r="H24" s="979">
        <f>+landbouw!G8</f>
        <v>0</v>
      </c>
      <c r="I24" s="979">
        <f>+landbouw!H8</f>
        <v>0</v>
      </c>
      <c r="J24" s="979">
        <f>+landbouw!I8</f>
        <v>0</v>
      </c>
      <c r="K24" s="979">
        <f>+landbouw!J8</f>
        <v>0.18591060010081928</v>
      </c>
      <c r="L24" s="979">
        <f>+landbouw!K8</f>
        <v>0</v>
      </c>
      <c r="M24" s="979">
        <f>+landbouw!L8</f>
        <v>0</v>
      </c>
      <c r="N24" s="979">
        <f>+landbouw!M8</f>
        <v>0</v>
      </c>
      <c r="O24" s="979">
        <f>+landbouw!N8</f>
        <v>0</v>
      </c>
      <c r="P24" s="979">
        <f>+landbouw!O8</f>
        <v>0</v>
      </c>
      <c r="Q24" s="980">
        <f>+landbouw!P8</f>
        <v>0</v>
      </c>
      <c r="R24" s="674">
        <f>SUM(C24:Q24)</f>
        <v>6.852658456980409</v>
      </c>
      <c r="S24" s="67"/>
    </row>
    <row r="25" spans="1:19" s="447" customFormat="1" ht="15" thickBot="1">
      <c r="A25" s="805" t="s">
        <v>823</v>
      </c>
      <c r="B25" s="982"/>
      <c r="C25" s="983">
        <f>IF(Onbekend_ele_kWh="---",0,Onbekend_ele_kWh)/1000+IF(REST_rest_ele_kWh="---",0,REST_rest_ele_kWh)/1000</f>
        <v>1019.63246594387</v>
      </c>
      <c r="D25" s="983"/>
      <c r="E25" s="983">
        <f>IF(onbekend_gas_kWh="---",0,onbekend_gas_kWh)/1000+IF(REST_rest_gas_kWh="---",0,REST_rest_gas_kWh)/1000</f>
        <v>5488.3936088492301</v>
      </c>
      <c r="F25" s="983"/>
      <c r="G25" s="983"/>
      <c r="H25" s="983"/>
      <c r="I25" s="983"/>
      <c r="J25" s="983"/>
      <c r="K25" s="983"/>
      <c r="L25" s="983"/>
      <c r="M25" s="983"/>
      <c r="N25" s="983"/>
      <c r="O25" s="983"/>
      <c r="P25" s="983"/>
      <c r="Q25" s="984"/>
      <c r="R25" s="674">
        <f>SUM(C25:Q25)</f>
        <v>6508.0260747930997</v>
      </c>
      <c r="S25" s="67"/>
    </row>
    <row r="26" spans="1:19" s="447" customFormat="1" ht="15.75" thickBot="1">
      <c r="A26" s="679" t="s">
        <v>824</v>
      </c>
      <c r="B26" s="791"/>
      <c r="C26" s="786">
        <f>SUM(C24:C25)</f>
        <v>1020.9156830418924</v>
      </c>
      <c r="D26" s="786">
        <f t="shared" ref="D26:R26" si="2">SUM(D24:D25)</f>
        <v>0</v>
      </c>
      <c r="E26" s="786">
        <f t="shared" si="2"/>
        <v>5488.3936088492301</v>
      </c>
      <c r="F26" s="786">
        <f t="shared" si="2"/>
        <v>3.7717669908278427E-2</v>
      </c>
      <c r="G26" s="786">
        <f t="shared" si="2"/>
        <v>5.3458130889489111</v>
      </c>
      <c r="H26" s="786">
        <f t="shared" si="2"/>
        <v>0</v>
      </c>
      <c r="I26" s="786">
        <f t="shared" si="2"/>
        <v>0</v>
      </c>
      <c r="J26" s="786">
        <f t="shared" si="2"/>
        <v>0</v>
      </c>
      <c r="K26" s="786">
        <f t="shared" si="2"/>
        <v>0.18591060010081928</v>
      </c>
      <c r="L26" s="786">
        <f t="shared" si="2"/>
        <v>0</v>
      </c>
      <c r="M26" s="786">
        <f t="shared" si="2"/>
        <v>0</v>
      </c>
      <c r="N26" s="786">
        <f t="shared" si="2"/>
        <v>0</v>
      </c>
      <c r="O26" s="786">
        <f t="shared" si="2"/>
        <v>0</v>
      </c>
      <c r="P26" s="786">
        <f t="shared" si="2"/>
        <v>0</v>
      </c>
      <c r="Q26" s="786">
        <f t="shared" si="2"/>
        <v>0</v>
      </c>
      <c r="R26" s="786">
        <f t="shared" si="2"/>
        <v>6514.8787332500806</v>
      </c>
      <c r="S26" s="67"/>
    </row>
    <row r="27" spans="1:19" s="447" customFormat="1" ht="17.25" thickTop="1" thickBot="1">
      <c r="A27" s="680" t="s">
        <v>115</v>
      </c>
      <c r="B27" s="779"/>
      <c r="C27" s="681">
        <f ca="1">C22+C16+C26</f>
        <v>34876.192137265862</v>
      </c>
      <c r="D27" s="681">
        <f t="shared" ref="D27:R27" ca="1" si="3">D22+D16+D26</f>
        <v>0</v>
      </c>
      <c r="E27" s="681">
        <f t="shared" ca="1" si="3"/>
        <v>113120.2159517189</v>
      </c>
      <c r="F27" s="681">
        <f t="shared" si="3"/>
        <v>2961.8138489126377</v>
      </c>
      <c r="G27" s="681">
        <f t="shared" ca="1" si="3"/>
        <v>6168.9464040333951</v>
      </c>
      <c r="H27" s="681">
        <f t="shared" si="3"/>
        <v>116399.54868870261</v>
      </c>
      <c r="I27" s="681">
        <f t="shared" si="3"/>
        <v>25846.513824632399</v>
      </c>
      <c r="J27" s="681">
        <f t="shared" si="3"/>
        <v>0</v>
      </c>
      <c r="K27" s="681">
        <f t="shared" si="3"/>
        <v>0.62204383047720768</v>
      </c>
      <c r="L27" s="681">
        <f t="shared" si="3"/>
        <v>0</v>
      </c>
      <c r="M27" s="681">
        <f t="shared" ca="1" si="3"/>
        <v>0</v>
      </c>
      <c r="N27" s="681">
        <f t="shared" si="3"/>
        <v>7559.0283649423445</v>
      </c>
      <c r="O27" s="681">
        <f t="shared" ca="1" si="3"/>
        <v>3231.6031983495118</v>
      </c>
      <c r="P27" s="681">
        <f t="shared" si="3"/>
        <v>75.040000000000006</v>
      </c>
      <c r="Q27" s="681">
        <f t="shared" si="3"/>
        <v>190.66666666666669</v>
      </c>
      <c r="R27" s="681">
        <f t="shared" ca="1" si="3"/>
        <v>310430.19112905476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2744.7508259704318</v>
      </c>
      <c r="D40" s="979">
        <f ca="1">tertiair!C20</f>
        <v>0</v>
      </c>
      <c r="E40" s="979">
        <f ca="1">tertiair!D20</f>
        <v>3623.1546314300367</v>
      </c>
      <c r="F40" s="979">
        <f>tertiair!E20</f>
        <v>55.949903668488467</v>
      </c>
      <c r="G40" s="979">
        <f ca="1">tertiair!F20</f>
        <v>544.35726749102355</v>
      </c>
      <c r="H40" s="979">
        <f>tertiair!G20</f>
        <v>0</v>
      </c>
      <c r="I40" s="979">
        <f>tertiair!H20</f>
        <v>0</v>
      </c>
      <c r="J40" s="979">
        <f>tertiair!I20</f>
        <v>0</v>
      </c>
      <c r="K40" s="979">
        <f>tertiair!J20</f>
        <v>2.6497795739215874E-3</v>
      </c>
      <c r="L40" s="979">
        <f>tertiair!K20</f>
        <v>0</v>
      </c>
      <c r="M40" s="979">
        <f ca="1">tertiair!L20</f>
        <v>0</v>
      </c>
      <c r="N40" s="979">
        <f>tertiair!M20</f>
        <v>0</v>
      </c>
      <c r="O40" s="979">
        <f ca="1">tertiair!N20</f>
        <v>0</v>
      </c>
      <c r="P40" s="979">
        <f>tertiair!O20</f>
        <v>0</v>
      </c>
      <c r="Q40" s="748">
        <f>tertiair!P20</f>
        <v>0</v>
      </c>
      <c r="R40" s="824">
        <f t="shared" ca="1" si="4"/>
        <v>6968.215278339555</v>
      </c>
    </row>
    <row r="41" spans="1:18">
      <c r="A41" s="796" t="s">
        <v>224</v>
      </c>
      <c r="B41" s="803"/>
      <c r="C41" s="979">
        <f ca="1">huishoudens!B12</f>
        <v>4542.8719899736607</v>
      </c>
      <c r="D41" s="979">
        <f ca="1">huishoudens!C12</f>
        <v>0</v>
      </c>
      <c r="E41" s="979">
        <f>huishoudens!D12</f>
        <v>17955.286493754997</v>
      </c>
      <c r="F41" s="979">
        <f>huishoudens!E12</f>
        <v>537.36938555527831</v>
      </c>
      <c r="G41" s="979">
        <f>huishoudens!F12</f>
        <v>1059.8748832033991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24095.402752487335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81.746667833075932</v>
      </c>
      <c r="D43" s="979">
        <f ca="1">industrie!C22</f>
        <v>0</v>
      </c>
      <c r="E43" s="979">
        <f>industrie!D22</f>
        <v>133.30590525925479</v>
      </c>
      <c r="F43" s="979">
        <f>industrie!E22</f>
        <v>11.779860712069349</v>
      </c>
      <c r="G43" s="979">
        <f>industrie!F22</f>
        <v>41.449207087744782</v>
      </c>
      <c r="H43" s="979">
        <f>industrie!G22</f>
        <v>0</v>
      </c>
      <c r="I43" s="979">
        <f>industrie!H22</f>
        <v>0</v>
      </c>
      <c r="J43" s="979">
        <f>industrie!I22</f>
        <v>0</v>
      </c>
      <c r="K43" s="979">
        <f>industrie!J22</f>
        <v>0.15174138397931991</v>
      </c>
      <c r="L43" s="979">
        <f>industrie!K22</f>
        <v>0</v>
      </c>
      <c r="M43" s="979">
        <f>industrie!L22</f>
        <v>0</v>
      </c>
      <c r="N43" s="979">
        <f>industrie!M22</f>
        <v>0</v>
      </c>
      <c r="O43" s="979">
        <f>industrie!N22</f>
        <v>0</v>
      </c>
      <c r="P43" s="979">
        <f>industrie!O22</f>
        <v>0</v>
      </c>
      <c r="Q43" s="748">
        <f>industrie!P22</f>
        <v>0</v>
      </c>
      <c r="R43" s="823">
        <f t="shared" ca="1" si="4"/>
        <v>268.43338227612412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7369.3694837771682</v>
      </c>
      <c r="D46" s="706">
        <f t="shared" ref="D46:Q46" ca="1" si="5">SUM(D39:D45)</f>
        <v>0</v>
      </c>
      <c r="E46" s="706">
        <f t="shared" ca="1" si="5"/>
        <v>21711.747030444287</v>
      </c>
      <c r="F46" s="706">
        <f t="shared" si="5"/>
        <v>605.09914993583607</v>
      </c>
      <c r="G46" s="706">
        <f t="shared" ca="1" si="5"/>
        <v>1645.6813577821674</v>
      </c>
      <c r="H46" s="706">
        <f t="shared" si="5"/>
        <v>0</v>
      </c>
      <c r="I46" s="706">
        <f t="shared" si="5"/>
        <v>0</v>
      </c>
      <c r="J46" s="706">
        <f t="shared" si="5"/>
        <v>0</v>
      </c>
      <c r="K46" s="706">
        <f t="shared" si="5"/>
        <v>0.15439116355324151</v>
      </c>
      <c r="L46" s="706">
        <f t="shared" si="5"/>
        <v>0</v>
      </c>
      <c r="M46" s="706">
        <f t="shared" ca="1" si="5"/>
        <v>0</v>
      </c>
      <c r="N46" s="706">
        <f t="shared" si="5"/>
        <v>0</v>
      </c>
      <c r="O46" s="706">
        <f t="shared" ca="1" si="5"/>
        <v>0</v>
      </c>
      <c r="P46" s="706">
        <f t="shared" si="5"/>
        <v>0</v>
      </c>
      <c r="Q46" s="706">
        <f t="shared" si="5"/>
        <v>0</v>
      </c>
      <c r="R46" s="706">
        <f ca="1">SUM(R39:R45)</f>
        <v>31332.051413103014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424.38679795057124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424.38679795057124</v>
      </c>
    </row>
    <row r="50" spans="1:18">
      <c r="A50" s="799" t="s">
        <v>306</v>
      </c>
      <c r="B50" s="809"/>
      <c r="C50" s="677">
        <f ca="1">transport!B18</f>
        <v>12.557573558878175</v>
      </c>
      <c r="D50" s="677">
        <f>transport!C18</f>
        <v>0</v>
      </c>
      <c r="E50" s="677">
        <f>transport!D18</f>
        <v>29.881082815386989</v>
      </c>
      <c r="F50" s="677">
        <f>transport!E18</f>
        <v>67.224031856263366</v>
      </c>
      <c r="G50" s="677">
        <f>transport!F18</f>
        <v>0</v>
      </c>
      <c r="H50" s="677">
        <f>transport!G18</f>
        <v>30654.292701933027</v>
      </c>
      <c r="I50" s="677">
        <f>transport!H18</f>
        <v>6435.7819423334677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37199.737332497025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12.557573558878175</v>
      </c>
      <c r="D52" s="706">
        <f t="shared" ref="D52:Q52" ca="1" si="6">SUM(D48:D51)</f>
        <v>0</v>
      </c>
      <c r="E52" s="706">
        <f t="shared" si="6"/>
        <v>29.881082815386989</v>
      </c>
      <c r="F52" s="706">
        <f t="shared" si="6"/>
        <v>67.224031856263366</v>
      </c>
      <c r="G52" s="706">
        <f t="shared" si="6"/>
        <v>0</v>
      </c>
      <c r="H52" s="706">
        <f t="shared" si="6"/>
        <v>31078.679499883598</v>
      </c>
      <c r="I52" s="706">
        <f t="shared" si="6"/>
        <v>6435.7819423334677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37624.124130447599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0.27979730217639209</v>
      </c>
      <c r="D54" s="677">
        <f ca="1">+landbouw!C12</f>
        <v>0</v>
      </c>
      <c r="E54" s="677">
        <f>+landbouw!D12</f>
        <v>0</v>
      </c>
      <c r="F54" s="677">
        <f>+landbouw!E12</f>
        <v>8.5619110691792025E-3</v>
      </c>
      <c r="G54" s="677">
        <f>+landbouw!F12</f>
        <v>1.4273320947493593</v>
      </c>
      <c r="H54" s="677">
        <f>+landbouw!G12</f>
        <v>0</v>
      </c>
      <c r="I54" s="677">
        <f>+landbouw!H12</f>
        <v>0</v>
      </c>
      <c r="J54" s="677">
        <f>+landbouw!I12</f>
        <v>0</v>
      </c>
      <c r="K54" s="677">
        <f>+landbouw!J12</f>
        <v>6.5812352435690016E-2</v>
      </c>
      <c r="L54" s="677">
        <f>+landbouw!K12</f>
        <v>0</v>
      </c>
      <c r="M54" s="677">
        <f>+landbouw!L12</f>
        <v>0</v>
      </c>
      <c r="N54" s="677">
        <f>+landbouw!M12</f>
        <v>0</v>
      </c>
      <c r="O54" s="677">
        <f>+landbouw!N12</f>
        <v>0</v>
      </c>
      <c r="P54" s="677">
        <f>+landbouw!O12</f>
        <v>0</v>
      </c>
      <c r="Q54" s="678">
        <f>+landbouw!P12</f>
        <v>0</v>
      </c>
      <c r="R54" s="705">
        <f ca="1">SUM(C54:Q54)</f>
        <v>1.7815036604306205</v>
      </c>
    </row>
    <row r="55" spans="1:18" ht="15" thickBot="1">
      <c r="A55" s="799" t="s">
        <v>823</v>
      </c>
      <c r="B55" s="809"/>
      <c r="C55" s="677">
        <f ca="1">C25*'EF ele_warmte'!B12</f>
        <v>222.32435464133502</v>
      </c>
      <c r="D55" s="677"/>
      <c r="E55" s="677">
        <f>E25*EF_CO2_aardgas</f>
        <v>1108.6555089875446</v>
      </c>
      <c r="F55" s="677"/>
      <c r="G55" s="677"/>
      <c r="H55" s="677"/>
      <c r="I55" s="677"/>
      <c r="J55" s="677"/>
      <c r="K55" s="677"/>
      <c r="L55" s="677"/>
      <c r="M55" s="677"/>
      <c r="N55" s="677"/>
      <c r="O55" s="677"/>
      <c r="P55" s="677"/>
      <c r="Q55" s="678"/>
      <c r="R55" s="705">
        <f ca="1">SUM(C55:Q55)</f>
        <v>1330.9798636288797</v>
      </c>
    </row>
    <row r="56" spans="1:18" ht="15.75" thickBot="1">
      <c r="A56" s="797" t="s">
        <v>824</v>
      </c>
      <c r="B56" s="810"/>
      <c r="C56" s="706">
        <f ca="1">SUM(C54:C55)</f>
        <v>222.60415194351143</v>
      </c>
      <c r="D56" s="706">
        <f t="shared" ref="D56:Q56" ca="1" si="7">SUM(D54:D55)</f>
        <v>0</v>
      </c>
      <c r="E56" s="706">
        <f t="shared" si="7"/>
        <v>1108.6555089875446</v>
      </c>
      <c r="F56" s="706">
        <f t="shared" si="7"/>
        <v>8.5619110691792025E-3</v>
      </c>
      <c r="G56" s="706">
        <f t="shared" si="7"/>
        <v>1.4273320947493593</v>
      </c>
      <c r="H56" s="706">
        <f t="shared" si="7"/>
        <v>0</v>
      </c>
      <c r="I56" s="706">
        <f t="shared" si="7"/>
        <v>0</v>
      </c>
      <c r="J56" s="706">
        <f t="shared" si="7"/>
        <v>0</v>
      </c>
      <c r="K56" s="706">
        <f t="shared" si="7"/>
        <v>6.5812352435690016E-2</v>
      </c>
      <c r="L56" s="706">
        <f t="shared" si="7"/>
        <v>0</v>
      </c>
      <c r="M56" s="706">
        <f t="shared" si="7"/>
        <v>0</v>
      </c>
      <c r="N56" s="706">
        <f t="shared" si="7"/>
        <v>0</v>
      </c>
      <c r="O56" s="706">
        <f t="shared" si="7"/>
        <v>0</v>
      </c>
      <c r="P56" s="706">
        <f t="shared" si="7"/>
        <v>0</v>
      </c>
      <c r="Q56" s="707">
        <f t="shared" si="7"/>
        <v>0</v>
      </c>
      <c r="R56" s="708">
        <f ca="1">SUM(R54:R55)</f>
        <v>1332.7613672893103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7604.5312092795575</v>
      </c>
      <c r="D61" s="714">
        <f t="shared" ref="D61:Q61" ca="1" si="8">D46+D52+D56</f>
        <v>0</v>
      </c>
      <c r="E61" s="714">
        <f t="shared" ca="1" si="8"/>
        <v>22850.283622247218</v>
      </c>
      <c r="F61" s="714">
        <f t="shared" si="8"/>
        <v>672.33174370316851</v>
      </c>
      <c r="G61" s="714">
        <f t="shared" ca="1" si="8"/>
        <v>1647.1086898769167</v>
      </c>
      <c r="H61" s="714">
        <f t="shared" si="8"/>
        <v>31078.679499883598</v>
      </c>
      <c r="I61" s="714">
        <f t="shared" si="8"/>
        <v>6435.7819423334677</v>
      </c>
      <c r="J61" s="714">
        <f t="shared" si="8"/>
        <v>0</v>
      </c>
      <c r="K61" s="714">
        <f t="shared" si="8"/>
        <v>0.22020351598893151</v>
      </c>
      <c r="L61" s="714">
        <f t="shared" si="8"/>
        <v>0</v>
      </c>
      <c r="M61" s="714">
        <f t="shared" ca="1" si="8"/>
        <v>0</v>
      </c>
      <c r="N61" s="714">
        <f t="shared" si="8"/>
        <v>0</v>
      </c>
      <c r="O61" s="714">
        <f t="shared" ca="1" si="8"/>
        <v>0</v>
      </c>
      <c r="P61" s="714">
        <f t="shared" si="8"/>
        <v>0</v>
      </c>
      <c r="Q61" s="714">
        <f t="shared" si="8"/>
        <v>0</v>
      </c>
      <c r="R61" s="714">
        <f ca="1">R46+R52+R56</f>
        <v>70288.936910839911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0.2180436206839787</v>
      </c>
      <c r="D63" s="755">
        <f t="shared" ca="1" si="9"/>
        <v>0</v>
      </c>
      <c r="E63" s="990">
        <f t="shared" ca="1" si="9"/>
        <v>0.20200000000000001</v>
      </c>
      <c r="F63" s="755">
        <f t="shared" si="9"/>
        <v>0.22699999999999992</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466.54865636288434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466.54865636288434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466.54865636288434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466.54865636288434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20834.693423834982</v>
      </c>
      <c r="C4" s="451">
        <f>huishoudens!C8</f>
        <v>0</v>
      </c>
      <c r="D4" s="451">
        <f>huishoudens!D8</f>
        <v>88887.556899777206</v>
      </c>
      <c r="E4" s="451">
        <f>huishoudens!E8</f>
        <v>2367.2660156620191</v>
      </c>
      <c r="F4" s="451">
        <f>huishoudens!F8</f>
        <v>3969.5688509490601</v>
      </c>
      <c r="G4" s="451">
        <f>huishoudens!G8</f>
        <v>0</v>
      </c>
      <c r="H4" s="451">
        <f>huishoudens!H8</f>
        <v>0</v>
      </c>
      <c r="I4" s="451">
        <f>huishoudens!I8</f>
        <v>0</v>
      </c>
      <c r="J4" s="451">
        <f>huishoudens!J8</f>
        <v>0</v>
      </c>
      <c r="K4" s="451">
        <f>huishoudens!K8</f>
        <v>0</v>
      </c>
      <c r="L4" s="451">
        <f>huishoudens!L8</f>
        <v>0</v>
      </c>
      <c r="M4" s="451">
        <f>huishoudens!M8</f>
        <v>0</v>
      </c>
      <c r="N4" s="451">
        <f>huishoudens!N8</f>
        <v>2900.2185677923826</v>
      </c>
      <c r="O4" s="451">
        <f>huishoudens!O8</f>
        <v>75.040000000000006</v>
      </c>
      <c r="P4" s="452">
        <f>huishoudens!P8</f>
        <v>190.66666666666669</v>
      </c>
      <c r="Q4" s="453">
        <f>SUM(B4:P4)</f>
        <v>119225.01042468232</v>
      </c>
    </row>
    <row r="5" spans="1:17">
      <c r="A5" s="450" t="s">
        <v>155</v>
      </c>
      <c r="B5" s="451">
        <f ca="1">tertiair!B16</f>
        <v>11578.708308503556</v>
      </c>
      <c r="C5" s="451">
        <f ca="1">tertiair!C16</f>
        <v>0</v>
      </c>
      <c r="D5" s="451">
        <f ca="1">tertiair!D16</f>
        <v>17936.409066485328</v>
      </c>
      <c r="E5" s="451">
        <f>tertiair!E16</f>
        <v>246.4753465572179</v>
      </c>
      <c r="F5" s="451">
        <f ca="1">tertiair!F16</f>
        <v>2038.7912640113241</v>
      </c>
      <c r="G5" s="451">
        <f>tertiair!G16</f>
        <v>0</v>
      </c>
      <c r="H5" s="451">
        <f>tertiair!H16</f>
        <v>0</v>
      </c>
      <c r="I5" s="451">
        <f>tertiair!I16</f>
        <v>0</v>
      </c>
      <c r="J5" s="451">
        <f>tertiair!J16</f>
        <v>7.4852530336768017E-3</v>
      </c>
      <c r="K5" s="451">
        <f>tertiair!K16</f>
        <v>0</v>
      </c>
      <c r="L5" s="451">
        <f ca="1">tertiair!L16</f>
        <v>0</v>
      </c>
      <c r="M5" s="451">
        <f>tertiair!M16</f>
        <v>0</v>
      </c>
      <c r="N5" s="451">
        <f ca="1">tertiair!N16</f>
        <v>309.40074181562647</v>
      </c>
      <c r="O5" s="451">
        <f>tertiair!O16</f>
        <v>0</v>
      </c>
      <c r="P5" s="452">
        <f>tertiair!P16</f>
        <v>0</v>
      </c>
      <c r="Q5" s="450">
        <f t="shared" ref="Q5:Q14" ca="1" si="0">SUM(B5:P5)</f>
        <v>32109.792212626086</v>
      </c>
    </row>
    <row r="6" spans="1:17">
      <c r="A6" s="450" t="s">
        <v>193</v>
      </c>
      <c r="B6" s="451">
        <f>'openbare verlichting'!B8</f>
        <v>1009.373</v>
      </c>
      <c r="C6" s="451"/>
      <c r="D6" s="451"/>
      <c r="E6" s="451"/>
      <c r="F6" s="451"/>
      <c r="G6" s="451"/>
      <c r="H6" s="451"/>
      <c r="I6" s="451"/>
      <c r="J6" s="451"/>
      <c r="K6" s="451"/>
      <c r="L6" s="451"/>
      <c r="M6" s="451"/>
      <c r="N6" s="451"/>
      <c r="O6" s="451"/>
      <c r="P6" s="452"/>
      <c r="Q6" s="450">
        <f t="shared" si="0"/>
        <v>1009.373</v>
      </c>
    </row>
    <row r="7" spans="1:17">
      <c r="A7" s="450" t="s">
        <v>111</v>
      </c>
      <c r="B7" s="451">
        <f>landbouw!B8</f>
        <v>1.2832170980224</v>
      </c>
      <c r="C7" s="451">
        <f>landbouw!C8</f>
        <v>0</v>
      </c>
      <c r="D7" s="451">
        <f>landbouw!D8</f>
        <v>0</v>
      </c>
      <c r="E7" s="451">
        <f>landbouw!E8</f>
        <v>3.7717669908278427E-2</v>
      </c>
      <c r="F7" s="451">
        <f>landbouw!F8</f>
        <v>5.3458130889489111</v>
      </c>
      <c r="G7" s="451">
        <f>landbouw!G8</f>
        <v>0</v>
      </c>
      <c r="H7" s="451">
        <f>landbouw!H8</f>
        <v>0</v>
      </c>
      <c r="I7" s="451">
        <f>landbouw!I8</f>
        <v>0</v>
      </c>
      <c r="J7" s="451">
        <f>landbouw!J8</f>
        <v>0.18591060010081928</v>
      </c>
      <c r="K7" s="451">
        <f>landbouw!K8</f>
        <v>0</v>
      </c>
      <c r="L7" s="451">
        <f>landbouw!L8</f>
        <v>0</v>
      </c>
      <c r="M7" s="451">
        <f>landbouw!M8</f>
        <v>0</v>
      </c>
      <c r="N7" s="451">
        <f>landbouw!N8</f>
        <v>0</v>
      </c>
      <c r="O7" s="451">
        <f>landbouw!O8</f>
        <v>0</v>
      </c>
      <c r="P7" s="452">
        <f>landbouw!P8</f>
        <v>0</v>
      </c>
      <c r="Q7" s="450">
        <f t="shared" si="0"/>
        <v>6.852658456980409</v>
      </c>
    </row>
    <row r="8" spans="1:17">
      <c r="A8" s="450" t="s">
        <v>634</v>
      </c>
      <c r="B8" s="451">
        <f>industrie!B18</f>
        <v>374.909697319489</v>
      </c>
      <c r="C8" s="451">
        <f>industrie!C18</f>
        <v>0</v>
      </c>
      <c r="D8" s="451">
        <f>industrie!D18</f>
        <v>659.93022405571674</v>
      </c>
      <c r="E8" s="451">
        <f>industrie!E18</f>
        <v>51.893659524534577</v>
      </c>
      <c r="F8" s="451">
        <f>industrie!F18</f>
        <v>155.24047598406284</v>
      </c>
      <c r="G8" s="451">
        <f>industrie!G18</f>
        <v>0</v>
      </c>
      <c r="H8" s="451">
        <f>industrie!H18</f>
        <v>0</v>
      </c>
      <c r="I8" s="451">
        <f>industrie!I18</f>
        <v>0</v>
      </c>
      <c r="J8" s="451">
        <f>industrie!J18</f>
        <v>0.42864797734271159</v>
      </c>
      <c r="K8" s="451">
        <f>industrie!K18</f>
        <v>0</v>
      </c>
      <c r="L8" s="451">
        <f>industrie!L18</f>
        <v>0</v>
      </c>
      <c r="M8" s="451">
        <f>industrie!M18</f>
        <v>0</v>
      </c>
      <c r="N8" s="451">
        <f>industrie!N18</f>
        <v>21.983888741502543</v>
      </c>
      <c r="O8" s="451">
        <f>industrie!O18</f>
        <v>0</v>
      </c>
      <c r="P8" s="452">
        <f>industrie!P18</f>
        <v>0</v>
      </c>
      <c r="Q8" s="450">
        <f t="shared" si="0"/>
        <v>1264.3865936026484</v>
      </c>
    </row>
    <row r="9" spans="1:17" s="456" customFormat="1">
      <c r="A9" s="454" t="s">
        <v>560</v>
      </c>
      <c r="B9" s="455">
        <f>transport!B14</f>
        <v>57.592024565939866</v>
      </c>
      <c r="C9" s="455">
        <f>transport!C14</f>
        <v>0</v>
      </c>
      <c r="D9" s="455">
        <f>transport!D14</f>
        <v>147.92615255142073</v>
      </c>
      <c r="E9" s="455">
        <f>transport!E14</f>
        <v>296.14110949895752</v>
      </c>
      <c r="F9" s="455">
        <f>transport!F14</f>
        <v>0</v>
      </c>
      <c r="G9" s="455">
        <f>transport!G14</f>
        <v>114810.08502596639</v>
      </c>
      <c r="H9" s="455">
        <f>transport!H14</f>
        <v>25846.513824632399</v>
      </c>
      <c r="I9" s="455">
        <f>transport!I14</f>
        <v>0</v>
      </c>
      <c r="J9" s="455">
        <f>transport!J14</f>
        <v>0</v>
      </c>
      <c r="K9" s="455">
        <f>transport!K14</f>
        <v>0</v>
      </c>
      <c r="L9" s="455">
        <f>transport!L14</f>
        <v>0</v>
      </c>
      <c r="M9" s="455">
        <f>transport!M14</f>
        <v>7468.7606649677091</v>
      </c>
      <c r="N9" s="455">
        <f>transport!N14</f>
        <v>0</v>
      </c>
      <c r="O9" s="455">
        <f>transport!O14</f>
        <v>0</v>
      </c>
      <c r="P9" s="455">
        <f>transport!P14</f>
        <v>0</v>
      </c>
      <c r="Q9" s="454">
        <f>SUM(B9:P9)</f>
        <v>148627.01880218281</v>
      </c>
    </row>
    <row r="10" spans="1:17">
      <c r="A10" s="450" t="s">
        <v>550</v>
      </c>
      <c r="B10" s="451">
        <f>transport!B54</f>
        <v>0</v>
      </c>
      <c r="C10" s="451">
        <f>transport!C54</f>
        <v>0</v>
      </c>
      <c r="D10" s="451">
        <f>transport!D54</f>
        <v>0</v>
      </c>
      <c r="E10" s="451">
        <f>transport!E54</f>
        <v>0</v>
      </c>
      <c r="F10" s="451">
        <f>transport!F54</f>
        <v>0</v>
      </c>
      <c r="G10" s="451">
        <f>transport!G54</f>
        <v>1589.4636627362217</v>
      </c>
      <c r="H10" s="451">
        <f>transport!H54</f>
        <v>0</v>
      </c>
      <c r="I10" s="451">
        <f>transport!I54</f>
        <v>0</v>
      </c>
      <c r="J10" s="451">
        <f>transport!J54</f>
        <v>0</v>
      </c>
      <c r="K10" s="451">
        <f>transport!K54</f>
        <v>0</v>
      </c>
      <c r="L10" s="451">
        <f>transport!L54</f>
        <v>0</v>
      </c>
      <c r="M10" s="451">
        <f>transport!M54</f>
        <v>90.267699974635775</v>
      </c>
      <c r="N10" s="451">
        <f>transport!N54</f>
        <v>0</v>
      </c>
      <c r="O10" s="451">
        <f>transport!O54</f>
        <v>0</v>
      </c>
      <c r="P10" s="452">
        <f>transport!P54</f>
        <v>0</v>
      </c>
      <c r="Q10" s="450">
        <f t="shared" si="0"/>
        <v>1679.7313627108574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1019.63246594387</v>
      </c>
      <c r="C14" s="458"/>
      <c r="D14" s="458">
        <f>'SEAP template'!E25</f>
        <v>5488.3936088492301</v>
      </c>
      <c r="E14" s="458"/>
      <c r="F14" s="458"/>
      <c r="G14" s="458"/>
      <c r="H14" s="458"/>
      <c r="I14" s="458"/>
      <c r="J14" s="458"/>
      <c r="K14" s="458"/>
      <c r="L14" s="458"/>
      <c r="M14" s="458"/>
      <c r="N14" s="458"/>
      <c r="O14" s="458"/>
      <c r="P14" s="459"/>
      <c r="Q14" s="450">
        <f t="shared" si="0"/>
        <v>6508.0260747930997</v>
      </c>
    </row>
    <row r="15" spans="1:17" s="460" customFormat="1">
      <c r="A15" s="1005" t="s">
        <v>554</v>
      </c>
      <c r="B15" s="953">
        <f ca="1">SUM(B4:B14)</f>
        <v>34876.192137265862</v>
      </c>
      <c r="C15" s="953">
        <f t="shared" ref="C15:Q15" ca="1" si="1">SUM(C4:C14)</f>
        <v>0</v>
      </c>
      <c r="D15" s="953">
        <f t="shared" ca="1" si="1"/>
        <v>113120.2159517189</v>
      </c>
      <c r="E15" s="953">
        <f t="shared" si="1"/>
        <v>2961.8138489126377</v>
      </c>
      <c r="F15" s="953">
        <f t="shared" ca="1" si="1"/>
        <v>6168.9464040333951</v>
      </c>
      <c r="G15" s="953">
        <f t="shared" si="1"/>
        <v>116399.54868870261</v>
      </c>
      <c r="H15" s="953">
        <f t="shared" si="1"/>
        <v>25846.513824632399</v>
      </c>
      <c r="I15" s="953">
        <f t="shared" si="1"/>
        <v>0</v>
      </c>
      <c r="J15" s="953">
        <f t="shared" si="1"/>
        <v>0.62204383047720768</v>
      </c>
      <c r="K15" s="953">
        <f t="shared" si="1"/>
        <v>0</v>
      </c>
      <c r="L15" s="953">
        <f t="shared" ca="1" si="1"/>
        <v>0</v>
      </c>
      <c r="M15" s="953">
        <f t="shared" si="1"/>
        <v>7559.0283649423445</v>
      </c>
      <c r="N15" s="953">
        <f t="shared" ca="1" si="1"/>
        <v>3231.6031983495118</v>
      </c>
      <c r="O15" s="953">
        <f t="shared" si="1"/>
        <v>75.040000000000006</v>
      </c>
      <c r="P15" s="953">
        <f t="shared" si="1"/>
        <v>190.66666666666669</v>
      </c>
      <c r="Q15" s="953">
        <f t="shared" ca="1" si="1"/>
        <v>310430.19112905482</v>
      </c>
    </row>
    <row r="17" spans="1:17">
      <c r="A17" s="461" t="s">
        <v>555</v>
      </c>
      <c r="B17" s="760">
        <f ca="1">huishoudens!B10</f>
        <v>0.2180436206839787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4542.8719899736607</v>
      </c>
      <c r="C22" s="451">
        <f t="shared" ref="C22:C32" ca="1" si="3">C4*$C$17</f>
        <v>0</v>
      </c>
      <c r="D22" s="451">
        <f t="shared" ref="D22:D32" si="4">D4*$D$17</f>
        <v>17955.286493754997</v>
      </c>
      <c r="E22" s="451">
        <f t="shared" ref="E22:E32" si="5">E4*$E$17</f>
        <v>537.36938555527831</v>
      </c>
      <c r="F22" s="451">
        <f t="shared" ref="F22:F32" si="6">F4*$F$17</f>
        <v>1059.8748832033991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24095.402752487335</v>
      </c>
    </row>
    <row r="23" spans="1:17">
      <c r="A23" s="450" t="s">
        <v>155</v>
      </c>
      <c r="B23" s="451">
        <f t="shared" ca="1" si="2"/>
        <v>2524.6634824297821</v>
      </c>
      <c r="C23" s="451">
        <f t="shared" ca="1" si="3"/>
        <v>0</v>
      </c>
      <c r="D23" s="451">
        <f t="shared" ca="1" si="4"/>
        <v>3623.1546314300367</v>
      </c>
      <c r="E23" s="451">
        <f t="shared" si="5"/>
        <v>55.949903668488467</v>
      </c>
      <c r="F23" s="451">
        <f t="shared" ca="1" si="6"/>
        <v>544.35726749102355</v>
      </c>
      <c r="G23" s="451">
        <f t="shared" si="7"/>
        <v>0</v>
      </c>
      <c r="H23" s="451">
        <f t="shared" si="8"/>
        <v>0</v>
      </c>
      <c r="I23" s="451">
        <f t="shared" si="9"/>
        <v>0</v>
      </c>
      <c r="J23" s="451">
        <f t="shared" si="10"/>
        <v>2.6497795739215874E-3</v>
      </c>
      <c r="K23" s="451">
        <f t="shared" si="11"/>
        <v>0</v>
      </c>
      <c r="L23" s="451">
        <f t="shared" ca="1" si="12"/>
        <v>0</v>
      </c>
      <c r="M23" s="451">
        <f t="shared" si="13"/>
        <v>0</v>
      </c>
      <c r="N23" s="451">
        <f t="shared" ca="1" si="14"/>
        <v>0</v>
      </c>
      <c r="O23" s="451">
        <f t="shared" si="15"/>
        <v>0</v>
      </c>
      <c r="P23" s="452">
        <f t="shared" si="16"/>
        <v>0</v>
      </c>
      <c r="Q23" s="450">
        <f t="shared" ref="Q23:Q32" ca="1" si="17">SUM(B23:P23)</f>
        <v>6748.1279347989057</v>
      </c>
    </row>
    <row r="24" spans="1:17">
      <c r="A24" s="450" t="s">
        <v>193</v>
      </c>
      <c r="B24" s="451">
        <f t="shared" ca="1" si="2"/>
        <v>220.08734354064964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220.08734354064964</v>
      </c>
    </row>
    <row r="25" spans="1:17">
      <c r="A25" s="450" t="s">
        <v>111</v>
      </c>
      <c r="B25" s="451">
        <f t="shared" ca="1" si="2"/>
        <v>0.27979730217639209</v>
      </c>
      <c r="C25" s="451">
        <f t="shared" ca="1" si="3"/>
        <v>0</v>
      </c>
      <c r="D25" s="451">
        <f t="shared" si="4"/>
        <v>0</v>
      </c>
      <c r="E25" s="451">
        <f t="shared" si="5"/>
        <v>8.5619110691792025E-3</v>
      </c>
      <c r="F25" s="451">
        <f t="shared" si="6"/>
        <v>1.4273320947493593</v>
      </c>
      <c r="G25" s="451">
        <f t="shared" si="7"/>
        <v>0</v>
      </c>
      <c r="H25" s="451">
        <f t="shared" si="8"/>
        <v>0</v>
      </c>
      <c r="I25" s="451">
        <f t="shared" si="9"/>
        <v>0</v>
      </c>
      <c r="J25" s="451">
        <f t="shared" si="10"/>
        <v>6.5812352435690016E-2</v>
      </c>
      <c r="K25" s="451">
        <f t="shared" si="11"/>
        <v>0</v>
      </c>
      <c r="L25" s="451">
        <f t="shared" si="12"/>
        <v>0</v>
      </c>
      <c r="M25" s="451">
        <f t="shared" si="13"/>
        <v>0</v>
      </c>
      <c r="N25" s="451">
        <f t="shared" si="14"/>
        <v>0</v>
      </c>
      <c r="O25" s="451">
        <f t="shared" si="15"/>
        <v>0</v>
      </c>
      <c r="P25" s="452">
        <f t="shared" si="16"/>
        <v>0</v>
      </c>
      <c r="Q25" s="450">
        <f t="shared" ca="1" si="17"/>
        <v>1.7815036604306205</v>
      </c>
    </row>
    <row r="26" spans="1:17">
      <c r="A26" s="450" t="s">
        <v>634</v>
      </c>
      <c r="B26" s="451">
        <f t="shared" ca="1" si="2"/>
        <v>81.746667833075932</v>
      </c>
      <c r="C26" s="451">
        <f t="shared" ca="1" si="3"/>
        <v>0</v>
      </c>
      <c r="D26" s="451">
        <f t="shared" si="4"/>
        <v>133.30590525925479</v>
      </c>
      <c r="E26" s="451">
        <f t="shared" si="5"/>
        <v>11.779860712069349</v>
      </c>
      <c r="F26" s="451">
        <f t="shared" si="6"/>
        <v>41.449207087744782</v>
      </c>
      <c r="G26" s="451">
        <f t="shared" si="7"/>
        <v>0</v>
      </c>
      <c r="H26" s="451">
        <f t="shared" si="8"/>
        <v>0</v>
      </c>
      <c r="I26" s="451">
        <f t="shared" si="9"/>
        <v>0</v>
      </c>
      <c r="J26" s="451">
        <f t="shared" si="10"/>
        <v>0.15174138397931991</v>
      </c>
      <c r="K26" s="451">
        <f t="shared" si="11"/>
        <v>0</v>
      </c>
      <c r="L26" s="451">
        <f t="shared" si="12"/>
        <v>0</v>
      </c>
      <c r="M26" s="451">
        <f t="shared" si="13"/>
        <v>0</v>
      </c>
      <c r="N26" s="451">
        <f t="shared" si="14"/>
        <v>0</v>
      </c>
      <c r="O26" s="451">
        <f t="shared" si="15"/>
        <v>0</v>
      </c>
      <c r="P26" s="452">
        <f t="shared" si="16"/>
        <v>0</v>
      </c>
      <c r="Q26" s="450">
        <f t="shared" ca="1" si="17"/>
        <v>268.43338227612412</v>
      </c>
    </row>
    <row r="27" spans="1:17" s="456" customFormat="1">
      <c r="A27" s="454" t="s">
        <v>560</v>
      </c>
      <c r="B27" s="754">
        <f t="shared" ca="1" si="2"/>
        <v>12.557573558878175</v>
      </c>
      <c r="C27" s="455">
        <f t="shared" ca="1" si="3"/>
        <v>0</v>
      </c>
      <c r="D27" s="455">
        <f t="shared" si="4"/>
        <v>29.881082815386989</v>
      </c>
      <c r="E27" s="455">
        <f t="shared" si="5"/>
        <v>67.224031856263366</v>
      </c>
      <c r="F27" s="455">
        <f t="shared" si="6"/>
        <v>0</v>
      </c>
      <c r="G27" s="455">
        <f t="shared" si="7"/>
        <v>30654.292701933027</v>
      </c>
      <c r="H27" s="455">
        <f t="shared" si="8"/>
        <v>6435.7819423334677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37199.737332497025</v>
      </c>
    </row>
    <row r="28" spans="1:17">
      <c r="A28" s="450" t="s">
        <v>550</v>
      </c>
      <c r="B28" s="451">
        <f t="shared" ca="1" si="2"/>
        <v>0</v>
      </c>
      <c r="C28" s="451">
        <f t="shared" ca="1" si="3"/>
        <v>0</v>
      </c>
      <c r="D28" s="451">
        <f t="shared" si="4"/>
        <v>0</v>
      </c>
      <c r="E28" s="451">
        <f t="shared" si="5"/>
        <v>0</v>
      </c>
      <c r="F28" s="451">
        <f t="shared" si="6"/>
        <v>0</v>
      </c>
      <c r="G28" s="451">
        <f t="shared" si="7"/>
        <v>424.38679795057124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424.38679795057124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222.32435464133502</v>
      </c>
      <c r="C32" s="451">
        <f t="shared" ca="1" si="3"/>
        <v>0</v>
      </c>
      <c r="D32" s="451">
        <f t="shared" si="4"/>
        <v>1108.6555089875446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1330.9798636288797</v>
      </c>
    </row>
    <row r="33" spans="1:17" s="460" customFormat="1">
      <c r="A33" s="1005" t="s">
        <v>554</v>
      </c>
      <c r="B33" s="953">
        <f ca="1">SUM(B22:B32)</f>
        <v>7604.5312092795566</v>
      </c>
      <c r="C33" s="953">
        <f t="shared" ref="C33:Q33" ca="1" si="18">SUM(C22:C32)</f>
        <v>0</v>
      </c>
      <c r="D33" s="953">
        <f t="shared" ca="1" si="18"/>
        <v>22850.283622247218</v>
      </c>
      <c r="E33" s="953">
        <f t="shared" si="18"/>
        <v>672.33174370316851</v>
      </c>
      <c r="F33" s="953">
        <f t="shared" ca="1" si="18"/>
        <v>1647.1086898769167</v>
      </c>
      <c r="G33" s="953">
        <f t="shared" si="18"/>
        <v>31078.679499883598</v>
      </c>
      <c r="H33" s="953">
        <f t="shared" si="18"/>
        <v>6435.7819423334677</v>
      </c>
      <c r="I33" s="953">
        <f t="shared" si="18"/>
        <v>0</v>
      </c>
      <c r="J33" s="953">
        <f t="shared" si="18"/>
        <v>0.22020351598893151</v>
      </c>
      <c r="K33" s="953">
        <f t="shared" si="18"/>
        <v>0</v>
      </c>
      <c r="L33" s="953">
        <f t="shared" ca="1" si="18"/>
        <v>0</v>
      </c>
      <c r="M33" s="953">
        <f t="shared" si="18"/>
        <v>0</v>
      </c>
      <c r="N33" s="953">
        <f t="shared" ca="1" si="18"/>
        <v>0</v>
      </c>
      <c r="O33" s="953">
        <f t="shared" si="18"/>
        <v>0</v>
      </c>
      <c r="P33" s="953">
        <f t="shared" si="18"/>
        <v>0</v>
      </c>
      <c r="Q33" s="953">
        <f t="shared" ca="1" si="18"/>
        <v>70288.936910839926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466.54865636288434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466.54865636288434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0.2180436206839787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0.2180436206839787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2020-06-20T15:42:01Z</dcterms:modified>
</cp:coreProperties>
</file>