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G49" i="18"/>
  <c r="C49" i="18"/>
  <c r="E49" i="18"/>
  <c r="E17" i="18" s="1"/>
  <c r="I49" i="18"/>
  <c r="H17" i="18" s="1"/>
  <c r="M87" i="14" s="1"/>
  <c r="F49" i="18"/>
  <c r="D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3" i="14" l="1"/>
  <c r="P16" i="14" s="1"/>
  <c r="P27" i="14" s="1"/>
  <c r="O8" i="48"/>
  <c r="O26" i="48"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K10" i="14"/>
  <c r="J5" i="48"/>
  <c r="J23" i="48" s="1"/>
  <c r="J20" i="15"/>
  <c r="K40" i="14" s="1"/>
  <c r="I20" i="14"/>
  <c r="I22" i="14" s="1"/>
  <c r="I27"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J15" i="48"/>
  <c r="K13" i="14"/>
  <c r="K16" i="14" s="1"/>
  <c r="K27" i="14" s="1"/>
  <c r="J8" i="48"/>
  <c r="J26" i="48" s="1"/>
  <c r="J33" i="48"/>
  <c r="I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<sst xmlns="http://schemas.openxmlformats.org/spreadsheetml/2006/main" count="2406" uniqueCount="894">
  <si>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</si>
  <si>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</si>
  <si>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</si>
  <si>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</si>
  <si>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</si>
  <si>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</si>
  <si>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</si>
  <si>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</si>
  <si>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</si>
  <si>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</si>
  <si>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</si>
  <si>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</si>
  <si>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</si>
  <si>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</si>
  <si>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</si>
  <si>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</si>
  <si>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</si>
  <si>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</si>
  <si>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</si>
  <si>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</si>
  <si>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</si>
  <si>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</si>
  <si>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</si>
  <si>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</si>
  <si>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</si>
  <si>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</si>
  <si>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</si>
  <si>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</si>
  <si>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</si>
  <si>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</si>
  <si>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</si>
  <si>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</si>
  <si>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</si>
  <si>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</si>
  <si>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</si>
  <si>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</si>
  <si>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</si>
  <si>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</si>
  <si>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</si>
  <si>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</si>
  <si>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</si>
  <si>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</si>
  <si>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</si>
  <si>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</si>
  <si>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</si>
  <si>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</si>
  <si>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</si>
  <si>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</si>
  <si>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</si>
  <si>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</si>
  <si>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</si>
  <si>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</si>
  <si>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</si>
  <si>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</si>
  <si>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</si>
  <si>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</si>
  <si>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</si>
  <si>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</si>
  <si>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</si>
  <si>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</si>
  <si>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</si>
  <si>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</si>
  <si>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</si>
  <si>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</si>
  <si>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</si>
  <si>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</si>
  <si>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</si>
  <si>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</si>
  <si>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</si>
  <si>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</si>
  <si>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</si>
  <si>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</si>
  <si>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</si>
  <si>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</si>
  <si>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</si>
  <si>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</si>
  <si>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</si>
  <si>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</si>
  <si>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</si>
  <si>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</si>
  <si>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</si>
  <si>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</si>
  <si>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</si>
  <si>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</si>
  <si>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</si>
  <si>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</si>
  <si>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</si>
  <si>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</si>
  <si>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</si>
  <si>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</si>
  <si>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</si>
  <si>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</si>
  <si>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</si>
  <si>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</si>
  <si>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</si>
  <si>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</si>
  <si>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</si>
  <si>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</si>
  <si>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</si>
  <si>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</si>
  <si>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</si>
  <si>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</si>
  <si>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</si>
  <si>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</si>
  <si>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</si>
  <si>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</si>
  <si>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</si>
  <si>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</si>
  <si>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</si>
  <si>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</si>
  <si>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</si>
  <si>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</si>
  <si>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</si>
  <si>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</si>
  <si>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</si>
  <si>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</si>
  <si>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</si>
  <si>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</si>
  <si>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</si>
  <si>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</si>
  <si>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</si>
  <si>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</si>
  <si>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</si>
  <si>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</si>
  <si>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</si>
  <si>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</si>
  <si>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</si>
  <si>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</si>
  <si>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</si>
  <si>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</si>
  <si>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</si>
  <si>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</si>
  <si>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</si>
  <si>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</si>
  <si>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</si>
  <si>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</si>
  <si>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</si>
  <si>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</si>
  <si>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</si>
  <si>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</si>
  <si>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</si>
  <si>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</si>
  <si>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</si>
  <si>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</si>
  <si>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</si>
  <si>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</si>
  <si>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</si>
  <si>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</si>
  <si>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</si>
  <si>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</si>
  <si>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</si>
  <si>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</si>
  <si>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</si>
  <si>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</si>
  <si>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</si>
  <si>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</si>
  <si>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</si>
  <si>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</si>
  <si>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</si>
  <si>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</si>
  <si>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</si>
  <si>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</si>
  <si>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</si>
  <si>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</si>
  <si>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</si>
  <si>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</si>
  <si>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</si>
  <si>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</si>
  <si>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</si>
  <si>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</si>
  <si>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</si>
  <si>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</si>
  <si>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</si>
  <si>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</si>
  <si>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</si>
  <si>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</si>
  <si>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</si>
  <si>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</si>
  <si>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</si>
  <si>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</si>
  <si>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</si>
  <si>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</si>
  <si>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</si>
  <si>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</si>
  <si>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</si>
  <si>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</si>
  <si>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</si>
  <si>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</si>
  <si>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</si>
  <si>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</si>
  <si>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</si>
  <si>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</si>
  <si>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</si>
  <si>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</si>
  <si>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</si>
  <si>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</si>
  <si>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</si>
  <si>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</si>
  <si>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</si>
  <si>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</si>
  <si>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</si>
  <si>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</si>
  <si>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</si>
  <si>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</si>
  <si>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</si>
  <si>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</si>
  <si>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</si>
  <si>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</si>
  <si>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</si>
  <si>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</si>
  <si>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</si>
  <si>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</si>
  <si>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</si>
  <si>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</si>
  <si>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</si>
  <si>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</si>
  <si>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</si>
  <si>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</si>
  <si>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</si>
  <si>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</si>
  <si>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</si>
  <si>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</si>
  <si>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</si>
  <si>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</si>
  <si>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</si>
  <si>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</si>
  <si>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</si>
  <si>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</si>
  <si>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</si>
  <si>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</si>
  <si>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</si>
  <si>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</si>
  <si>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</si>
  <si>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</si>
  <si>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</si>
  <si>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</si>
  <si>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</si>
  <si>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</si>
  <si>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</si>
  <si>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</si>
  <si>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</si>
  <si>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</si>
  <si>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</si>
  <si>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</si>
  <si>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</si>
  <si>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</si>
  <si>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</si>
  <si>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</si>
  <si>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</si>
  <si>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</si>
  <si>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</si>
  <si>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</si>
  <si>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</si>
  <si>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</si>
  <si>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</si>
  <si>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</si>
  <si>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</si>
  <si>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</si>
  <si>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</si>
  <si>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</si>
  <si>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</si>
  <si>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</si>
  <si>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</si>
  <si>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</si>
  <si>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</si>
  <si>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</si>
  <si>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</si>
  <si>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</si>
  <si>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</si>
  <si>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</si>
  <si>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</si>
  <si>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</si>
  <si>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</si>
  <si>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</si>
  <si>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</si>
  <si>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</si>
  <si>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</si>
  <si>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</si>
  <si>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</si>
  <si>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</si>
  <si>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</si>
  <si>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</si>
  <si>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</si>
  <si>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</si>
  <si>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</si>
  <si>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</si>
  <si>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</si>
  <si>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</si>
  <si>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</si>
  <si>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</si>
  <si>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</si>
  <si>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</si>
  <si>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</si>
  <si>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</si>
  <si>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</si>
  <si>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</si>
  <si>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</si>
  <si>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</si>
  <si>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</si>
  <si>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</si>
  <si>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</si>
  <si>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</si>
  <si>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</si>
  <si>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</si>
  <si>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</si>
  <si>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</si>
  <si>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</si>
  <si>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</si>
  <si>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</si>
  <si>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</si>
  <si>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</si>
  <si>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</si>
  <si>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</si>
  <si>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</si>
  <si>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</si>
  <si>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</si>
  <si>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</si>
  <si>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</si>
  <si>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</si>
  <si>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</si>
  <si>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</si>
  <si>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</si>
  <si>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</si>
  <si>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</si>
  <si>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</si>
  <si>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</si>
  <si>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</si>
  <si>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</si>
  <si>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</si>
  <si>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</si>
  <si>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</si>
  <si>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</si>
  <si>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</si>
  <si>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</si>
  <si>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</si>
  <si>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</si>
  <si>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</si>
  <si>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</si>
  <si>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</si>
  <si>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</si>
  <si>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</si>
  <si>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</si>
  <si>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</si>
  <si>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</si>
  <si>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</si>
  <si>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</si>
  <si>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</si>
  <si>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</si>
  <si>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</si>
  <si>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</si>
  <si>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</si>
  <si>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</si>
  <si>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</si>
  <si>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</si>
  <si>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</si>
  <si>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</si>
  <si>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</si>
  <si>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</si>
  <si>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</si>
  <si>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</si>
  <si>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</si>
  <si>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</si>
  <si>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</si>
  <si>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</si>
  <si>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</si>
  <si>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</si>
  <si>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</si>
  <si>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</si>
  <si>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</si>
  <si>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</si>
  <si>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</si>
  <si>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</si>
  <si>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</si>
  <si>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</si>
  <si>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</si>
  <si>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</si>
  <si>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</si>
  <si>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</si>
  <si>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</si>
  <si>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</si>
  <si>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</si>
  <si>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</si>
  <si>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</si>
  <si>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</si>
  <si>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</si>
  <si>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</si>
  <si>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</si>
  <si>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</si>
  <si>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</si>
  <si>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</si>
  <si>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</si>
  <si>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</si>
  <si>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</si>
  <si>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</si>
  <si>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</si>
  <si>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</si>
  <si>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</si>
  <si>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</si>
  <si>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</si>
  <si>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</si>
  <si>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</si>
  <si>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</si>
  <si>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</si>
  <si>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</si>
  <si>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</si>
  <si>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</si>
  <si>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</si>
  <si>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</si>
  <si>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</si>
  <si>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</si>
  <si>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</si>
  <si>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</si>
  <si>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</si>
  <si>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</si>
  <si>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</si>
  <si>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</si>
  <si>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</si>
  <si>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</si>
  <si>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</si>
  <si>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</si>
  <si>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</si>
  <si>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</si>
  <si>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</si>
  <si>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</si>
  <si>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</si>
  <si>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</si>
  <si>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</si>
  <si>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</si>
  <si>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</si>
  <si>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</si>
  <si>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</si>
  <si>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</si>
  <si>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</si>
  <si>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</si>
  <si>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</si>
  <si>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</si>
  <si>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</si>
  <si>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</si>
  <si>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</si>
  <si>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</si>
  <si>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</si>
  <si>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</si>
  <si>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</si>
  <si>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</si>
  <si>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</si>
  <si>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</si>
  <si>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</si>
  <si>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</si>
  <si>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</si>
  <si>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</si>
  <si>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</si>
  <si>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</si>
  <si>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</si>
  <si>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</si>
  <si>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</si>
  <si>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</si>
  <si>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</si>
  <si>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</si>
  <si>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</si>
  <si>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</si>
  <si>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</si>
  <si>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</si>
  <si>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</si>
  <si>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</si>
  <si>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</si>
  <si>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</si>
  <si>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</si>
  <si>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</si>
  <si>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</si>
  <si>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</si>
  <si>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</si>
  <si>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</si>
  <si>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</si>
  <si>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</si>
  <si>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</si>
  <si>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</si>
  <si>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</si>
  <si>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</si>
  <si>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</si>
  <si>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</si>
  <si>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</si>
  <si>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</si>
  <si>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</si>
  <si>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</si>
  <si>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</si>
  <si>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</si>
  <si>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</si>
  <si>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</si>
  <si>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</si>
  <si>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</si>
  <si>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</si>
  <si>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</si>
  <si>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</si>
  <si>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</si>
  <si>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</si>
  <si>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</si>
  <si>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</si>
  <si>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</si>
  <si>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</si>
  <si>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</si>
  <si>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</si>
  <si>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</si>
  <si>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</si>
  <si>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</si>
  <si>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</si>
  <si>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</si>
  <si>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</si>
  <si>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</si>
  <si>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</si>
  <si>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</si>
  <si>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</si>
  <si>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</si>
  <si>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</si>
  <si>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</si>
  <si>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</si>
  <si>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</si>
  <si>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</si>
  <si>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</si>
  <si>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</si>
  <si>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</si>
  <si>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</si>
  <si>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</si>
  <si>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</si>
  <si>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</si>
  <si>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</si>
  <si>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</si>
  <si>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</si>
  <si>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</si>
  <si>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</si>
  <si>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</si>
  <si>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</si>
  <si>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</si>
  <si>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</si>
  <si>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</si>
  <si>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</si>
  <si>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</si>
  <si>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</si>
  <si>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</si>
  <si>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</si>
  <si>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</si>
  <si>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</si>
  <si>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</si>
  <si>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</si>
  <si>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</si>
  <si>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</si>
  <si>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</si>
  <si>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</si>
  <si>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</si>
  <si>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</si>
  <si>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</si>
  <si>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</si>
  <si>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</si>
  <si>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</si>
  <si>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</si>
  <si>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</si>
  <si>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</si>
  <si>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</si>
  <si>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</si>
  <si>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</si>
  <si>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</si>
  <si>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</si>
  <si>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</si>
  <si>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</si>
  <si>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</si>
  <si>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</si>
  <si>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</si>
  <si>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</si>
  <si>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</si>
  <si>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</si>
  <si>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</si>
  <si>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</si>
  <si>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</si>
  <si>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</si>
  <si>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</si>
  <si>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</si>
  <si>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</si>
  <si>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</si>
  <si>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</si>
  <si>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</si>
  <si>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</si>
  <si>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</si>
  <si>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</si>
  <si>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</si>
  <si>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</si>
  <si>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</si>
  <si>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</si>
  <si>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</si>
  <si>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</si>
  <si>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</si>
  <si>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</si>
  <si>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</si>
  <si>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</si>
  <si>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</si>
  <si>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</si>
  <si>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</si>
  <si>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</si>
  <si>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</si>
  <si>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</si>
  <si>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</si>
  <si>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</si>
  <si>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</si>
  <si>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</si>
  <si>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</si>
  <si>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</si>
  <si>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</si>
  <si>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</si>
  <si>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</si>
  <si>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</si>
  <si>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</si>
  <si>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</si>
  <si>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</si>
  <si>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</si>
  <si>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</si>
  <si>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</si>
  <si>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</si>
  <si>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</si>
  <si>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</si>
  <si>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</si>
  <si>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</si>
  <si>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</si>
  <si>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</si>
  <si>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</si>
  <si>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</si>
  <si>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</si>
  <si>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</si>
  <si>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</si>
  <si>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</si>
  <si>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</si>
  <si>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</si>
  <si>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</si>
  <si>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</si>
  <si>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</si>
  <si>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</si>
  <si>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</si>
  <si>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</si>
  <si>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</si>
  <si>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</si>
  <si>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</si>
  <si>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</si>
  <si>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</si>
  <si>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</si>
  <si>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</si>
  <si>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</si>
  <si>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</si>
  <si>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</si>
  <si>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</si>
  <si>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</si>
  <si>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</si>
  <si>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</si>
  <si>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</si>
  <si>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</si>
  <si>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</si>
  <si>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</si>
  <si>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</si>
  <si>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</si>
  <si>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</si>
  <si>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</si>
  <si>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</si>
  <si>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</si>
  <si>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</si>
  <si>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</si>
  <si>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</si>
  <si>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</si>
  <si>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</si>
  <si>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</si>
  <si>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</si>
  <si>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</si>
  <si>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</si>
  <si>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</si>
  <si>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</si>
  <si>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</si>
  <si>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</si>
  <si>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</si>
  <si>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</si>
  <si>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</si>
  <si>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</si>
  <si>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</si>
  <si>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</si>
  <si>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</si>
  <si>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</si>
  <si>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</si>
  <si>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</si>
  <si>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</si>
  <si>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</si>
  <si>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</si>
  <si>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</si>
  <si>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</si>
  <si>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</si>
  <si>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</si>
  <si>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</si>
  <si>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</si>
  <si>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</si>
  <si>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</si>
  <si>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</si>
  <si>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</si>
  <si>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</si>
  <si>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</si>
  <si>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</si>
  <si>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</si>
  <si>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</si>
  <si>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</si>
  <si>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</si>
  <si>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</si>
  <si>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</si>
  <si>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</si>
  <si>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</si>
  <si>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</si>
  <si>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</si>
  <si>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</si>
  <si>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</si>
  <si>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</si>
  <si>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</si>
  <si>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</si>
  <si>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</si>
  <si>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</si>
  <si>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</si>
  <si>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</si>
  <si>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</si>
  <si>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</si>
  <si>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</si>
  <si>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</si>
  <si>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</si>
  <si>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</si>
  <si>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</si>
  <si>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</si>
  <si>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</si>
  <si>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</si>
  <si>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</si>
  <si>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</si>
  <si>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</si>
  <si>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</si>
  <si>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</si>
  <si>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</si>
  <si>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</si>
  <si>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</si>
  <si>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</si>
  <si>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</si>
  <si>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</si>
  <si>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</si>
  <si>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</si>
  <si>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</si>
  <si>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</si>
  <si>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</si>
  <si>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</si>
  <si>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</si>
  <si>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</si>
  <si>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</si>
  <si>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</si>
  <si>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</si>
  <si>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</si>
  <si>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</si>
  <si>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</si>
  <si>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</si>
  <si>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</si>
  <si>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</si>
  <si>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</si>
  <si>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</si>
  <si>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</si>
  <si>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</si>
  <si>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</si>
  <si>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</si>
  <si>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</si>
  <si>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</si>
  <si>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</si>
  <si>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</si>
  <si>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</si>
  <si>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</si>
  <si>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</si>
  <si>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</si>
  <si>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</si>
  <si>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</si>
  <si>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</si>
  <si>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</si>
  <si>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</si>
  <si>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</si>
  <si>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</si>
  <si>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</si>
  <si>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</si>
  <si>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</si>
  <si>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</si>
  <si>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</si>
  <si>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</si>
  <si>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</si>
  <si>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</si>
  <si>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</si>
  <si>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</si>
  <si>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</si>
  <si>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</si>
  <si>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</si>
  <si>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</si>
  <si>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</si>
  <si>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</si>
  <si>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</si>
  <si>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</si>
  <si>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</si>
  <si>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</si>
  <si>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</si>
  <si>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</si>
  <si>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</si>
  <si>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</si>
  <si>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</si>
  <si>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</si>
  <si>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</si>
  <si>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</si>
  <si>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</si>
  <si>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</si>
  <si>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</si>
  <si>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</si>
  <si>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</si>
  <si>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</si>
  <si>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</si>
  <si>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</si>
  <si>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</si>
  <si>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</si>
  <si>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</si>
  <si>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</si>
  <si>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</si>
  <si>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</si>
  <si>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</si>
  <si>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</si>
  <si>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</si>
  <si>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</si>
  <si>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</si>
  <si>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</si>
  <si>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</si>
  <si>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</si>
  <si>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</si>
  <si>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</si>
  <si>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</si>
  <si>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</si>
  <si>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</si>
  <si>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</si>
  <si>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</si>
  <si>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</si>
  <si>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</si>
  <si>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</si>
  <si>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</si>
  <si>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</si>
  <si>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</si>
  <si>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</si>
  <si>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</si>
  <si>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</si>
  <si>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</si>
  <si>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</si>
  <si>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</si>
  <si>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</si>
  <si>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</si>
  <si>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</si>
  <si>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</si>
  <si>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</si>
  <si>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</si>
  <si>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</si>
  <si>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</si>
  <si>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</si>
  <si>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</si>
  <si>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</si>
  <si>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</si>
  <si>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</si>
  <si>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</si>
  <si>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</si>
  <si>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</si>
  <si>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</si>
  <si>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</si>
  <si>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</si>
  <si>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</si>
  <si>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</si>
  <si>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</si>
  <si>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</si>
  <si>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</si>
  <si>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</si>
  <si>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</si>
  <si>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</si>
  <si>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</si>
  <si>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</si>
  <si>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</si>
  <si>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</si>
  <si>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</si>
  <si>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</si>
  <si>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</si>
  <si>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</si>
  <si>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</si>
  <si>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</si>
  <si>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</si>
  <si>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23086</t>
  </si>
  <si>
    <t>TERNAT</t>
  </si>
  <si>
    <t>Fluvius</t>
  </si>
  <si>
    <t>referentietaak LNE (2017); Jaarverslag De Lijn</t>
  </si>
  <si>
    <t>Clean Energy Ternat</t>
  </si>
  <si>
    <t>WKK-0483 Clean Energy Ternat</t>
  </si>
  <si>
    <t>interne verbrandingsmotor</t>
  </si>
  <si>
    <t>WKK interne verbrandinsgmotor (gas)</t>
  </si>
  <si>
    <t>Pangaardenstraat 2, 1740 Ternat, BE</t>
  </si>
  <si>
    <t>IVERLEK (via EANDIS)</t>
  </si>
  <si>
    <t xml:space="preserve">landbouw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</si>
</sst>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131398.58408451176</c:v>
                </c:pt>
                <c:pt idx="1">
                  <c:v>44983.102609830858</c:v>
                </c:pt>
                <c:pt idx="2">
                  <c:v>1025.3440000000001</c:v>
                </c:pt>
                <c:pt idx="3">
                  <c:v>4289.7044043668839</c:v>
                </c:pt>
                <c:pt idx="4">
                  <c:v>13286.772512459696</c:v>
                </c:pt>
                <c:pt idx="5">
                  <c:v>237438.1954981891</c:v>
                </c:pt>
                <c:pt idx="6">
                  <c:v>1793.8068417525421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131398.58408451176</c:v>
                </c:pt>
                <c:pt idx="1">
                  <c:v>44983.102609830858</c:v>
                </c:pt>
                <c:pt idx="2">
                  <c:v>1025.3440000000001</c:v>
                </c:pt>
                <c:pt idx="3">
                  <c:v>4289.7044043668839</c:v>
                </c:pt>
                <c:pt idx="4">
                  <c:v>13286.772512459696</c:v>
                </c:pt>
                <c:pt idx="5">
                  <c:v>237438.1954981891</c:v>
                </c:pt>
                <c:pt idx="6">
                  <c:v>1793.8068417525421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26640.178943408824</c:v>
                </c:pt>
                <c:pt idx="2">
                  <c:v>8976.9817169109556</c:v>
                </c:pt>
                <c:pt idx="3">
                  <c:v>203.93328436901064</c:v>
                </c:pt>
                <c:pt idx="4">
                  <c:v>486.50174475979031</c:v>
                </c:pt>
                <c:pt idx="5">
                  <c:v>2716.0050351424657</c:v>
                </c:pt>
                <c:pt idx="6">
                  <c:v>59466.285863812183</c:v>
                </c:pt>
                <c:pt idx="7">
                  <c:v>453.20814900104364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26640.178943408824</c:v>
                </c:pt>
                <c:pt idx="2">
                  <c:v>8976.9817169109556</c:v>
                </c:pt>
                <c:pt idx="3">
                  <c:v>203.93328436901064</c:v>
                </c:pt>
                <c:pt idx="4">
                  <c:v>486.50174475979031</c:v>
                </c:pt>
                <c:pt idx="5">
                  <c:v>2716.0050351424657</c:v>
                </c:pt>
                <c:pt idx="6">
                  <c:v>59466.285863812183</c:v>
                </c:pt>
                <c:pt idx="7">
                  <c:v>453.20814900104364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23086</v>
      </c>
      <c r="B6" s="390"/>
      <c r="C6" s="391"/>
    </row>
    <row r="7" spans="1:7" s="388" customFormat="1" ht="15.75" customHeight="1">
      <c r="A7" s="392" t="str">
        <f>txtMunicipality</f>
        <v>TERNAT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0.19889255154271213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0.19889255154271213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6227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1022.73</v>
      </c>
      <c r="C14" s="330"/>
      <c r="D14" s="330"/>
      <c r="E14" s="330"/>
      <c r="F14" s="330"/>
    </row>
    <row r="15" spans="1:6">
      <c r="A15" s="1293" t="s">
        <v>183</v>
      </c>
      <c r="B15" s="1294">
        <v>9</v>
      </c>
      <c r="C15" s="330"/>
      <c r="D15" s="330"/>
      <c r="E15" s="330"/>
      <c r="F15" s="330"/>
    </row>
    <row r="16" spans="1:6">
      <c r="A16" s="1293" t="s">
        <v>6</v>
      </c>
      <c r="B16" s="1294">
        <v>352</v>
      </c>
      <c r="C16" s="330"/>
      <c r="D16" s="330"/>
      <c r="E16" s="330"/>
      <c r="F16" s="330"/>
    </row>
    <row r="17" spans="1:6">
      <c r="A17" s="1293" t="s">
        <v>7</v>
      </c>
      <c r="B17" s="1294">
        <v>233</v>
      </c>
      <c r="C17" s="330"/>
      <c r="D17" s="330"/>
      <c r="E17" s="330"/>
      <c r="F17" s="330"/>
    </row>
    <row r="18" spans="1:6">
      <c r="A18" s="1293" t="s">
        <v>8</v>
      </c>
      <c r="B18" s="1294">
        <v>449</v>
      </c>
      <c r="C18" s="330"/>
      <c r="D18" s="330"/>
      <c r="E18" s="330"/>
      <c r="F18" s="330"/>
    </row>
    <row r="19" spans="1:6">
      <c r="A19" s="1293" t="s">
        <v>9</v>
      </c>
      <c r="B19" s="1294">
        <v>400</v>
      </c>
      <c r="C19" s="330"/>
      <c r="D19" s="330"/>
      <c r="E19" s="330"/>
      <c r="F19" s="330"/>
    </row>
    <row r="20" spans="1:6">
      <c r="A20" s="1293" t="s">
        <v>10</v>
      </c>
      <c r="B20" s="1294">
        <v>318</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75</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175</v>
      </c>
      <c r="C29" s="336"/>
      <c r="D29" s="336"/>
      <c r="E29" s="336"/>
      <c r="F29" s="336"/>
    </row>
    <row r="30" spans="1:6">
      <c r="A30" s="1288" t="s">
        <v>735</v>
      </c>
      <c r="B30" s="1297">
        <v>30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40795.599930409997</v>
      </c>
    </row>
    <row r="39" spans="1:6">
      <c r="A39" s="1293" t="s">
        <v>29</v>
      </c>
      <c r="B39" s="1293" t="s">
        <v>30</v>
      </c>
      <c r="C39" s="1294">
        <v>3560</v>
      </c>
      <c r="D39" s="1294">
        <v>62957886.252123602</v>
      </c>
      <c r="E39" s="1294">
        <v>6028</v>
      </c>
      <c r="F39" s="1294">
        <v>23988805.853807598</v>
      </c>
    </row>
    <row r="40" spans="1:6">
      <c r="A40" s="1293" t="s">
        <v>29</v>
      </c>
      <c r="B40" s="1293" t="s">
        <v>28</v>
      </c>
      <c r="C40" s="1294">
        <v>0</v>
      </c>
      <c r="D40" s="1294">
        <v>0</v>
      </c>
      <c r="E40" s="1294">
        <v>0</v>
      </c>
      <c r="F40" s="1294">
        <v>0</v>
      </c>
    </row>
    <row r="41" spans="1:6">
      <c r="A41" s="1293" t="s">
        <v>31</v>
      </c>
      <c r="B41" s="1293" t="s">
        <v>32</v>
      </c>
      <c r="C41" s="1294">
        <v>40</v>
      </c>
      <c r="D41" s="1294">
        <v>1035396.83550057</v>
      </c>
      <c r="E41" s="1294">
        <v>88</v>
      </c>
      <c r="F41" s="1294">
        <v>1185213.34745375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6</v>
      </c>
      <c r="F44" s="1294">
        <v>45225.154352060003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29</v>
      </c>
      <c r="D48" s="1294">
        <v>1764811.9059339999</v>
      </c>
      <c r="E48" s="1294">
        <v>59</v>
      </c>
      <c r="F48" s="1294">
        <v>6065364.3398735803</v>
      </c>
    </row>
    <row r="49" spans="1:6">
      <c r="A49" s="1293" t="s">
        <v>31</v>
      </c>
      <c r="B49" s="1293" t="s">
        <v>39</v>
      </c>
      <c r="C49" s="1294">
        <v>0</v>
      </c>
      <c r="D49" s="1294">
        <v>0</v>
      </c>
      <c r="E49" s="1294">
        <v>0</v>
      </c>
      <c r="F49" s="1294">
        <v>0</v>
      </c>
    </row>
    <row r="50" spans="1:6">
      <c r="A50" s="1293" t="s">
        <v>31</v>
      </c>
      <c r="B50" s="1293" t="s">
        <v>40</v>
      </c>
      <c r="C50" s="1294">
        <v>0</v>
      </c>
      <c r="D50" s="1294">
        <v>0</v>
      </c>
      <c r="E50" s="1294">
        <v>4</v>
      </c>
      <c r="F50" s="1294">
        <v>74294.148526952398</v>
      </c>
    </row>
    <row r="51" spans="1:6">
      <c r="A51" s="1293" t="s">
        <v>41</v>
      </c>
      <c r="B51" s="1293" t="s">
        <v>42</v>
      </c>
      <c r="C51" s="1294">
        <v>0</v>
      </c>
      <c r="D51" s="1294">
        <v>0</v>
      </c>
      <c r="E51" s="1294">
        <v>21</v>
      </c>
      <c r="F51" s="1294">
        <v>223254.77708586401</v>
      </c>
    </row>
    <row r="52" spans="1:6">
      <c r="A52" s="1293" t="s">
        <v>41</v>
      </c>
      <c r="B52" s="1293" t="s">
        <v>28</v>
      </c>
      <c r="C52" s="1294">
        <v>11</v>
      </c>
      <c r="D52" s="1294">
        <v>183070.77124221</v>
      </c>
      <c r="E52" s="1294">
        <v>16</v>
      </c>
      <c r="F52" s="1294">
        <v>107711.461214699</v>
      </c>
    </row>
    <row r="53" spans="1:6">
      <c r="A53" s="1293" t="s">
        <v>43</v>
      </c>
      <c r="B53" s="1293" t="s">
        <v>44</v>
      </c>
      <c r="C53" s="1294">
        <v>82</v>
      </c>
      <c r="D53" s="1294">
        <v>1903137.6346345099</v>
      </c>
      <c r="E53" s="1294">
        <v>188</v>
      </c>
      <c r="F53" s="1294">
        <v>644450.49306155904</v>
      </c>
    </row>
    <row r="54" spans="1:6">
      <c r="A54" s="1293" t="s">
        <v>45</v>
      </c>
      <c r="B54" s="1293" t="s">
        <v>46</v>
      </c>
      <c r="C54" s="1294">
        <v>0</v>
      </c>
      <c r="D54" s="1294">
        <v>0</v>
      </c>
      <c r="E54" s="1294">
        <v>1</v>
      </c>
      <c r="F54" s="1294">
        <v>1025344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18</v>
      </c>
      <c r="D57" s="1294">
        <v>431779.83092335198</v>
      </c>
      <c r="E57" s="1294">
        <v>47</v>
      </c>
      <c r="F57" s="1294">
        <v>813580.57721727504</v>
      </c>
    </row>
    <row r="58" spans="1:6">
      <c r="A58" s="1293" t="s">
        <v>48</v>
      </c>
      <c r="B58" s="1293" t="s">
        <v>50</v>
      </c>
      <c r="C58" s="1294">
        <v>8</v>
      </c>
      <c r="D58" s="1294">
        <v>304057.116412237</v>
      </c>
      <c r="E58" s="1294">
        <v>17</v>
      </c>
      <c r="F58" s="1294">
        <v>117947.053938431</v>
      </c>
    </row>
    <row r="59" spans="1:6">
      <c r="A59" s="1293" t="s">
        <v>48</v>
      </c>
      <c r="B59" s="1293" t="s">
        <v>51</v>
      </c>
      <c r="C59" s="1294">
        <v>48</v>
      </c>
      <c r="D59" s="1294">
        <v>3059819.6677244599</v>
      </c>
      <c r="E59" s="1294">
        <v>134</v>
      </c>
      <c r="F59" s="1294">
        <v>7037802.6362016397</v>
      </c>
    </row>
    <row r="60" spans="1:6">
      <c r="A60" s="1293" t="s">
        <v>48</v>
      </c>
      <c r="B60" s="1293" t="s">
        <v>52</v>
      </c>
      <c r="C60" s="1294">
        <v>35</v>
      </c>
      <c r="D60" s="1294">
        <v>1666913.7584931899</v>
      </c>
      <c r="E60" s="1294">
        <v>51</v>
      </c>
      <c r="F60" s="1294">
        <v>1130326.2296185801</v>
      </c>
    </row>
    <row r="61" spans="1:6">
      <c r="A61" s="1293" t="s">
        <v>48</v>
      </c>
      <c r="B61" s="1293" t="s">
        <v>53</v>
      </c>
      <c r="C61" s="1294">
        <v>121</v>
      </c>
      <c r="D61" s="1294">
        <v>3902598.7599382098</v>
      </c>
      <c r="E61" s="1294">
        <v>274</v>
      </c>
      <c r="F61" s="1294">
        <v>4062449.2232242199</v>
      </c>
    </row>
    <row r="62" spans="1:6">
      <c r="A62" s="1293" t="s">
        <v>48</v>
      </c>
      <c r="B62" s="1293" t="s">
        <v>54</v>
      </c>
      <c r="C62" s="1294">
        <v>4</v>
      </c>
      <c r="D62" s="1294">
        <v>396368.576070073</v>
      </c>
      <c r="E62" s="1294">
        <v>6</v>
      </c>
      <c r="F62" s="1294">
        <v>278150.43838675902</v>
      </c>
    </row>
    <row r="63" spans="1:6">
      <c r="A63" s="1293" t="s">
        <v>48</v>
      </c>
      <c r="B63" s="1293" t="s">
        <v>28</v>
      </c>
      <c r="C63" s="1294">
        <v>176</v>
      </c>
      <c r="D63" s="1294">
        <v>10332438.496319501</v>
      </c>
      <c r="E63" s="1294">
        <v>209</v>
      </c>
      <c r="F63" s="1294">
        <v>7834877.2758815698</v>
      </c>
    </row>
    <row r="64" spans="1:6">
      <c r="A64" s="1293" t="s">
        <v>55</v>
      </c>
      <c r="B64" s="1293" t="s">
        <v>56</v>
      </c>
      <c r="C64" s="1294">
        <v>0</v>
      </c>
      <c r="D64" s="1294">
        <v>0</v>
      </c>
      <c r="E64" s="1294">
        <v>0</v>
      </c>
      <c r="F64" s="1294">
        <v>0</v>
      </c>
    </row>
    <row r="65" spans="1:6">
      <c r="A65" s="1293" t="s">
        <v>55</v>
      </c>
      <c r="B65" s="1293" t="s">
        <v>28</v>
      </c>
      <c r="C65" s="1294">
        <v>3</v>
      </c>
      <c r="D65" s="1294">
        <v>124586.899172213</v>
      </c>
      <c r="E65" s="1294">
        <v>3</v>
      </c>
      <c r="F65" s="1294">
        <v>8886.6196923793996</v>
      </c>
    </row>
    <row r="66" spans="1:6">
      <c r="A66" s="1293" t="s">
        <v>55</v>
      </c>
      <c r="B66" s="1293" t="s">
        <v>57</v>
      </c>
      <c r="C66" s="1294">
        <v>0</v>
      </c>
      <c r="D66" s="1294">
        <v>0</v>
      </c>
      <c r="E66" s="1294">
        <v>4</v>
      </c>
      <c r="F66" s="1294">
        <v>84201.603915325002</v>
      </c>
    </row>
    <row r="67" spans="1:6">
      <c r="A67" s="1295" t="s">
        <v>55</v>
      </c>
      <c r="B67" s="1295" t="s">
        <v>58</v>
      </c>
      <c r="C67" s="1294">
        <v>0</v>
      </c>
      <c r="D67" s="1294">
        <v>0</v>
      </c>
      <c r="E67" s="1294">
        <v>0</v>
      </c>
      <c r="F67" s="1294">
        <v>0</v>
      </c>
    </row>
    <row r="68" spans="1:6">
      <c r="A68" s="1288" t="s">
        <v>55</v>
      </c>
      <c r="B68" s="1288" t="s">
        <v>59</v>
      </c>
      <c r="C68" s="1297">
        <v>4</v>
      </c>
      <c r="D68" s="1297">
        <v>2957926.6039620801</v>
      </c>
      <c r="E68" s="1297">
        <v>17</v>
      </c>
      <c r="F68" s="1297">
        <v>1187437.9700094501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24010465</v>
      </c>
      <c r="E73" s="449"/>
      <c r="F73" s="330"/>
    </row>
    <row r="74" spans="1:6">
      <c r="A74" s="1293" t="s">
        <v>63</v>
      </c>
      <c r="B74" s="1293" t="s">
        <v>656</v>
      </c>
      <c r="C74" s="1307" t="s">
        <v>658</v>
      </c>
      <c r="D74" s="1308">
        <v>4088467</v>
      </c>
      <c r="E74" s="449"/>
      <c r="F74" s="330"/>
    </row>
    <row r="75" spans="1:6">
      <c r="A75" s="1293" t="s">
        <v>64</v>
      </c>
      <c r="B75" s="1293" t="s">
        <v>655</v>
      </c>
      <c r="C75" s="1307" t="s">
        <v>659</v>
      </c>
      <c r="D75" s="1308">
        <v>45943010</v>
      </c>
      <c r="E75" s="449"/>
      <c r="F75" s="330"/>
    </row>
    <row r="76" spans="1:6">
      <c r="A76" s="1293" t="s">
        <v>64</v>
      </c>
      <c r="B76" s="1293" t="s">
        <v>656</v>
      </c>
      <c r="C76" s="1307" t="s">
        <v>660</v>
      </c>
      <c r="D76" s="1308">
        <v>2786477</v>
      </c>
      <c r="E76" s="449"/>
      <c r="F76" s="330"/>
    </row>
    <row r="77" spans="1:6">
      <c r="A77" s="1293" t="s">
        <v>65</v>
      </c>
      <c r="B77" s="1293" t="s">
        <v>655</v>
      </c>
      <c r="C77" s="1307" t="s">
        <v>661</v>
      </c>
      <c r="D77" s="1308">
        <v>161707559</v>
      </c>
      <c r="E77" s="449"/>
      <c r="F77" s="330"/>
    </row>
    <row r="78" spans="1:6">
      <c r="A78" s="1288" t="s">
        <v>65</v>
      </c>
      <c r="B78" s="1288" t="s">
        <v>656</v>
      </c>
      <c r="C78" s="1288" t="s">
        <v>662</v>
      </c>
      <c r="D78" s="1309">
        <v>19105147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489228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2982.2339042212216</v>
      </c>
      <c r="C91" s="330"/>
      <c r="D91" s="330"/>
      <c r="E91" s="330"/>
      <c r="F91" s="330"/>
    </row>
    <row r="92" spans="1:6">
      <c r="A92" s="1288" t="s">
        <v>68</v>
      </c>
      <c r="B92" s="1289">
        <v>1139.1612642103362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1691</v>
      </c>
      <c r="C97" s="330"/>
      <c r="D97" s="330"/>
      <c r="E97" s="330"/>
      <c r="F97" s="330"/>
    </row>
    <row r="98" spans="1:6">
      <c r="A98" s="1293" t="s">
        <v>71</v>
      </c>
      <c r="B98" s="1294">
        <v>2</v>
      </c>
      <c r="C98" s="330"/>
      <c r="D98" s="330"/>
      <c r="E98" s="330"/>
      <c r="F98" s="330"/>
    </row>
    <row r="99" spans="1:6">
      <c r="A99" s="1293" t="s">
        <v>72</v>
      </c>
      <c r="B99" s="1294">
        <v>122</v>
      </c>
      <c r="C99" s="330"/>
      <c r="D99" s="330"/>
      <c r="E99" s="330"/>
      <c r="F99" s="330"/>
    </row>
    <row r="100" spans="1:6">
      <c r="A100" s="1293" t="s">
        <v>73</v>
      </c>
      <c r="B100" s="1294">
        <v>513</v>
      </c>
      <c r="C100" s="330"/>
      <c r="D100" s="330"/>
      <c r="E100" s="330"/>
      <c r="F100" s="330"/>
    </row>
    <row r="101" spans="1:6">
      <c r="A101" s="1293" t="s">
        <v>74</v>
      </c>
      <c r="B101" s="1294">
        <v>54</v>
      </c>
      <c r="C101" s="330"/>
      <c r="D101" s="330"/>
      <c r="E101" s="330"/>
      <c r="F101" s="330"/>
    </row>
    <row r="102" spans="1:6">
      <c r="A102" s="1293" t="s">
        <v>75</v>
      </c>
      <c r="B102" s="1294">
        <v>63</v>
      </c>
      <c r="C102" s="330"/>
      <c r="D102" s="330"/>
      <c r="E102" s="330"/>
      <c r="F102" s="330"/>
    </row>
    <row r="103" spans="1:6">
      <c r="A103" s="1293" t="s">
        <v>76</v>
      </c>
      <c r="B103" s="1294">
        <v>128</v>
      </c>
      <c r="C103" s="330"/>
      <c r="D103" s="330"/>
      <c r="E103" s="330"/>
      <c r="F103" s="330"/>
    </row>
    <row r="104" spans="1:6">
      <c r="A104" s="1293" t="s">
        <v>77</v>
      </c>
      <c r="B104" s="1294">
        <v>2909</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15</v>
      </c>
      <c r="C123" s="1294">
        <v>15</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94</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26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57694.506658587386</v>
      </c>
      <c r="C3" s="43" t="s">
        <v>169</v>
      </c>
      <c r="D3" s="43"/>
      <c r="E3" s="154"/>
      <c r="F3" s="43"/>
      <c r="G3" s="43"/>
      <c r="H3" s="43"/>
      <c r="I3" s="43"/>
      <c r="J3" s="43"/>
      <c r="K3" s="96"/>
    </row>
    <row r="4" spans="1:11">
      <c r="A4" s="358" t="s">
        <v>170</v>
      </c>
      <c r="B4" s="49">
        <f>IF(ISERROR('SEAP template'!B78+'SEAP template'!C78),0,'SEAP template'!B78+'SEAP template'!C78)</f>
        <v>5771.395168431558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0.19889255154271213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2357.1428571428573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1025.3440000000001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1025.3440000000001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0.19889255154271213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203.93328436901064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23988.805853807597</v>
      </c>
      <c r="C5" s="17">
        <f>IF(ISERROR('Eigen informatie GS &amp; warmtenet'!B57),0,'Eigen informatie GS &amp; warmtenet'!B57)</f>
        <v>0</v>
      </c>
      <c r="D5" s="30">
        <f>(SUM(HH_hh_gas_kWh,HH_rest_gas_kWh)/1000)*0.902</f>
        <v>56788.013399415489</v>
      </c>
      <c r="E5" s="17">
        <f>B46*B57</f>
        <v>13090.079315474373</v>
      </c>
      <c r="F5" s="17">
        <f>B51*B62</f>
        <v>25592.55923925067</v>
      </c>
      <c r="G5" s="18"/>
      <c r="H5" s="17"/>
      <c r="I5" s="17"/>
      <c r="J5" s="17">
        <f>B50*B61+C50*C61</f>
        <v>0</v>
      </c>
      <c r="K5" s="17"/>
      <c r="L5" s="17"/>
      <c r="M5" s="17"/>
      <c r="N5" s="17">
        <f>B48*B59+C48*C59</f>
        <v>7985.6890390090757</v>
      </c>
      <c r="O5" s="17">
        <f>B69*B70*B71</f>
        <v>170.40333333333334</v>
      </c>
      <c r="P5" s="17">
        <f>B77*B78*B79/1000-B77*B78*B79/1000/B80</f>
        <v>800.8</v>
      </c>
    </row>
    <row r="6" spans="1:16">
      <c r="A6" s="16" t="s">
        <v>620</v>
      </c>
      <c r="B6" s="762">
        <f>kWh_PV_kleiner_dan_10kW</f>
        <v>2982.2339042212216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26971.039758028819</v>
      </c>
      <c r="C8" s="21">
        <f>C5</f>
        <v>0</v>
      </c>
      <c r="D8" s="21">
        <f>D5</f>
        <v>56788.013399415489</v>
      </c>
      <c r="E8" s="21">
        <f>E5</f>
        <v>13090.079315474373</v>
      </c>
      <c r="F8" s="21">
        <f>F5</f>
        <v>25592.55923925067</v>
      </c>
      <c r="G8" s="21"/>
      <c r="H8" s="21"/>
      <c r="I8" s="21"/>
      <c r="J8" s="21">
        <f>J5</f>
        <v>0</v>
      </c>
      <c r="K8" s="21"/>
      <c r="L8" s="21">
        <f>L5</f>
        <v>0</v>
      </c>
      <c r="M8" s="21">
        <f>M5</f>
        <v>0</v>
      </c>
      <c r="N8" s="21">
        <f>N5</f>
        <v>7985.6890390090757</v>
      </c>
      <c r="O8" s="21">
        <f>O5</f>
        <v>170.40333333333334</v>
      </c>
      <c r="P8" s="21">
        <f>P5</f>
        <v>800.8</v>
      </c>
    </row>
    <row r="9" spans="1:16">
      <c r="B9" s="19"/>
      <c r="C9" s="19"/>
      <c r="D9" s="258"/>
      <c r="E9" s="19"/>
      <c r="F9" s="19"/>
      <c r="G9" s="19"/>
      <c r="H9" s="19"/>
      <c r="I9" s="19"/>
      <c r="J9" s="19"/>
      <c r="K9" s="19"/>
      <c r="L9" s="19"/>
      <c r="M9" s="19"/>
      <c r="N9" s="19"/>
      <c r="O9" s="19"/>
      <c r="P9" s="19"/>
    </row>
    <row r="10" spans="1:16">
      <c r="A10" s="24" t="s">
        <v>213</v>
      </c>
      <c r="B10" s="25">
        <f ca="1">'EF ele_warmte'!B12</f>
        <v>0.19889255154271213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5364.3389152342852</v>
      </c>
      <c r="C12" s="23">
        <f ca="1">C10*C8</f>
        <v>0</v>
      </c>
      <c r="D12" s="23">
        <f>D8*D10</f>
        <v>11471.178706681929</v>
      </c>
      <c r="E12" s="23">
        <f>E10*E8</f>
        <v>2971.4480046126828</v>
      </c>
      <c r="F12" s="23">
        <f>F10*F8</f>
        <v>6833.2133168799292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1691</v>
      </c>
      <c r="C18" s="166" t="s">
        <v>110</v>
      </c>
      <c r="D18" s="228"/>
      <c r="E18" s="15"/>
    </row>
    <row r="19" spans="1:7">
      <c r="A19" s="171" t="s">
        <v>71</v>
      </c>
      <c r="B19" s="37">
        <f>aantalw2001_ander</f>
        <v>2</v>
      </c>
      <c r="C19" s="166" t="s">
        <v>110</v>
      </c>
      <c r="D19" s="229"/>
      <c r="E19" s="15"/>
    </row>
    <row r="20" spans="1:7">
      <c r="A20" s="171" t="s">
        <v>72</v>
      </c>
      <c r="B20" s="37">
        <f>aantalw2001_propaan</f>
        <v>122</v>
      </c>
      <c r="C20" s="167">
        <f>IF(ISERROR(B20/SUM($B$20,$B$21,$B$22)*100),0,B20/SUM($B$20,$B$21,$B$22)*100)</f>
        <v>17.706821480406386</v>
      </c>
      <c r="D20" s="229"/>
      <c r="E20" s="15"/>
    </row>
    <row r="21" spans="1:7">
      <c r="A21" s="171" t="s">
        <v>73</v>
      </c>
      <c r="B21" s="37">
        <f>aantalw2001_elektriciteit</f>
        <v>513</v>
      </c>
      <c r="C21" s="167">
        <f>IF(ISERROR(B21/SUM($B$20,$B$21,$B$22)*100),0,B21/SUM($B$20,$B$21,$B$22)*100)</f>
        <v>74.45573294629898</v>
      </c>
      <c r="D21" s="229"/>
      <c r="E21" s="15"/>
    </row>
    <row r="22" spans="1:7">
      <c r="A22" s="171" t="s">
        <v>74</v>
      </c>
      <c r="B22" s="37">
        <f>aantalw2001_hout</f>
        <v>54</v>
      </c>
      <c r="C22" s="167">
        <f>IF(ISERROR(B22/SUM($B$20,$B$21,$B$22)*100),0,B22/SUM($B$20,$B$21,$B$22)*100)</f>
        <v>7.8374455732946293</v>
      </c>
      <c r="D22" s="229"/>
      <c r="E22" s="15"/>
    </row>
    <row r="23" spans="1:7">
      <c r="A23" s="171" t="s">
        <v>75</v>
      </c>
      <c r="B23" s="37">
        <f>aantalw2001_niet_gespec</f>
        <v>63</v>
      </c>
      <c r="C23" s="166" t="s">
        <v>110</v>
      </c>
      <c r="D23" s="228"/>
      <c r="E23" s="15"/>
    </row>
    <row r="24" spans="1:7">
      <c r="A24" s="171" t="s">
        <v>76</v>
      </c>
      <c r="B24" s="37">
        <f>aantalw2001_steenkool</f>
        <v>128</v>
      </c>
      <c r="C24" s="166" t="s">
        <v>110</v>
      </c>
      <c r="D24" s="229"/>
      <c r="E24" s="15"/>
    </row>
    <row r="25" spans="1:7">
      <c r="A25" s="171" t="s">
        <v>77</v>
      </c>
      <c r="B25" s="37">
        <f>aantalw2001_stookolie</f>
        <v>2909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6227</v>
      </c>
      <c r="C28" s="36"/>
      <c r="D28" s="228"/>
    </row>
    <row r="29" spans="1:7" s="15" customFormat="1">
      <c r="A29" s="230" t="s">
        <v>781</v>
      </c>
      <c r="B29" s="37">
        <f>SUM(HH_hh_gas_aantal,HH_rest_gas_aantal)</f>
        <v>3560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3560</v>
      </c>
      <c r="C32" s="167">
        <f>IF(ISERROR(B32/SUM($B$32,$B$34,$B$35,$B$36,$B$38,$B$39)*100),0,B32/SUM($B$32,$B$34,$B$35,$B$36,$B$38,$B$39)*100)</f>
        <v>57.558609539207758</v>
      </c>
      <c r="D32" s="233"/>
      <c r="G32" s="15"/>
    </row>
    <row r="33" spans="1:7">
      <c r="A33" s="171" t="s">
        <v>71</v>
      </c>
      <c r="B33" s="34" t="s">
        <v>110</v>
      </c>
      <c r="C33" s="167"/>
      <c r="D33" s="233"/>
      <c r="G33" s="15"/>
    </row>
    <row r="34" spans="1:7">
      <c r="A34" s="171" t="s">
        <v>72</v>
      </c>
      <c r="B34" s="33">
        <f>IF((($B$28-$B$32-$B$39-$B$77-$B$38)*C20/100)&lt;0,0,($B$28-$B$32-$B$39-$B$77-$B$38)*C20/100)</f>
        <v>247.55907111756173</v>
      </c>
      <c r="C34" s="167">
        <f>IF(ISERROR(B34/SUM($B$32,$B$34,$B$35,$B$36,$B$38,$B$39)*100),0,B34/SUM($B$32,$B$34,$B$35,$B$36,$B$38,$B$39)*100)</f>
        <v>4.0025718854900845</v>
      </c>
      <c r="D34" s="233"/>
      <c r="G34" s="15"/>
    </row>
    <row r="35" spans="1:7">
      <c r="A35" s="171" t="s">
        <v>73</v>
      </c>
      <c r="B35" s="33">
        <f>IF((($B$28-$B$32-$B$39-$B$77-$B$38)*C21/100)&lt;0,0,($B$28-$B$32-$B$39-$B$77-$B$38)*C21/100)</f>
        <v>1040.965602322206</v>
      </c>
      <c r="C35" s="167">
        <f>IF(ISERROR(B35/SUM($B$32,$B$34,$B$35,$B$36,$B$38,$B$39)*100),0,B35/SUM($B$32,$B$34,$B$35,$B$36,$B$38,$B$39)*100)</f>
        <v>16.830486698823055</v>
      </c>
      <c r="D35" s="233"/>
      <c r="G35" s="15"/>
    </row>
    <row r="36" spans="1:7">
      <c r="A36" s="171" t="s">
        <v>74</v>
      </c>
      <c r="B36" s="33">
        <f>IF((($B$28-$B$32-$B$39-$B$77-$B$38)*C22/100)&lt;0,0,($B$28-$B$32-$B$39-$B$77-$B$38)*C22/100)</f>
        <v>109.57532656023223</v>
      </c>
      <c r="C36" s="167">
        <f>IF(ISERROR(B36/SUM($B$32,$B$34,$B$35,$B$36,$B$38,$B$39)*100),0,B36/SUM($B$32,$B$34,$B$35,$B$36,$B$38,$B$39)*100)</f>
        <v>1.7716301788234796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1226.8999999999999</v>
      </c>
      <c r="C39" s="167">
        <f>IF(ISERROR(B39/SUM($B$32,$B$34,$B$35,$B$36,$B$38,$B$39)*100),0,B39/SUM($B$32,$B$34,$B$35,$B$36,$B$38,$B$39)*100)</f>
        <v>19.836701697655617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3560</v>
      </c>
      <c r="C44" s="34" t="s">
        <v>110</v>
      </c>
      <c r="D44" s="174"/>
    </row>
    <row r="45" spans="1:7">
      <c r="A45" s="171" t="s">
        <v>71</v>
      </c>
      <c r="B45" s="33" t="str">
        <f t="shared" si="0"/>
        <v>-</v>
      </c>
      <c r="C45" s="34" t="s">
        <v>110</v>
      </c>
      <c r="D45" s="174"/>
    </row>
    <row r="46" spans="1:7">
      <c r="A46" s="171" t="s">
        <v>72</v>
      </c>
      <c r="B46" s="33">
        <f t="shared" si="0"/>
        <v>247.55907111756173</v>
      </c>
      <c r="C46" s="34" t="s">
        <v>110</v>
      </c>
      <c r="D46" s="174"/>
    </row>
    <row r="47" spans="1:7">
      <c r="A47" s="171" t="s">
        <v>73</v>
      </c>
      <c r="B47" s="33">
        <f t="shared" si="0"/>
        <v>1040.965602322206</v>
      </c>
      <c r="C47" s="34" t="s">
        <v>110</v>
      </c>
      <c r="D47" s="174"/>
    </row>
    <row r="48" spans="1:7">
      <c r="A48" s="171" t="s">
        <v>74</v>
      </c>
      <c r="B48" s="33">
        <f t="shared" si="0"/>
        <v>109.57532656023223</v>
      </c>
      <c r="C48" s="33">
        <f>B48*10</f>
        <v>1095.7532656023222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1226.8999999999999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21275.133434468476</v>
      </c>
      <c r="C5" s="17">
        <f>IF(ISERROR('Eigen informatie GS &amp; warmtenet'!B58),0,'Eigen informatie GS &amp; warmtenet'!B58)</f>
        <v>0</v>
      </c>
      <c r="D5" s="30">
        <f>SUM(D6:D12)</f>
        <v>18124.766537704683</v>
      </c>
      <c r="E5" s="17">
        <f>SUM(E6:E12)</f>
        <v>373.93913273125503</v>
      </c>
      <c r="F5" s="17">
        <f>SUM(F6:F12)</f>
        <v>3743.1316563450951</v>
      </c>
      <c r="G5" s="18"/>
      <c r="H5" s="17"/>
      <c r="I5" s="17"/>
      <c r="J5" s="17">
        <f>SUM(J6:J12)</f>
        <v>3.6631998232152629E-2</v>
      </c>
      <c r="K5" s="17"/>
      <c r="L5" s="17"/>
      <c r="M5" s="17"/>
      <c r="N5" s="17">
        <f>SUM(N6:N12)</f>
        <v>1466.0952165831093</v>
      </c>
      <c r="O5" s="17">
        <f>B38*B39*B40</f>
        <v>0</v>
      </c>
      <c r="P5" s="17">
        <f>B46*B47*B48/1000-B46*B47*B48/1000/B49</f>
        <v>0</v>
      </c>
      <c r="R5" s="32"/>
    </row>
    <row r="6" spans="1:18">
      <c r="A6" s="32" t="s">
        <v>53</v>
      </c>
      <c r="B6" s="37">
        <f>B26</f>
        <v>4062.4492232242201</v>
      </c>
      <c r="C6" s="33"/>
      <c r="D6" s="37">
        <f>IF(ISERROR(TER_kantoor_gas_kWh/1000),0,TER_kantoor_gas_kWh/1000)*0.902</f>
        <v>3520.1440814642651</v>
      </c>
      <c r="E6" s="33">
        <f>$C$26*'E Balans VL '!I12/100/3.6*1000000</f>
        <v>2.5462080581725423E-2</v>
      </c>
      <c r="F6" s="33">
        <f>$C$26*('E Balans VL '!L12+'E Balans VL '!N12)/100/3.6*1000000</f>
        <v>610.47260259288794</v>
      </c>
      <c r="G6" s="34"/>
      <c r="H6" s="33"/>
      <c r="I6" s="33"/>
      <c r="J6" s="33">
        <f>$C$26*('E Balans VL '!D12+'E Balans VL '!E12)/100/3.6*1000000</f>
        <v>0</v>
      </c>
      <c r="K6" s="33"/>
      <c r="L6" s="33"/>
      <c r="M6" s="33"/>
      <c r="N6" s="33">
        <f>$C$26*'E Balans VL '!Y12/100/3.6*1000000</f>
        <v>3.885130357815056</v>
      </c>
      <c r="O6" s="33"/>
      <c r="P6" s="33"/>
      <c r="R6" s="32"/>
    </row>
    <row r="7" spans="1:18">
      <c r="A7" s="32" t="s">
        <v>52</v>
      </c>
      <c r="B7" s="37">
        <f t="shared" ref="B7:B12" si="0">B27</f>
        <v>1130.3262296185801</v>
      </c>
      <c r="C7" s="33"/>
      <c r="D7" s="37">
        <f>IF(ISERROR(TER_horeca_gas_kWh/1000),0,TER_horeca_gas_kWh/1000)*0.902</f>
        <v>1503.5562101608575</v>
      </c>
      <c r="E7" s="33">
        <f>$C$27*'E Balans VL '!I9/100/3.6*1000000</f>
        <v>16.186083331729822</v>
      </c>
      <c r="F7" s="33">
        <f>$C$27*('E Balans VL '!L9+'E Balans VL '!N9)/100/3.6*1000000</f>
        <v>143.13658026499368</v>
      </c>
      <c r="G7" s="34"/>
      <c r="H7" s="33"/>
      <c r="I7" s="33"/>
      <c r="J7" s="33">
        <f>$C$27*('E Balans VL '!D9+'E Balans VL '!E9)/100/3.6*1000000</f>
        <v>0</v>
      </c>
      <c r="K7" s="33"/>
      <c r="L7" s="33"/>
      <c r="M7" s="33"/>
      <c r="N7" s="33">
        <f>$C$27*'E Balans VL '!Y9/100/3.6*1000000</f>
        <v>0.32494386946123655</v>
      </c>
      <c r="O7" s="33"/>
      <c r="P7" s="33"/>
      <c r="R7" s="32"/>
    </row>
    <row r="8" spans="1:18">
      <c r="A8" s="6" t="s">
        <v>51</v>
      </c>
      <c r="B8" s="37">
        <f t="shared" si="0"/>
        <v>7037.8026362016399</v>
      </c>
      <c r="C8" s="33"/>
      <c r="D8" s="37">
        <f>IF(ISERROR(TER_handel_gas_kWh/1000),0,TER_handel_gas_kWh/1000)*0.902</f>
        <v>2759.957340287463</v>
      </c>
      <c r="E8" s="33">
        <f>$C$28*'E Balans VL '!I13/100/3.6*1000000</f>
        <v>255.260233752094</v>
      </c>
      <c r="F8" s="33">
        <f>$C$28*('E Balans VL '!L13+'E Balans VL '!N13)/100/3.6*1000000</f>
        <v>1355.5520500148418</v>
      </c>
      <c r="G8" s="34"/>
      <c r="H8" s="33"/>
      <c r="I8" s="33"/>
      <c r="J8" s="33">
        <f>$C$28*('E Balans VL '!D13+'E Balans VL '!E13)/100/3.6*1000000</f>
        <v>0</v>
      </c>
      <c r="K8" s="33"/>
      <c r="L8" s="33"/>
      <c r="M8" s="33"/>
      <c r="N8" s="33">
        <f>$C$28*'E Balans VL '!Y13/100/3.6*1000000</f>
        <v>9.7489759773060776</v>
      </c>
      <c r="O8" s="33"/>
      <c r="P8" s="33"/>
      <c r="R8" s="32"/>
    </row>
    <row r="9" spans="1:18">
      <c r="A9" s="32" t="s">
        <v>50</v>
      </c>
      <c r="B9" s="37">
        <f t="shared" si="0"/>
        <v>117.947053938431</v>
      </c>
      <c r="C9" s="33"/>
      <c r="D9" s="37">
        <f>IF(ISERROR(TER_gezond_gas_kWh/1000),0,TER_gezond_gas_kWh/1000)*0.902</f>
        <v>274.2595190038378</v>
      </c>
      <c r="E9" s="33">
        <f>$C$29*'E Balans VL '!I10/100/3.6*1000000</f>
        <v>7.3846500933213025E-3</v>
      </c>
      <c r="F9" s="33">
        <f>$C$29*('E Balans VL '!L10+'E Balans VL '!N10)/100/3.6*1000000</f>
        <v>17.521393977132899</v>
      </c>
      <c r="G9" s="34"/>
      <c r="H9" s="33"/>
      <c r="I9" s="33"/>
      <c r="J9" s="33">
        <f>$C$29*('E Balans VL '!D10+'E Balans VL '!E10)/100/3.6*1000000</f>
        <v>0</v>
      </c>
      <c r="K9" s="33"/>
      <c r="L9" s="33"/>
      <c r="M9" s="33"/>
      <c r="N9" s="33">
        <f>$C$29*'E Balans VL '!Y10/100/3.6*1000000</f>
        <v>1.824416411237513</v>
      </c>
      <c r="O9" s="33"/>
      <c r="P9" s="33"/>
      <c r="R9" s="32"/>
    </row>
    <row r="10" spans="1:18">
      <c r="A10" s="32" t="s">
        <v>49</v>
      </c>
      <c r="B10" s="37">
        <f t="shared" si="0"/>
        <v>813.58057721727505</v>
      </c>
      <c r="C10" s="33"/>
      <c r="D10" s="37">
        <f>IF(ISERROR(TER_ander_gas_kWh/1000),0,TER_ander_gas_kWh/1000)*0.902</f>
        <v>389.46540749286351</v>
      </c>
      <c r="E10" s="33">
        <f>$C$30*'E Balans VL '!I14/100/3.6*1000000</f>
        <v>0.96975897558554436</v>
      </c>
      <c r="F10" s="33">
        <f>$C$30*('E Balans VL '!L14+'E Balans VL '!N14)/100/3.6*1000000</f>
        <v>212.8688479516791</v>
      </c>
      <c r="G10" s="34"/>
      <c r="H10" s="33"/>
      <c r="I10" s="33"/>
      <c r="J10" s="33">
        <f>$C$30*('E Balans VL '!D14+'E Balans VL '!E14)/100/3.6*1000000</f>
        <v>1.7659645183582966E-2</v>
      </c>
      <c r="K10" s="33"/>
      <c r="L10" s="33"/>
      <c r="M10" s="33"/>
      <c r="N10" s="33">
        <f>$C$30*'E Balans VL '!Y14/100/3.6*1000000</f>
        <v>690.87271813641098</v>
      </c>
      <c r="O10" s="33"/>
      <c r="P10" s="33"/>
      <c r="R10" s="32"/>
    </row>
    <row r="11" spans="1:18">
      <c r="A11" s="32" t="s">
        <v>54</v>
      </c>
      <c r="B11" s="37">
        <f t="shared" si="0"/>
        <v>278.15043838675905</v>
      </c>
      <c r="C11" s="33"/>
      <c r="D11" s="37">
        <f>IF(ISERROR(TER_onderwijs_gas_kWh/1000),0,TER_onderwijs_gas_kWh/1000)*0.902</f>
        <v>357.52445561520585</v>
      </c>
      <c r="E11" s="33">
        <f>$C$31*'E Balans VL '!I11/100/3.6*1000000</f>
        <v>4.1968421113746199</v>
      </c>
      <c r="F11" s="33">
        <f>$C$31*('E Balans VL '!L11+'E Balans VL '!N11)/100/3.6*1000000</f>
        <v>48.736400390808598</v>
      </c>
      <c r="G11" s="34"/>
      <c r="H11" s="33"/>
      <c r="I11" s="33"/>
      <c r="J11" s="33">
        <f>$C$31*('E Balans VL '!D11+'E Balans VL '!E11)/100/3.6*1000000</f>
        <v>0</v>
      </c>
      <c r="K11" s="33"/>
      <c r="L11" s="33"/>
      <c r="M11" s="33"/>
      <c r="N11" s="33">
        <f>$C$31*'E Balans VL '!Y11/100/3.6*1000000</f>
        <v>0.7827364794219378</v>
      </c>
      <c r="O11" s="33"/>
      <c r="P11" s="33"/>
      <c r="R11" s="32"/>
    </row>
    <row r="12" spans="1:18">
      <c r="A12" s="32" t="s">
        <v>259</v>
      </c>
      <c r="B12" s="37">
        <f t="shared" si="0"/>
        <v>7834.8772758815694</v>
      </c>
      <c r="C12" s="33"/>
      <c r="D12" s="37">
        <f>IF(ISERROR(TER_rest_gas_kWh/1000),0,TER_rest_gas_kWh/1000)*0.902</f>
        <v>9319.8595236801903</v>
      </c>
      <c r="E12" s="33">
        <f>$C$32*'E Balans VL '!I8/100/3.6*1000000</f>
        <v>97.293367829796011</v>
      </c>
      <c r="F12" s="33">
        <f>$C$32*('E Balans VL '!L8+'E Balans VL '!N8)/100/3.6*1000000</f>
        <v>1354.843781152751</v>
      </c>
      <c r="G12" s="34"/>
      <c r="H12" s="33"/>
      <c r="I12" s="33"/>
      <c r="J12" s="33">
        <f>$C$32*('E Balans VL '!D8+'E Balans VL '!E8)/100/3.6*1000000</f>
        <v>1.8972353048569666E-2</v>
      </c>
      <c r="K12" s="33"/>
      <c r="L12" s="33"/>
      <c r="M12" s="33"/>
      <c r="N12" s="33">
        <f>$C$32*'E Balans VL '!Y8/100/3.6*1000000</f>
        <v>758.65629535145649</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21275.133434468476</v>
      </c>
      <c r="C16" s="21">
        <f t="shared" ca="1" si="1"/>
        <v>0</v>
      </c>
      <c r="D16" s="21">
        <f t="shared" ca="1" si="1"/>
        <v>18124.766537704683</v>
      </c>
      <c r="E16" s="21">
        <f t="shared" si="1"/>
        <v>373.93913273125503</v>
      </c>
      <c r="F16" s="21">
        <f t="shared" ca="1" si="1"/>
        <v>3743.1316563450951</v>
      </c>
      <c r="G16" s="21">
        <f t="shared" si="1"/>
        <v>0</v>
      </c>
      <c r="H16" s="21">
        <f t="shared" si="1"/>
        <v>0</v>
      </c>
      <c r="I16" s="21">
        <f t="shared" si="1"/>
        <v>0</v>
      </c>
      <c r="J16" s="21">
        <f t="shared" si="1"/>
        <v>3.6631998232152629E-2</v>
      </c>
      <c r="K16" s="21">
        <f t="shared" si="1"/>
        <v>0</v>
      </c>
      <c r="L16" s="21">
        <f t="shared" ca="1" si="1"/>
        <v>0</v>
      </c>
      <c r="M16" s="21">
        <f t="shared" si="1"/>
        <v>0</v>
      </c>
      <c r="N16" s="21">
        <f t="shared" ca="1" si="1"/>
        <v>1466.0952165831093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0.19889255154271213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4231.4655731930998</v>
      </c>
      <c r="C20" s="23">
        <f t="shared" ref="C20:P20" ca="1" si="2">C16*C18</f>
        <v>0</v>
      </c>
      <c r="D20" s="23">
        <f t="shared" ca="1" si="2"/>
        <v>3661.2028406163463</v>
      </c>
      <c r="E20" s="23">
        <f t="shared" si="2"/>
        <v>84.884183129994895</v>
      </c>
      <c r="F20" s="23">
        <f t="shared" ca="1" si="2"/>
        <v>999.41615224414045</v>
      </c>
      <c r="G20" s="23">
        <f t="shared" si="2"/>
        <v>0</v>
      </c>
      <c r="H20" s="23">
        <f t="shared" si="2"/>
        <v>0</v>
      </c>
      <c r="I20" s="23">
        <f t="shared" si="2"/>
        <v>0</v>
      </c>
      <c r="J20" s="23">
        <f t="shared" si="2"/>
        <v>1.2967727374182031E-2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4062.4492232242201</v>
      </c>
      <c r="C26" s="39">
        <f>IF(ISERROR(B26*3.6/1000000/'E Balans VL '!Z12*100),0,B26*3.6/1000000/'E Balans VL '!Z12*100)</f>
        <v>8.5873741139567347E-2</v>
      </c>
      <c r="D26" s="237" t="s">
        <v>744</v>
      </c>
      <c r="F26" s="6"/>
    </row>
    <row r="27" spans="1:18">
      <c r="A27" s="231" t="s">
        <v>52</v>
      </c>
      <c r="B27" s="33">
        <f>IF(ISERROR(TER_horeca_ele_kWh/1000),0,TER_horeca_ele_kWh/1000)</f>
        <v>1130.3262296185801</v>
      </c>
      <c r="C27" s="39">
        <f>IF(ISERROR(B27*3.6/1000000/'E Balans VL '!Z9*100),0,B27*3.6/1000000/'E Balans VL '!Z9*100)</f>
        <v>8.9103195386739054E-2</v>
      </c>
      <c r="D27" s="237" t="s">
        <v>744</v>
      </c>
      <c r="F27" s="6"/>
    </row>
    <row r="28" spans="1:18">
      <c r="A28" s="171" t="s">
        <v>51</v>
      </c>
      <c r="B28" s="33">
        <f>IF(ISERROR(TER_handel_ele_kWh/1000),0,TER_handel_ele_kWh/1000)</f>
        <v>7037.8026362016399</v>
      </c>
      <c r="C28" s="39">
        <f>IF(ISERROR(B28*3.6/1000000/'E Balans VL '!Z13*100),0,B28*3.6/1000000/'E Balans VL '!Z13*100)</f>
        <v>0.20426546841163903</v>
      </c>
      <c r="D28" s="237" t="s">
        <v>744</v>
      </c>
      <c r="F28" s="6"/>
    </row>
    <row r="29" spans="1:18">
      <c r="A29" s="231" t="s">
        <v>50</v>
      </c>
      <c r="B29" s="33">
        <f>IF(ISERROR(TER_gezond_ele_kWh/1000),0,TER_gezond_ele_kWh/1000)</f>
        <v>117.947053938431</v>
      </c>
      <c r="C29" s="39">
        <f>IF(ISERROR(B29*3.6/1000000/'E Balans VL '!Z10*100),0,B29*3.6/1000000/'E Balans VL '!Z10*100)</f>
        <v>1.2421761521464949E-2</v>
      </c>
      <c r="D29" s="237" t="s">
        <v>744</v>
      </c>
      <c r="F29" s="6"/>
    </row>
    <row r="30" spans="1:18">
      <c r="A30" s="231" t="s">
        <v>49</v>
      </c>
      <c r="B30" s="33">
        <f>IF(ISERROR(TER_ander_ele_kWh/1000),0,TER_ander_ele_kWh/1000)</f>
        <v>813.58057721727505</v>
      </c>
      <c r="C30" s="39">
        <f>IF(ISERROR(B30*3.6/1000000/'E Balans VL '!Z14*100),0,B30*3.6/1000000/'E Balans VL '!Z14*100)</f>
        <v>6.0009880084368562E-2</v>
      </c>
      <c r="D30" s="237" t="s">
        <v>744</v>
      </c>
      <c r="F30" s="6"/>
    </row>
    <row r="31" spans="1:18">
      <c r="A31" s="231" t="s">
        <v>54</v>
      </c>
      <c r="B31" s="33">
        <f>IF(ISERROR(TER_onderwijs_ele_kWh/1000),0,TER_onderwijs_ele_kWh/1000)</f>
        <v>278.15043838675905</v>
      </c>
      <c r="C31" s="39">
        <f>IF(ISERROR(B31*3.6/1000000/'E Balans VL '!Z11*100),0,B31*3.6/1000000/'E Balans VL '!Z11*100)</f>
        <v>6.907778318529062E-2</v>
      </c>
      <c r="D31" s="237" t="s">
        <v>744</v>
      </c>
    </row>
    <row r="32" spans="1:18">
      <c r="A32" s="231" t="s">
        <v>259</v>
      </c>
      <c r="B32" s="33">
        <f>IF(ISERROR(TER_rest_ele_kWh/1000),0,TER_rest_ele_kWh/1000)</f>
        <v>7834.8772758815694</v>
      </c>
      <c r="C32" s="39">
        <f>IF(ISERROR(B32*3.6/1000000/'E Balans VL '!Z8*100),0,B32*3.6/1000000/'E Balans VL '!Z8*100)</f>
        <v>6.4470640238082841E-2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7370.0969902063425</v>
      </c>
      <c r="C5" s="17">
        <f>IF(ISERROR('Eigen informatie GS &amp; warmtenet'!B59),0,'Eigen informatie GS &amp; warmtenet'!B59)</f>
        <v>0</v>
      </c>
      <c r="D5" s="30">
        <f>SUM(D6:D15)</f>
        <v>2525.788284773982</v>
      </c>
      <c r="E5" s="17">
        <f>SUM(E6:E15)</f>
        <v>681.93870801542323</v>
      </c>
      <c r="F5" s="17">
        <f>SUM(F6:F15)</f>
        <v>2162.7400849932765</v>
      </c>
      <c r="G5" s="18"/>
      <c r="H5" s="17"/>
      <c r="I5" s="17"/>
      <c r="J5" s="17">
        <f>SUM(J6:J15)</f>
        <v>21.713889000036872</v>
      </c>
      <c r="K5" s="17"/>
      <c r="L5" s="17"/>
      <c r="M5" s="17"/>
      <c r="N5" s="17">
        <f>SUM(N6:N15)</f>
        <v>524.49455547063531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45.225154352060002</v>
      </c>
      <c r="C8" s="33"/>
      <c r="D8" s="37">
        <f>IF( ISERROR(IND_metaal_Gas_kWH/1000),0,IND_metaal_Gas_kWH/1000)*0.902</f>
        <v>0</v>
      </c>
      <c r="E8" s="33">
        <f>C30*'E Balans VL '!I18/100/3.6*1000000</f>
        <v>0.41580161539773125</v>
      </c>
      <c r="F8" s="33">
        <f>C30*'E Balans VL '!L18/100/3.6*1000000+C30*'E Balans VL '!N18/100/3.6*1000000</f>
        <v>4.2406137804212145</v>
      </c>
      <c r="G8" s="34"/>
      <c r="H8" s="33"/>
      <c r="I8" s="33"/>
      <c r="J8" s="40">
        <f>C30*'E Balans VL '!D18/100/3.6*1000000+C30*'E Balans VL '!E18/100/3.6*1000000</f>
        <v>0</v>
      </c>
      <c r="K8" s="33"/>
      <c r="L8" s="33"/>
      <c r="M8" s="33"/>
      <c r="N8" s="33">
        <f>C30*'E Balans VL '!Y18/100/3.6*1000000</f>
        <v>0.64521156454698625</v>
      </c>
      <c r="O8" s="33"/>
      <c r="P8" s="33"/>
      <c r="R8" s="32"/>
    </row>
    <row r="9" spans="1:18">
      <c r="A9" s="6" t="s">
        <v>32</v>
      </c>
      <c r="B9" s="37">
        <f t="shared" si="0"/>
        <v>1185.21334745375</v>
      </c>
      <c r="C9" s="33"/>
      <c r="D9" s="37">
        <f>IF( ISERROR(IND_andere_gas_kWh/1000),0,IND_andere_gas_kWh/1000)*0.902</f>
        <v>933.92794562151414</v>
      </c>
      <c r="E9" s="33">
        <f>C31*'E Balans VL '!I19/100/3.6*1000000</f>
        <v>346.46093484311632</v>
      </c>
      <c r="F9" s="33">
        <f>C31*'E Balans VL '!L19/100/3.6*1000000+C31*'E Balans VL '!N19/100/3.6*1000000</f>
        <v>952.40863708618303</v>
      </c>
      <c r="G9" s="34"/>
      <c r="H9" s="33"/>
      <c r="I9" s="33"/>
      <c r="J9" s="40">
        <f>C31*'E Balans VL '!D19/100/3.6*1000000+C31*'E Balans VL '!E19/100/3.6*1000000</f>
        <v>0</v>
      </c>
      <c r="K9" s="33"/>
      <c r="L9" s="33"/>
      <c r="M9" s="33"/>
      <c r="N9" s="33">
        <f>C31*'E Balans VL '!Y19/100/3.6*1000000</f>
        <v>92.96652525439913</v>
      </c>
      <c r="O9" s="33"/>
      <c r="P9" s="33"/>
      <c r="R9" s="32"/>
    </row>
    <row r="10" spans="1:18">
      <c r="A10" s="6" t="s">
        <v>40</v>
      </c>
      <c r="B10" s="37">
        <f t="shared" si="0"/>
        <v>74.294148526952398</v>
      </c>
      <c r="C10" s="33"/>
      <c r="D10" s="37">
        <f>IF( ISERROR(IND_voed_gas_kWh/1000),0,IND_voed_gas_kWh/1000)*0.902</f>
        <v>0</v>
      </c>
      <c r="E10" s="33">
        <f>C32*'E Balans VL '!I20/100/3.6*1000000</f>
        <v>0.15717042315318422</v>
      </c>
      <c r="F10" s="33">
        <f>C32*'E Balans VL '!L20/100/3.6*1000000+C32*'E Balans VL '!N20/100/3.6*1000000</f>
        <v>4.723697852590937</v>
      </c>
      <c r="G10" s="34"/>
      <c r="H10" s="33"/>
      <c r="I10" s="33"/>
      <c r="J10" s="40">
        <f>C32*'E Balans VL '!D20/100/3.6*1000000+C32*'E Balans VL '!E20/100/3.6*1000000</f>
        <v>0</v>
      </c>
      <c r="K10" s="33"/>
      <c r="L10" s="33"/>
      <c r="M10" s="33"/>
      <c r="N10" s="33">
        <f>C32*'E Balans VL '!Y20/100/3.6*1000000</f>
        <v>5.1270294009316579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6065.3643398735803</v>
      </c>
      <c r="C15" s="33"/>
      <c r="D15" s="37">
        <f>IF( ISERROR(IND_rest_gas_kWh/1000),0,IND_rest_gas_kWh/1000)*0.902</f>
        <v>1591.860339152468</v>
      </c>
      <c r="E15" s="33">
        <f>C37*'E Balans VL '!I15/100/3.6*1000000</f>
        <v>334.904801133756</v>
      </c>
      <c r="F15" s="33">
        <f>C37*'E Balans VL '!L15/100/3.6*1000000+C37*'E Balans VL '!N15/100/3.6*1000000</f>
        <v>1201.3671362740811</v>
      </c>
      <c r="G15" s="34"/>
      <c r="H15" s="33"/>
      <c r="I15" s="33"/>
      <c r="J15" s="40">
        <f>C37*'E Balans VL '!D15/100/3.6*1000000+C37*'E Balans VL '!E15/100/3.6*1000000</f>
        <v>21.713889000036872</v>
      </c>
      <c r="K15" s="33"/>
      <c r="L15" s="33"/>
      <c r="M15" s="33"/>
      <c r="N15" s="33">
        <f>C37*'E Balans VL '!Y15/100/3.6*1000000</f>
        <v>425.75578925075752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7370.0969902063425</v>
      </c>
      <c r="C18" s="21">
        <f>C5+C16</f>
        <v>0</v>
      </c>
      <c r="D18" s="21">
        <f>MAX((D5+D16),0)</f>
        <v>2525.788284773982</v>
      </c>
      <c r="E18" s="21">
        <f>MAX((E5+E16),0)</f>
        <v>681.93870801542323</v>
      </c>
      <c r="F18" s="21">
        <f>MAX((F5+F16),0)</f>
        <v>2162.7400849932765</v>
      </c>
      <c r="G18" s="21"/>
      <c r="H18" s="21"/>
      <c r="I18" s="21"/>
      <c r="J18" s="21">
        <f>MAX((J5+J16),0)</f>
        <v>21.713889000036872</v>
      </c>
      <c r="K18" s="21"/>
      <c r="L18" s="21">
        <f>MAX((L5+L16),0)</f>
        <v>0</v>
      </c>
      <c r="M18" s="21"/>
      <c r="N18" s="21">
        <f>MAX((N5+N16),0)</f>
        <v>524.49455547063531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0.19889255154271213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1465.8573954994024</v>
      </c>
      <c r="C22" s="23">
        <f ca="1">C18*C20</f>
        <v>0</v>
      </c>
      <c r="D22" s="23">
        <f>D18*D20</f>
        <v>510.20923352434443</v>
      </c>
      <c r="E22" s="23">
        <f>E18*E20</f>
        <v>154.80008671950108</v>
      </c>
      <c r="F22" s="23">
        <f>F18*F20</f>
        <v>577.4516026932049</v>
      </c>
      <c r="G22" s="23"/>
      <c r="H22" s="23"/>
      <c r="I22" s="23"/>
      <c r="J22" s="23">
        <f>J18*J20</f>
        <v>7.6867167060130521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45.225154352060002</v>
      </c>
      <c r="C30" s="39">
        <f>IF(ISERROR(B30*3.6/1000000/'E Balans VL '!Z18*100),0,B30*3.6/1000000/'E Balans VL '!Z18*100)</f>
        <v>2.5630254620116638E-3</v>
      </c>
      <c r="D30" s="237" t="s">
        <v>744</v>
      </c>
    </row>
    <row r="31" spans="1:18">
      <c r="A31" s="6" t="s">
        <v>32</v>
      </c>
      <c r="B31" s="37">
        <f>IF( ISERROR(IND_ander_ele_kWh/1000),0,IND_ander_ele_kWh/1000)</f>
        <v>1185.21334745375</v>
      </c>
      <c r="C31" s="39">
        <f>IF(ISERROR(B31*3.6/1000000/'E Balans VL '!Z19*100),0,B31*3.6/1000000/'E Balans VL '!Z19*100)</f>
        <v>5.3756342298017942E-2</v>
      </c>
      <c r="D31" s="237" t="s">
        <v>744</v>
      </c>
    </row>
    <row r="32" spans="1:18">
      <c r="A32" s="171" t="s">
        <v>40</v>
      </c>
      <c r="B32" s="37">
        <f>IF( ISERROR(IND_voed_ele_kWh/1000),0,IND_voed_ele_kWh/1000)</f>
        <v>74.294148526952398</v>
      </c>
      <c r="C32" s="39">
        <f>IF(ISERROR(B32*3.6/1000000/'E Balans VL '!Z20*100),0,B32*3.6/1000000/'E Balans VL '!Z20*100)</f>
        <v>2.2982552808956487E-3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6065.3643398735803</v>
      </c>
      <c r="C37" s="39">
        <f>IF(ISERROR(B37*3.6/1000000/'E Balans VL '!Z15*100),0,B37*3.6/1000000/'E Balans VL '!Z15*100)</f>
        <v>4.8075461369340947E-2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330.96623830056302</v>
      </c>
      <c r="C5" s="17">
        <f>'Eigen informatie GS &amp; warmtenet'!B60</f>
        <v>0</v>
      </c>
      <c r="D5" s="30">
        <f>IF(ISERROR(SUM(LB_lb_gas_kWh,LB_rest_gas_kWh)/1000),0,SUM(LB_lb_gas_kWh,LB_rest_gas_kWh)/1000)*0.902</f>
        <v>165.12983566047345</v>
      </c>
      <c r="E5" s="17">
        <f>B17*'E Balans VL '!I25/3.6*1000000/100</f>
        <v>9.7281086312234777</v>
      </c>
      <c r="F5" s="17">
        <f>B17*('E Balans VL '!L25/3.6*1000000+'E Balans VL '!N25/3.6*1000000)/100</f>
        <v>1378.7874642833424</v>
      </c>
      <c r="G5" s="18"/>
      <c r="H5" s="17"/>
      <c r="I5" s="17"/>
      <c r="J5" s="17">
        <f>('E Balans VL '!D25+'E Balans VL '!E25)/3.6*1000000*landbouw!B17/100</f>
        <v>47.9499003484244</v>
      </c>
      <c r="K5" s="17"/>
      <c r="L5" s="17">
        <f>L6*(-1)</f>
        <v>0</v>
      </c>
      <c r="M5" s="17"/>
      <c r="N5" s="17">
        <f>N6*(-1)</f>
        <v>4714.2857142857147</v>
      </c>
      <c r="O5" s="17"/>
      <c r="P5" s="17"/>
      <c r="R5" s="32"/>
    </row>
    <row r="6" spans="1:18">
      <c r="A6" s="16" t="s">
        <v>487</v>
      </c>
      <c r="B6" s="17" t="s">
        <v>210</v>
      </c>
      <c r="C6" s="17">
        <f>'lokale energieproductie'!O39+'lokale energieproductie'!O32</f>
        <v>2357.1428571428573</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-4714.2857142857147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330.96623830056302</v>
      </c>
      <c r="C8" s="21">
        <f>C5+C6</f>
        <v>2357.1428571428573</v>
      </c>
      <c r="D8" s="21">
        <f>MAX((D5+D6),0)</f>
        <v>165.12983566047345</v>
      </c>
      <c r="E8" s="21">
        <f>MAX((E5+E6),0)</f>
        <v>9.7281086312234777</v>
      </c>
      <c r="F8" s="21">
        <f>MAX((F5+F6),0)</f>
        <v>1378.7874642833424</v>
      </c>
      <c r="G8" s="21"/>
      <c r="H8" s="21"/>
      <c r="I8" s="21"/>
      <c r="J8" s="21">
        <f>MAX((J5+J6),0)</f>
        <v>47.9499003484244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0.19889255154271213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65.826719610092269</v>
      </c>
      <c r="C12" s="23">
        <f ca="1">C8*C10</f>
        <v>0</v>
      </c>
      <c r="D12" s="23">
        <f>D8*D10</f>
        <v>33.356226803415638</v>
      </c>
      <c r="E12" s="23">
        <f>E8*E10</f>
        <v>2.2082806592877295</v>
      </c>
      <c r="F12" s="23">
        <f>F8*F10</f>
        <v>368.13625296365245</v>
      </c>
      <c r="G12" s="23"/>
      <c r="H12" s="23"/>
      <c r="I12" s="23"/>
      <c r="J12" s="23">
        <f>J8*J10</f>
        <v>16.974264723342237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4.6965147589755361E-2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127.27010989379849</v>
      </c>
      <c r="C26" s="247">
        <f>B26*'GWP N2O_CH4'!B5</f>
        <v>2672.6723077697684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17.793934656618948</v>
      </c>
      <c r="C27" s="247">
        <f>B27*'GWP N2O_CH4'!B5</f>
        <v>373.67262778899789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1.5953302920413417</v>
      </c>
      <c r="C28" s="247">
        <f>B28*'GWP N2O_CH4'!B4</f>
        <v>494.55239053281593</v>
      </c>
      <c r="D28" s="50"/>
    </row>
    <row r="29" spans="1:4">
      <c r="A29" s="41" t="s">
        <v>276</v>
      </c>
      <c r="B29" s="247">
        <f>B34*'ha_N2O bodem landbouw'!B4</f>
        <v>6.6541272289707383</v>
      </c>
      <c r="C29" s="247">
        <f>B29*'GWP N2O_CH4'!B4</f>
        <v>2062.7794409809289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1.518448902508552E-3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2.789126802778426E-4</v>
      </c>
      <c r="C5" s="437" t="s">
        <v>210</v>
      </c>
      <c r="D5" s="422">
        <f>SUM(D6:D11)</f>
        <v>7.8557827229998431E-4</v>
      </c>
      <c r="E5" s="422">
        <f>SUM(E6:E11)</f>
        <v>1.5329527255839434E-3</v>
      </c>
      <c r="F5" s="435" t="s">
        <v>210</v>
      </c>
      <c r="G5" s="422">
        <f>SUM(G6:G11)</f>
        <v>0.67266779796735421</v>
      </c>
      <c r="H5" s="422">
        <f>SUM(H6:H11)</f>
        <v>0.13620155147827334</v>
      </c>
      <c r="I5" s="437" t="s">
        <v>210</v>
      </c>
      <c r="J5" s="437" t="s">
        <v>210</v>
      </c>
      <c r="K5" s="437" t="s">
        <v>210</v>
      </c>
      <c r="L5" s="437" t="s">
        <v>210</v>
      </c>
      <c r="M5" s="422">
        <f>SUM(M6:M11)</f>
        <v>4.3310710669691457E-2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2.8907853134538498E-5</v>
      </c>
      <c r="C6" s="423"/>
      <c r="D6" s="865">
        <f>vkm_GW_PW*SUMIFS(TableVerdeelsleutelVkm[CNG],TableVerdeelsleutelVkm[Voertuigtype],"Lichte voertuigen")*SUMIFS(TableECFTransport[EnergieConsumptieFactor (PJ per km)],TableECFTransport[Index],CONCATENATE($A6,"_CNG_CNG"))</f>
        <v>7.1640718453763711E-5</v>
      </c>
      <c r="E6" s="865">
        <f>vkm_GW_PW*SUMIFS(TableVerdeelsleutelVkm[LPG],TableVerdeelsleutelVkm[Voertuigtype],"Lichte voertuigen")*SUMIFS(TableECFTransport[EnergieConsumptieFactor (PJ per km)],TableECFTransport[Index],CONCATENATE($A6,"_LPG_LPG"))</f>
        <v>1.229892239079305E-4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3.7685684249748247E-2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1.2172057338680868E-2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2.5601587239589638E-3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3.8410648140227897E-2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6.425402753431399E-7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2.2441634745784156E-3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5.5313955212389001E-5</v>
      </c>
      <c r="C8" s="423"/>
      <c r="D8" s="425">
        <f>vkm_NGW_PW*SUMIFS(TableVerdeelsleutelVkm[CNG],TableVerdeelsleutelVkm[Voertuigtype],"Lichte voertuigen")*SUMIFS(TableECFTransport[EnergieConsumptieFactor (PJ per km)],TableECFTransport[Index],CONCATENATE($A8,"_CNG_CNG"))</f>
        <v>2.3169745447081908E-4</v>
      </c>
      <c r="E8" s="425">
        <f>vkm_NGW_PW*SUMIFS(TableVerdeelsleutelVkm[LPG],TableVerdeelsleutelVkm[Voertuigtype],"Lichte voertuigen")*SUMIFS(TableECFTransport[EnergieConsumptieFactor (PJ per km)],TableECFTransport[Index],CONCATENATE($A8,"_LPG_LPG"))</f>
        <v>3.7774190084484903E-4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0.1088741811439404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3.8500519773392354E-2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7.4945148835356742E-3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3.3680854840858407E-2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6.940594161254026E-7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1.9678265175235746E-3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1.946908719309151E-4</v>
      </c>
      <c r="C10" s="423"/>
      <c r="D10" s="425">
        <f>vkm_SW_PW*SUMIFS(TableVerdeelsleutelVkm[CNG],TableVerdeelsleutelVkm[Voertuigtype],"Lichte voertuigen")*SUMIFS(TableECFTransport[EnergieConsumptieFactor (PJ per km)],TableECFTransport[Index],CONCATENATE($A10,"_CNG_CNG"))</f>
        <v>4.8224009937540156E-4</v>
      </c>
      <c r="E10" s="425">
        <f>vkm_SW_PW*SUMIFS(TableVerdeelsleutelVkm[LPG],TableVerdeelsleutelVkm[Voertuigtype],"Lichte voertuigen")*SUMIFS(TableECFTransport[EnergieConsumptieFactor (PJ per km)],TableECFTransport[Index],CONCATENATE($A10,"_LPG_LPG"))</f>
        <v>1.032221600831164E-3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0.28296149774983431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8.5524589598627007E-2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1.905006206996478E-2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0.1710549318427449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3.0481678816235384E-6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9.9939850001300491E-3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77.475744521622957</v>
      </c>
      <c r="C14" s="21"/>
      <c r="D14" s="21">
        <f t="shared" ref="D14:M14" si="0">((D5)*10^9/3600)+D12</f>
        <v>218.21618674999564</v>
      </c>
      <c r="E14" s="21">
        <f t="shared" si="0"/>
        <v>425.82020155109535</v>
      </c>
      <c r="F14" s="21"/>
      <c r="G14" s="21">
        <f t="shared" si="0"/>
        <v>186852.16610204283</v>
      </c>
      <c r="H14" s="21">
        <f t="shared" si="0"/>
        <v>37833.764299520371</v>
      </c>
      <c r="I14" s="21"/>
      <c r="J14" s="21"/>
      <c r="K14" s="21"/>
      <c r="L14" s="21"/>
      <c r="M14" s="21">
        <f t="shared" si="0"/>
        <v>12030.752963803183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0.19889255154271213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15.409348510576891</v>
      </c>
      <c r="C18" s="23"/>
      <c r="D18" s="23">
        <f t="shared" ref="D18:M18" si="1">D14*D16</f>
        <v>44.079669723499123</v>
      </c>
      <c r="E18" s="23">
        <f t="shared" si="1"/>
        <v>96.661185752098646</v>
      </c>
      <c r="F18" s="23"/>
      <c r="G18" s="23">
        <f t="shared" si="1"/>
        <v>49889.52834924544</v>
      </c>
      <c r="H18" s="23">
        <f t="shared" si="1"/>
        <v>9420.6073105805717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6.1106716719241828E-3</v>
      </c>
      <c r="H50" s="319">
        <f t="shared" si="2"/>
        <v>0</v>
      </c>
      <c r="I50" s="319">
        <f t="shared" si="2"/>
        <v>0</v>
      </c>
      <c r="J50" s="319">
        <f t="shared" si="2"/>
        <v>0</v>
      </c>
      <c r="K50" s="319">
        <f t="shared" si="2"/>
        <v>0</v>
      </c>
      <c r="L50" s="319">
        <f t="shared" si="2"/>
        <v>0</v>
      </c>
      <c r="M50" s="319">
        <f t="shared" si="2"/>
        <v>3.4703295838496806E-4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6.1106716719241828E-3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3.4703295838496806E-4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1697.4087977567176</v>
      </c>
      <c r="H54" s="21">
        <f t="shared" si="3"/>
        <v>0</v>
      </c>
      <c r="I54" s="21">
        <f t="shared" si="3"/>
        <v>0</v>
      </c>
      <c r="J54" s="21">
        <f t="shared" si="3"/>
        <v>0</v>
      </c>
      <c r="K54" s="21">
        <f t="shared" si="3"/>
        <v>0</v>
      </c>
      <c r="L54" s="21">
        <f t="shared" si="3"/>
        <v>0</v>
      </c>
      <c r="M54" s="21">
        <f t="shared" si="3"/>
        <v>96.398043995824452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0.19889255154271213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453.20814900104364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22300.477434468477</v>
      </c>
      <c r="D10" s="979">
        <f ca="1">tertiair!C16</f>
        <v>0</v>
      </c>
      <c r="E10" s="979">
        <f ca="1">tertiair!D16</f>
        <v>18124.766537704683</v>
      </c>
      <c r="F10" s="979">
        <f>tertiair!E16</f>
        <v>373.93913273125503</v>
      </c>
      <c r="G10" s="979">
        <f ca="1">tertiair!F16</f>
        <v>3743.1316563450951</v>
      </c>
      <c r="H10" s="979">
        <f>tertiair!G16</f>
        <v>0</v>
      </c>
      <c r="I10" s="979">
        <f>tertiair!H16</f>
        <v>0</v>
      </c>
      <c r="J10" s="979">
        <f>tertiair!I16</f>
        <v>0</v>
      </c>
      <c r="K10" s="979">
        <f>tertiair!J16</f>
        <v>3.6631998232152629E-2</v>
      </c>
      <c r="L10" s="979">
        <f>tertiair!K16</f>
        <v>0</v>
      </c>
      <c r="M10" s="979">
        <f ca="1">tertiair!L16</f>
        <v>0</v>
      </c>
      <c r="N10" s="979">
        <f>tertiair!M16</f>
        <v>0</v>
      </c>
      <c r="O10" s="979">
        <f ca="1">tertiair!N16</f>
        <v>1466.0952165831093</v>
      </c>
      <c r="P10" s="979">
        <f>tertiair!O16</f>
        <v>0</v>
      </c>
      <c r="Q10" s="980">
        <f>tertiair!P16</f>
        <v>0</v>
      </c>
      <c r="R10" s="674">
        <f ca="1">SUM(C10:Q10)</f>
        <v>46008.446609830862</v>
      </c>
      <c r="S10" s="67"/>
    </row>
    <row r="11" spans="1:19" s="447" customFormat="1">
      <c r="A11" s="783" t="s">
        <v>224</v>
      </c>
      <c r="B11" s="788"/>
      <c r="C11" s="979">
        <f>huishoudens!B8</f>
        <v>26971.039758028819</v>
      </c>
      <c r="D11" s="979">
        <f>huishoudens!C8</f>
        <v>0</v>
      </c>
      <c r="E11" s="979">
        <f>huishoudens!D8</f>
        <v>56788.013399415489</v>
      </c>
      <c r="F11" s="979">
        <f>huishoudens!E8</f>
        <v>13090.079315474373</v>
      </c>
      <c r="G11" s="979">
        <f>huishoudens!F8</f>
        <v>25592.55923925067</v>
      </c>
      <c r="H11" s="979">
        <f>huishoudens!G8</f>
        <v>0</v>
      </c>
      <c r="I11" s="979">
        <f>huishoudens!H8</f>
        <v>0</v>
      </c>
      <c r="J11" s="979">
        <f>huishoudens!I8</f>
        <v>0</v>
      </c>
      <c r="K11" s="979">
        <f>huishoudens!J8</f>
        <v>0</v>
      </c>
      <c r="L11" s="979">
        <f>huishoudens!K8</f>
        <v>0</v>
      </c>
      <c r="M11" s="979">
        <f>huishoudens!L8</f>
        <v>0</v>
      </c>
      <c r="N11" s="979">
        <f>huishoudens!M8</f>
        <v>0</v>
      </c>
      <c r="O11" s="979">
        <f>huishoudens!N8</f>
        <v>7985.6890390090757</v>
      </c>
      <c r="P11" s="979">
        <f>huishoudens!O8</f>
        <v>170.40333333333334</v>
      </c>
      <c r="Q11" s="980">
        <f>huishoudens!P8</f>
        <v>800.8</v>
      </c>
      <c r="R11" s="674">
        <f>SUM(C11:Q11)</f>
        <v>131398.58408451176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7370.0969902063425</v>
      </c>
      <c r="D13" s="979">
        <f>industrie!C18</f>
        <v>0</v>
      </c>
      <c r="E13" s="979">
        <f>industrie!D18</f>
        <v>2525.788284773982</v>
      </c>
      <c r="F13" s="979">
        <f>industrie!E18</f>
        <v>681.93870801542323</v>
      </c>
      <c r="G13" s="979">
        <f>industrie!F18</f>
        <v>2162.7400849932765</v>
      </c>
      <c r="H13" s="979">
        <f>industrie!G18</f>
        <v>0</v>
      </c>
      <c r="I13" s="979">
        <f>industrie!H18</f>
        <v>0</v>
      </c>
      <c r="J13" s="979">
        <f>industrie!I18</f>
        <v>0</v>
      </c>
      <c r="K13" s="979">
        <f>industrie!J18</f>
        <v>21.713889000036872</v>
      </c>
      <c r="L13" s="979">
        <f>industrie!K18</f>
        <v>0</v>
      </c>
      <c r="M13" s="979">
        <f>industrie!L18</f>
        <v>0</v>
      </c>
      <c r="N13" s="979">
        <f>industrie!M18</f>
        <v>0</v>
      </c>
      <c r="O13" s="979">
        <f>industrie!N18</f>
        <v>524.49455547063531</v>
      </c>
      <c r="P13" s="979">
        <f>industrie!O18</f>
        <v>0</v>
      </c>
      <c r="Q13" s="980">
        <f>industrie!P18</f>
        <v>0</v>
      </c>
      <c r="R13" s="674">
        <f>SUM(C13:Q13)</f>
        <v>13286.772512459696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56641.614182703641</v>
      </c>
      <c r="D16" s="706">
        <f t="shared" ref="D16:R16" ca="1" si="0">SUM(D9:D15)</f>
        <v>0</v>
      </c>
      <c r="E16" s="706">
        <f t="shared" ca="1" si="0"/>
        <v>77438.568221894151</v>
      </c>
      <c r="F16" s="706">
        <f t="shared" si="0"/>
        <v>14145.957156221051</v>
      </c>
      <c r="G16" s="706">
        <f t="shared" ca="1" si="0"/>
        <v>31498.430980589044</v>
      </c>
      <c r="H16" s="706">
        <f t="shared" si="0"/>
        <v>0</v>
      </c>
      <c r="I16" s="706">
        <f t="shared" si="0"/>
        <v>0</v>
      </c>
      <c r="J16" s="706">
        <f t="shared" si="0"/>
        <v>0</v>
      </c>
      <c r="K16" s="706">
        <f t="shared" si="0"/>
        <v>21.750520998269025</v>
      </c>
      <c r="L16" s="706">
        <f t="shared" si="0"/>
        <v>0</v>
      </c>
      <c r="M16" s="706">
        <f t="shared" ca="1" si="0"/>
        <v>0</v>
      </c>
      <c r="N16" s="706">
        <f t="shared" si="0"/>
        <v>0</v>
      </c>
      <c r="O16" s="706">
        <f t="shared" ca="1" si="0"/>
        <v>9976.2788110628208</v>
      </c>
      <c r="P16" s="706">
        <f t="shared" si="0"/>
        <v>170.40333333333334</v>
      </c>
      <c r="Q16" s="706">
        <f t="shared" si="0"/>
        <v>800.8</v>
      </c>
      <c r="R16" s="706">
        <f t="shared" ca="1" si="0"/>
        <v>190693.80320680232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1697.4087977567176</v>
      </c>
      <c r="I19" s="979">
        <f>transport!H54</f>
        <v>0</v>
      </c>
      <c r="J19" s="979">
        <f>transport!I54</f>
        <v>0</v>
      </c>
      <c r="K19" s="979">
        <f>transport!J54</f>
        <v>0</v>
      </c>
      <c r="L19" s="979">
        <f>transport!K54</f>
        <v>0</v>
      </c>
      <c r="M19" s="979">
        <f>transport!L54</f>
        <v>0</v>
      </c>
      <c r="N19" s="979">
        <f>transport!M54</f>
        <v>96.398043995824452</v>
      </c>
      <c r="O19" s="979">
        <f>transport!N54</f>
        <v>0</v>
      </c>
      <c r="P19" s="979">
        <f>transport!O54</f>
        <v>0</v>
      </c>
      <c r="Q19" s="980">
        <f>transport!P54</f>
        <v>0</v>
      </c>
      <c r="R19" s="674">
        <f>SUM(C19:Q19)</f>
        <v>1793.8068417525421</v>
      </c>
      <c r="S19" s="67"/>
    </row>
    <row r="20" spans="1:19" s="447" customFormat="1">
      <c r="A20" s="783" t="s">
        <v>306</v>
      </c>
      <c r="B20" s="788"/>
      <c r="C20" s="979">
        <f>transport!B14</f>
        <v>77.475744521622957</v>
      </c>
      <c r="D20" s="979">
        <f>transport!C14</f>
        <v>0</v>
      </c>
      <c r="E20" s="979">
        <f>transport!D14</f>
        <v>218.21618674999564</v>
      </c>
      <c r="F20" s="979">
        <f>transport!E14</f>
        <v>425.82020155109535</v>
      </c>
      <c r="G20" s="979">
        <f>transport!F14</f>
        <v>0</v>
      </c>
      <c r="H20" s="979">
        <f>transport!G14</f>
        <v>186852.16610204283</v>
      </c>
      <c r="I20" s="979">
        <f>transport!H14</f>
        <v>37833.764299520371</v>
      </c>
      <c r="J20" s="979">
        <f>transport!I14</f>
        <v>0</v>
      </c>
      <c r="K20" s="979">
        <f>transport!J14</f>
        <v>0</v>
      </c>
      <c r="L20" s="979">
        <f>transport!K14</f>
        <v>0</v>
      </c>
      <c r="M20" s="979">
        <f>transport!L14</f>
        <v>0</v>
      </c>
      <c r="N20" s="979">
        <f>transport!M14</f>
        <v>12030.752963803183</v>
      </c>
      <c r="O20" s="979">
        <f>transport!N14</f>
        <v>0</v>
      </c>
      <c r="P20" s="979">
        <f>transport!O14</f>
        <v>0</v>
      </c>
      <c r="Q20" s="980">
        <f>transport!P14</f>
        <v>0</v>
      </c>
      <c r="R20" s="674">
        <f>SUM(C20:Q20)</f>
        <v>237438.1954981891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77.475744521622957</v>
      </c>
      <c r="D22" s="786">
        <f t="shared" ref="D22:R22" si="1">SUM(D18:D21)</f>
        <v>0</v>
      </c>
      <c r="E22" s="786">
        <f t="shared" si="1"/>
        <v>218.21618674999564</v>
      </c>
      <c r="F22" s="786">
        <f t="shared" si="1"/>
        <v>425.82020155109535</v>
      </c>
      <c r="G22" s="786">
        <f t="shared" si="1"/>
        <v>0</v>
      </c>
      <c r="H22" s="786">
        <f t="shared" si="1"/>
        <v>188549.57489979954</v>
      </c>
      <c r="I22" s="786">
        <f t="shared" si="1"/>
        <v>37833.764299520371</v>
      </c>
      <c r="J22" s="786">
        <f t="shared" si="1"/>
        <v>0</v>
      </c>
      <c r="K22" s="786">
        <f t="shared" si="1"/>
        <v>0</v>
      </c>
      <c r="L22" s="786">
        <f t="shared" si="1"/>
        <v>0</v>
      </c>
      <c r="M22" s="786">
        <f t="shared" si="1"/>
        <v>0</v>
      </c>
      <c r="N22" s="786">
        <f t="shared" si="1"/>
        <v>12127.151007799008</v>
      </c>
      <c r="O22" s="786">
        <f t="shared" si="1"/>
        <v>0</v>
      </c>
      <c r="P22" s="786">
        <f t="shared" si="1"/>
        <v>0</v>
      </c>
      <c r="Q22" s="786">
        <f t="shared" si="1"/>
        <v>0</v>
      </c>
      <c r="R22" s="786">
        <f t="shared" si="1"/>
        <v>239232.00233994165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330.96623830056302</v>
      </c>
      <c r="D24" s="979">
        <f>+landbouw!C8</f>
        <v>2357.1428571428573</v>
      </c>
      <c r="E24" s="979">
        <f>+landbouw!D8</f>
        <v>165.12983566047345</v>
      </c>
      <c r="F24" s="979">
        <f>+landbouw!E8</f>
        <v>9.7281086312234777</v>
      </c>
      <c r="G24" s="979">
        <f>+landbouw!F8</f>
        <v>1378.7874642833424</v>
      </c>
      <c r="H24" s="979">
        <f>+landbouw!G8</f>
        <v>0</v>
      </c>
      <c r="I24" s="979">
        <f>+landbouw!H8</f>
        <v>0</v>
      </c>
      <c r="J24" s="979">
        <f>+landbouw!I8</f>
        <v>0</v>
      </c>
      <c r="K24" s="979">
        <f>+landbouw!J8</f>
        <v>47.9499003484244</v>
      </c>
      <c r="L24" s="979">
        <f>+landbouw!K8</f>
        <v>0</v>
      </c>
      <c r="M24" s="979">
        <f>+landbouw!L8</f>
        <v>0</v>
      </c>
      <c r="N24" s="979">
        <f>+landbouw!M8</f>
        <v>0</v>
      </c>
      <c r="O24" s="979">
        <f>+landbouw!N8</f>
        <v>0</v>
      </c>
      <c r="P24" s="979">
        <f>+landbouw!O8</f>
        <v>0</v>
      </c>
      <c r="Q24" s="980">
        <f>+landbouw!P8</f>
        <v>0</v>
      </c>
      <c r="R24" s="674">
        <f>SUM(C24:Q24)</f>
        <v>4289.7044043668839</v>
      </c>
      <c r="S24" s="67"/>
    </row>
    <row r="25" spans="1:19" s="447" customFormat="1" ht="15" thickBot="1">
      <c r="A25" s="805" t="s">
        <v>823</v>
      </c>
      <c r="B25" s="982"/>
      <c r="C25" s="983">
        <f>IF(Onbekend_ele_kWh="---",0,Onbekend_ele_kWh)/1000+IF(REST_rest_ele_kWh="---",0,REST_rest_ele_kWh)/1000</f>
        <v>644.45049306155909</v>
      </c>
      <c r="D25" s="983"/>
      <c r="E25" s="983">
        <f>IF(onbekend_gas_kWh="---",0,onbekend_gas_kWh)/1000+IF(REST_rest_gas_kWh="---",0,REST_rest_gas_kWh)/1000</f>
        <v>1903.1376346345098</v>
      </c>
      <c r="F25" s="983"/>
      <c r="G25" s="983"/>
      <c r="H25" s="983"/>
      <c r="I25" s="983"/>
      <c r="J25" s="983"/>
      <c r="K25" s="983"/>
      <c r="L25" s="983"/>
      <c r="M25" s="983"/>
      <c r="N25" s="983"/>
      <c r="O25" s="983"/>
      <c r="P25" s="983"/>
      <c r="Q25" s="984"/>
      <c r="R25" s="674">
        <f>SUM(C25:Q25)</f>
        <v>2547.588127696069</v>
      </c>
      <c r="S25" s="67"/>
    </row>
    <row r="26" spans="1:19" s="447" customFormat="1" ht="15.75" thickBot="1">
      <c r="A26" s="679" t="s">
        <v>824</v>
      </c>
      <c r="B26" s="791"/>
      <c r="C26" s="786">
        <f>SUM(C24:C25)</f>
        <v>975.41673136212216</v>
      </c>
      <c r="D26" s="786">
        <f t="shared" ref="D26:R26" si="2">SUM(D24:D25)</f>
        <v>2357.1428571428573</v>
      </c>
      <c r="E26" s="786">
        <f t="shared" si="2"/>
        <v>2068.2674702949835</v>
      </c>
      <c r="F26" s="786">
        <f t="shared" si="2"/>
        <v>9.7281086312234777</v>
      </c>
      <c r="G26" s="786">
        <f t="shared" si="2"/>
        <v>1378.7874642833424</v>
      </c>
      <c r="H26" s="786">
        <f t="shared" si="2"/>
        <v>0</v>
      </c>
      <c r="I26" s="786">
        <f t="shared" si="2"/>
        <v>0</v>
      </c>
      <c r="J26" s="786">
        <f t="shared" si="2"/>
        <v>0</v>
      </c>
      <c r="K26" s="786">
        <f t="shared" si="2"/>
        <v>47.9499003484244</v>
      </c>
      <c r="L26" s="786">
        <f t="shared" si="2"/>
        <v>0</v>
      </c>
      <c r="M26" s="786">
        <f t="shared" si="2"/>
        <v>0</v>
      </c>
      <c r="N26" s="786">
        <f t="shared" si="2"/>
        <v>0</v>
      </c>
      <c r="O26" s="786">
        <f t="shared" si="2"/>
        <v>0</v>
      </c>
      <c r="P26" s="786">
        <f t="shared" si="2"/>
        <v>0</v>
      </c>
      <c r="Q26" s="786">
        <f t="shared" si="2"/>
        <v>0</v>
      </c>
      <c r="R26" s="786">
        <f t="shared" si="2"/>
        <v>6837.2925320629529</v>
      </c>
      <c r="S26" s="67"/>
    </row>
    <row r="27" spans="1:19" s="447" customFormat="1" ht="17.25" thickTop="1" thickBot="1">
      <c r="A27" s="680" t="s">
        <v>115</v>
      </c>
      <c r="B27" s="779"/>
      <c r="C27" s="681">
        <f ca="1">C22+C16+C26</f>
        <v>57694.506658587386</v>
      </c>
      <c r="D27" s="681">
        <f t="shared" ref="D27:R27" ca="1" si="3">D22+D16+D26</f>
        <v>2357.1428571428573</v>
      </c>
      <c r="E27" s="681">
        <f t="shared" ca="1" si="3"/>
        <v>79725.051878939135</v>
      </c>
      <c r="F27" s="681">
        <f t="shared" si="3"/>
        <v>14581.505466403371</v>
      </c>
      <c r="G27" s="681">
        <f t="shared" ca="1" si="3"/>
        <v>32877.218444872386</v>
      </c>
      <c r="H27" s="681">
        <f t="shared" si="3"/>
        <v>188549.57489979954</v>
      </c>
      <c r="I27" s="681">
        <f t="shared" si="3"/>
        <v>37833.764299520371</v>
      </c>
      <c r="J27" s="681">
        <f t="shared" si="3"/>
        <v>0</v>
      </c>
      <c r="K27" s="681">
        <f t="shared" si="3"/>
        <v>69.700421346693417</v>
      </c>
      <c r="L27" s="681">
        <f t="shared" si="3"/>
        <v>0</v>
      </c>
      <c r="M27" s="681">
        <f t="shared" ca="1" si="3"/>
        <v>0</v>
      </c>
      <c r="N27" s="681">
        <f t="shared" si="3"/>
        <v>12127.151007799008</v>
      </c>
      <c r="O27" s="681">
        <f t="shared" ca="1" si="3"/>
        <v>9976.2788110628208</v>
      </c>
      <c r="P27" s="681">
        <f t="shared" si="3"/>
        <v>170.40333333333334</v>
      </c>
      <c r="Q27" s="681">
        <f t="shared" si="3"/>
        <v>800.8</v>
      </c>
      <c r="R27" s="681">
        <f t="shared" ca="1" si="3"/>
        <v>436763.09807880694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4435.3988575621106</v>
      </c>
      <c r="D40" s="979">
        <f ca="1">tertiair!C20</f>
        <v>0</v>
      </c>
      <c r="E40" s="979">
        <f ca="1">tertiair!D20</f>
        <v>3661.2028406163463</v>
      </c>
      <c r="F40" s="979">
        <f>tertiair!E20</f>
        <v>84.884183129994895</v>
      </c>
      <c r="G40" s="979">
        <f ca="1">tertiair!F20</f>
        <v>999.41615224414045</v>
      </c>
      <c r="H40" s="979">
        <f>tertiair!G20</f>
        <v>0</v>
      </c>
      <c r="I40" s="979">
        <f>tertiair!H20</f>
        <v>0</v>
      </c>
      <c r="J40" s="979">
        <f>tertiair!I20</f>
        <v>0</v>
      </c>
      <c r="K40" s="979">
        <f>tertiair!J20</f>
        <v>1.2967727374182031E-2</v>
      </c>
      <c r="L40" s="979">
        <f>tertiair!K20</f>
        <v>0</v>
      </c>
      <c r="M40" s="979">
        <f ca="1">tertiair!L20</f>
        <v>0</v>
      </c>
      <c r="N40" s="979">
        <f>tertiair!M20</f>
        <v>0</v>
      </c>
      <c r="O40" s="979">
        <f ca="1">tertiair!N20</f>
        <v>0</v>
      </c>
      <c r="P40" s="979">
        <f>tertiair!O20</f>
        <v>0</v>
      </c>
      <c r="Q40" s="748">
        <f>tertiair!P20</f>
        <v>0</v>
      </c>
      <c r="R40" s="824">
        <f t="shared" ca="1" si="4"/>
        <v>9180.9150012799673</v>
      </c>
    </row>
    <row r="41" spans="1:18">
      <c r="A41" s="796" t="s">
        <v>224</v>
      </c>
      <c r="B41" s="803"/>
      <c r="C41" s="979">
        <f ca="1">huishoudens!B12</f>
        <v>5364.3389152342852</v>
      </c>
      <c r="D41" s="979">
        <f ca="1">huishoudens!C12</f>
        <v>0</v>
      </c>
      <c r="E41" s="979">
        <f>huishoudens!D12</f>
        <v>11471.178706681929</v>
      </c>
      <c r="F41" s="979">
        <f>huishoudens!E12</f>
        <v>2971.4480046126828</v>
      </c>
      <c r="G41" s="979">
        <f>huishoudens!F12</f>
        <v>6833.2133168799292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26640.178943408824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1465.8573954994024</v>
      </c>
      <c r="D43" s="979">
        <f ca="1">industrie!C22</f>
        <v>0</v>
      </c>
      <c r="E43" s="979">
        <f>industrie!D22</f>
        <v>510.20923352434443</v>
      </c>
      <c r="F43" s="979">
        <f>industrie!E22</f>
        <v>154.80008671950108</v>
      </c>
      <c r="G43" s="979">
        <f>industrie!F22</f>
        <v>577.4516026932049</v>
      </c>
      <c r="H43" s="979">
        <f>industrie!G22</f>
        <v>0</v>
      </c>
      <c r="I43" s="979">
        <f>industrie!H22</f>
        <v>0</v>
      </c>
      <c r="J43" s="979">
        <f>industrie!I22</f>
        <v>0</v>
      </c>
      <c r="K43" s="979">
        <f>industrie!J22</f>
        <v>7.6867167060130521</v>
      </c>
      <c r="L43" s="979">
        <f>industrie!K22</f>
        <v>0</v>
      </c>
      <c r="M43" s="979">
        <f>industrie!L22</f>
        <v>0</v>
      </c>
      <c r="N43" s="979">
        <f>industrie!M22</f>
        <v>0</v>
      </c>
      <c r="O43" s="979">
        <f>industrie!N22</f>
        <v>0</v>
      </c>
      <c r="P43" s="979">
        <f>industrie!O22</f>
        <v>0</v>
      </c>
      <c r="Q43" s="748">
        <f>industrie!P22</f>
        <v>0</v>
      </c>
      <c r="R43" s="823">
        <f t="shared" ca="1" si="4"/>
        <v>2716.0050351424657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11265.595168295798</v>
      </c>
      <c r="D46" s="706">
        <f t="shared" ref="D46:Q46" ca="1" si="5">SUM(D39:D45)</f>
        <v>0</v>
      </c>
      <c r="E46" s="706">
        <f t="shared" ca="1" si="5"/>
        <v>15642.59078082262</v>
      </c>
      <c r="F46" s="706">
        <f t="shared" si="5"/>
        <v>3211.1322744621789</v>
      </c>
      <c r="G46" s="706">
        <f t="shared" ca="1" si="5"/>
        <v>8410.0810718172743</v>
      </c>
      <c r="H46" s="706">
        <f t="shared" si="5"/>
        <v>0</v>
      </c>
      <c r="I46" s="706">
        <f t="shared" si="5"/>
        <v>0</v>
      </c>
      <c r="J46" s="706">
        <f t="shared" si="5"/>
        <v>0</v>
      </c>
      <c r="K46" s="706">
        <f t="shared" si="5"/>
        <v>7.6996844333872341</v>
      </c>
      <c r="L46" s="706">
        <f t="shared" si="5"/>
        <v>0</v>
      </c>
      <c r="M46" s="706">
        <f t="shared" ca="1" si="5"/>
        <v>0</v>
      </c>
      <c r="N46" s="706">
        <f t="shared" si="5"/>
        <v>0</v>
      </c>
      <c r="O46" s="706">
        <f t="shared" ca="1" si="5"/>
        <v>0</v>
      </c>
      <c r="P46" s="706">
        <f t="shared" si="5"/>
        <v>0</v>
      </c>
      <c r="Q46" s="706">
        <f t="shared" si="5"/>
        <v>0</v>
      </c>
      <c r="R46" s="706">
        <f ca="1">SUM(R39:R45)</f>
        <v>38537.098979831258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453.20814900104364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453.20814900104364</v>
      </c>
    </row>
    <row r="50" spans="1:18">
      <c r="A50" s="799" t="s">
        <v>306</v>
      </c>
      <c r="B50" s="809"/>
      <c r="C50" s="677">
        <f ca="1">transport!B18</f>
        <v>15.409348510576891</v>
      </c>
      <c r="D50" s="677">
        <f>transport!C18</f>
        <v>0</v>
      </c>
      <c r="E50" s="677">
        <f>transport!D18</f>
        <v>44.079669723499123</v>
      </c>
      <c r="F50" s="677">
        <f>transport!E18</f>
        <v>96.661185752098646</v>
      </c>
      <c r="G50" s="677">
        <f>transport!F18</f>
        <v>0</v>
      </c>
      <c r="H50" s="677">
        <f>transport!G18</f>
        <v>49889.52834924544</v>
      </c>
      <c r="I50" s="677">
        <f>transport!H18</f>
        <v>9420.6073105805717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59466.285863812183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15.409348510576891</v>
      </c>
      <c r="D52" s="706">
        <f t="shared" ref="D52:Q52" ca="1" si="6">SUM(D48:D51)</f>
        <v>0</v>
      </c>
      <c r="E52" s="706">
        <f t="shared" si="6"/>
        <v>44.079669723499123</v>
      </c>
      <c r="F52" s="706">
        <f t="shared" si="6"/>
        <v>96.661185752098646</v>
      </c>
      <c r="G52" s="706">
        <f t="shared" si="6"/>
        <v>0</v>
      </c>
      <c r="H52" s="706">
        <f t="shared" si="6"/>
        <v>50342.736498246486</v>
      </c>
      <c r="I52" s="706">
        <f t="shared" si="6"/>
        <v>9420.6073105805717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59919.494012813229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65.826719610092269</v>
      </c>
      <c r="D54" s="677">
        <f ca="1">+landbouw!C12</f>
        <v>0</v>
      </c>
      <c r="E54" s="677">
        <f>+landbouw!D12</f>
        <v>33.356226803415638</v>
      </c>
      <c r="F54" s="677">
        <f>+landbouw!E12</f>
        <v>2.2082806592877295</v>
      </c>
      <c r="G54" s="677">
        <f>+landbouw!F12</f>
        <v>368.13625296365245</v>
      </c>
      <c r="H54" s="677">
        <f>+landbouw!G12</f>
        <v>0</v>
      </c>
      <c r="I54" s="677">
        <f>+landbouw!H12</f>
        <v>0</v>
      </c>
      <c r="J54" s="677">
        <f>+landbouw!I12</f>
        <v>0</v>
      </c>
      <c r="K54" s="677">
        <f>+landbouw!J12</f>
        <v>16.974264723342237</v>
      </c>
      <c r="L54" s="677">
        <f>+landbouw!K12</f>
        <v>0</v>
      </c>
      <c r="M54" s="677">
        <f>+landbouw!L12</f>
        <v>0</v>
      </c>
      <c r="N54" s="677">
        <f>+landbouw!M12</f>
        <v>0</v>
      </c>
      <c r="O54" s="677">
        <f>+landbouw!N12</f>
        <v>0</v>
      </c>
      <c r="P54" s="677">
        <f>+landbouw!O12</f>
        <v>0</v>
      </c>
      <c r="Q54" s="678">
        <f>+landbouw!P12</f>
        <v>0</v>
      </c>
      <c r="R54" s="705">
        <f ca="1">SUM(C54:Q54)</f>
        <v>486.50174475979031</v>
      </c>
    </row>
    <row r="55" spans="1:18" ht="15" thickBot="1">
      <c r="A55" s="799" t="s">
        <v>823</v>
      </c>
      <c r="B55" s="809"/>
      <c r="C55" s="677">
        <f ca="1">C25*'EF ele_warmte'!B12</f>
        <v>128.17640290797237</v>
      </c>
      <c r="D55" s="677"/>
      <c r="E55" s="677">
        <f>E25*EF_CO2_aardgas</f>
        <v>384.43380219617103</v>
      </c>
      <c r="F55" s="677"/>
      <c r="G55" s="677"/>
      <c r="H55" s="677"/>
      <c r="I55" s="677"/>
      <c r="J55" s="677"/>
      <c r="K55" s="677"/>
      <c r="L55" s="677"/>
      <c r="M55" s="677"/>
      <c r="N55" s="677"/>
      <c r="O55" s="677"/>
      <c r="P55" s="677"/>
      <c r="Q55" s="678"/>
      <c r="R55" s="705">
        <f ca="1">SUM(C55:Q55)</f>
        <v>512.61020510414346</v>
      </c>
    </row>
    <row r="56" spans="1:18" ht="15.75" thickBot="1">
      <c r="A56" s="797" t="s">
        <v>824</v>
      </c>
      <c r="B56" s="810"/>
      <c r="C56" s="706">
        <f ca="1">SUM(C54:C55)</f>
        <v>194.00312251806463</v>
      </c>
      <c r="D56" s="706">
        <f t="shared" ref="D56:Q56" ca="1" si="7">SUM(D54:D55)</f>
        <v>0</v>
      </c>
      <c r="E56" s="706">
        <f t="shared" si="7"/>
        <v>417.79002899958664</v>
      </c>
      <c r="F56" s="706">
        <f t="shared" si="7"/>
        <v>2.2082806592877295</v>
      </c>
      <c r="G56" s="706">
        <f t="shared" si="7"/>
        <v>368.13625296365245</v>
      </c>
      <c r="H56" s="706">
        <f t="shared" si="7"/>
        <v>0</v>
      </c>
      <c r="I56" s="706">
        <f t="shared" si="7"/>
        <v>0</v>
      </c>
      <c r="J56" s="706">
        <f t="shared" si="7"/>
        <v>0</v>
      </c>
      <c r="K56" s="706">
        <f t="shared" si="7"/>
        <v>16.974264723342237</v>
      </c>
      <c r="L56" s="706">
        <f t="shared" si="7"/>
        <v>0</v>
      </c>
      <c r="M56" s="706">
        <f t="shared" si="7"/>
        <v>0</v>
      </c>
      <c r="N56" s="706">
        <f t="shared" si="7"/>
        <v>0</v>
      </c>
      <c r="O56" s="706">
        <f t="shared" si="7"/>
        <v>0</v>
      </c>
      <c r="P56" s="706">
        <f t="shared" si="7"/>
        <v>0</v>
      </c>
      <c r="Q56" s="707">
        <f t="shared" si="7"/>
        <v>0</v>
      </c>
      <c r="R56" s="708">
        <f ca="1">SUM(R54:R55)</f>
        <v>999.11194986393377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11475.00763932444</v>
      </c>
      <c r="D61" s="714">
        <f t="shared" ref="D61:Q61" ca="1" si="8">D46+D52+D56</f>
        <v>0</v>
      </c>
      <c r="E61" s="714">
        <f t="shared" ca="1" si="8"/>
        <v>16104.460479545705</v>
      </c>
      <c r="F61" s="714">
        <f t="shared" si="8"/>
        <v>3310.0017408735653</v>
      </c>
      <c r="G61" s="714">
        <f t="shared" ca="1" si="8"/>
        <v>8778.217324780926</v>
      </c>
      <c r="H61" s="714">
        <f t="shared" si="8"/>
        <v>50342.736498246486</v>
      </c>
      <c r="I61" s="714">
        <f t="shared" si="8"/>
        <v>9420.6073105805717</v>
      </c>
      <c r="J61" s="714">
        <f t="shared" si="8"/>
        <v>0</v>
      </c>
      <c r="K61" s="714">
        <f t="shared" si="8"/>
        <v>24.673949156729471</v>
      </c>
      <c r="L61" s="714">
        <f t="shared" si="8"/>
        <v>0</v>
      </c>
      <c r="M61" s="714">
        <f t="shared" ca="1" si="8"/>
        <v>0</v>
      </c>
      <c r="N61" s="714">
        <f t="shared" si="8"/>
        <v>0</v>
      </c>
      <c r="O61" s="714">
        <f t="shared" ca="1" si="8"/>
        <v>0</v>
      </c>
      <c r="P61" s="714">
        <f t="shared" si="8"/>
        <v>0</v>
      </c>
      <c r="Q61" s="714">
        <f t="shared" si="8"/>
        <v>0</v>
      </c>
      <c r="R61" s="714">
        <f ca="1">R46+R52+R56</f>
        <v>99455.704942508426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0.19889255154271213</v>
      </c>
      <c r="D63" s="755">
        <f t="shared" ca="1" si="9"/>
        <v>0</v>
      </c>
      <c r="E63" s="990">
        <f t="shared" ca="1" si="9"/>
        <v>0.20200000000000001</v>
      </c>
      <c r="F63" s="755">
        <f t="shared" si="9"/>
        <v>0.22700000000000001</v>
      </c>
      <c r="G63" s="755">
        <f t="shared" ca="1" si="9"/>
        <v>0.26699999999999996</v>
      </c>
      <c r="H63" s="755">
        <f t="shared" si="9"/>
        <v>0.26700000000000007</v>
      </c>
      <c r="I63" s="755">
        <f t="shared" si="9"/>
        <v>0.24899999999999997</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4121.395168431558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1650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1941.1764705882354</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5771.395168431558</v>
      </c>
      <c r="C78" s="729">
        <f>SUM(C72:C77)</f>
        <v>0</v>
      </c>
      <c r="D78" s="730">
        <f t="shared" ref="D78:H78" si="10">SUM(D76:D77)</f>
        <v>0</v>
      </c>
      <c r="E78" s="730">
        <f t="shared" si="10"/>
        <v>0</v>
      </c>
      <c r="F78" s="730">
        <f t="shared" si="10"/>
        <v>0</v>
      </c>
      <c r="G78" s="730">
        <f t="shared" si="10"/>
        <v>0</v>
      </c>
      <c r="H78" s="730">
        <f t="shared" si="10"/>
        <v>0</v>
      </c>
      <c r="I78" s="730">
        <f>SUM(I76:I77)</f>
        <v>0</v>
      </c>
      <c r="J78" s="730">
        <f>SUM(J76:J77)</f>
        <v>1941.1764705882354</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2357.1428571428573</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2773.1092436974791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2357.1428571428573</v>
      </c>
      <c r="C90" s="729">
        <f>SUM(C87:C89)</f>
        <v>0</v>
      </c>
      <c r="D90" s="729">
        <f t="shared" ref="D90:H90" si="12">SUM(D87:D89)</f>
        <v>0</v>
      </c>
      <c r="E90" s="729">
        <f t="shared" si="12"/>
        <v>0</v>
      </c>
      <c r="F90" s="729">
        <f t="shared" si="12"/>
        <v>0</v>
      </c>
      <c r="G90" s="729">
        <f t="shared" si="12"/>
        <v>0</v>
      </c>
      <c r="H90" s="729">
        <f t="shared" si="12"/>
        <v>0</v>
      </c>
      <c r="I90" s="729">
        <f>SUM(I87:I89)</f>
        <v>0</v>
      </c>
      <c r="J90" s="729">
        <f>SUM(J87:J89)</f>
        <v>2773.1092436974791</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4121.395168431558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1650</v>
      </c>
      <c r="C8" s="544">
        <f>B48</f>
        <v>0</v>
      </c>
      <c r="D8" s="1010"/>
      <c r="E8" s="1010">
        <f>E48</f>
        <v>0</v>
      </c>
      <c r="F8" s="1011"/>
      <c r="G8" s="545"/>
      <c r="H8" s="1010">
        <f>I48</f>
        <v>0</v>
      </c>
      <c r="I8" s="1010">
        <f>G48+F48</f>
        <v>0</v>
      </c>
      <c r="J8" s="1010">
        <f>H48+D48+C48</f>
        <v>1941.1764705882354</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5771.395168431558</v>
      </c>
      <c r="C10" s="557">
        <f t="shared" ref="C10:L10" si="0">SUM(C8:C9)</f>
        <v>0</v>
      </c>
      <c r="D10" s="557">
        <f t="shared" si="0"/>
        <v>0</v>
      </c>
      <c r="E10" s="557">
        <f t="shared" si="0"/>
        <v>0</v>
      </c>
      <c r="F10" s="557">
        <f t="shared" si="0"/>
        <v>0</v>
      </c>
      <c r="G10" s="557">
        <f t="shared" si="0"/>
        <v>0</v>
      </c>
      <c r="H10" s="557">
        <f t="shared" si="0"/>
        <v>0</v>
      </c>
      <c r="I10" s="557">
        <f t="shared" si="0"/>
        <v>0</v>
      </c>
      <c r="J10" s="557">
        <f t="shared" si="0"/>
        <v>1941.1764705882354</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2357.1428571428573</v>
      </c>
      <c r="C17" s="569">
        <f>B49</f>
        <v>0</v>
      </c>
      <c r="D17" s="570"/>
      <c r="E17" s="570">
        <f>E49</f>
        <v>0</v>
      </c>
      <c r="F17" s="1016"/>
      <c r="G17" s="571"/>
      <c r="H17" s="569">
        <f>I49</f>
        <v>0</v>
      </c>
      <c r="I17" s="570">
        <f>G49+F49</f>
        <v>0</v>
      </c>
      <c r="J17" s="570">
        <f>H49+D49+C49</f>
        <v>2773.1092436974791</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2357.1428571428573</v>
      </c>
      <c r="C20" s="556">
        <f>SUM(C17:C19)</f>
        <v>0</v>
      </c>
      <c r="D20" s="556">
        <f t="shared" ref="D20:L20" si="1">SUM(D17:D19)</f>
        <v>0</v>
      </c>
      <c r="E20" s="556">
        <f t="shared" si="1"/>
        <v>0</v>
      </c>
      <c r="F20" s="556">
        <f t="shared" si="1"/>
        <v>0</v>
      </c>
      <c r="G20" s="556">
        <f t="shared" si="1"/>
        <v>0</v>
      </c>
      <c r="H20" s="556">
        <f t="shared" si="1"/>
        <v>0</v>
      </c>
      <c r="I20" s="556">
        <f t="shared" si="1"/>
        <v>0</v>
      </c>
      <c r="J20" s="556">
        <f t="shared" si="1"/>
        <v>2773.1092436974791</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23086</v>
      </c>
      <c r="C28" s="770">
        <v>1740</v>
      </c>
      <c r="D28" s="627" t="s">
        <v>887</v>
      </c>
      <c r="E28" s="626"/>
      <c r="F28" s="626" t="s">
        <v>888</v>
      </c>
      <c r="G28" s="626" t="s">
        <v>889</v>
      </c>
      <c r="H28" s="626" t="s">
        <v>890</v>
      </c>
      <c r="I28" s="626" t="s">
        <v>891</v>
      </c>
      <c r="J28" s="769">
        <v>42380</v>
      </c>
      <c r="K28" s="769">
        <v>42380</v>
      </c>
      <c r="L28" s="626" t="s">
        <v>892</v>
      </c>
      <c r="M28" s="626">
        <v>400</v>
      </c>
      <c r="N28" s="626">
        <v>1650</v>
      </c>
      <c r="O28" s="626">
        <v>2357.1428571428573</v>
      </c>
      <c r="P28" s="626">
        <v>0</v>
      </c>
      <c r="Q28" s="626">
        <v>4714.2857142857147</v>
      </c>
      <c r="R28" s="626">
        <v>0</v>
      </c>
      <c r="S28" s="626">
        <v>0</v>
      </c>
      <c r="T28" s="626">
        <v>0</v>
      </c>
      <c r="U28" s="626">
        <v>0</v>
      </c>
      <c r="V28" s="626">
        <v>0</v>
      </c>
      <c r="W28" s="626">
        <v>0</v>
      </c>
      <c r="X28" s="626">
        <v>10</v>
      </c>
      <c r="Y28" s="626" t="s">
        <v>893</v>
      </c>
      <c r="Z28" s="628" t="s">
        <v>111</v>
      </c>
    </row>
    <row r="29" spans="1:26" s="564" customFormat="1">
      <c r="A29" s="582" t="s">
        <v>279</v>
      </c>
      <c r="B29" s="583"/>
      <c r="C29" s="583"/>
      <c r="D29" s="583"/>
      <c r="E29" s="583"/>
      <c r="F29" s="583"/>
      <c r="G29" s="583"/>
      <c r="H29" s="583"/>
      <c r="I29" s="583"/>
      <c r="J29" s="583"/>
      <c r="K29" s="583"/>
      <c r="L29" s="584"/>
      <c r="M29" s="584">
        <f>SUM(M28:M28)</f>
        <v>400</v>
      </c>
      <c r="N29" s="584">
        <f>SUM(N28:N28)</f>
        <v>1650</v>
      </c>
      <c r="O29" s="584">
        <f>SUM(O28:O28)</f>
        <v>2357.1428571428573</v>
      </c>
      <c r="P29" s="584">
        <f>SUM(P28:P28)</f>
        <v>0</v>
      </c>
      <c r="Q29" s="584">
        <f>SUM(Q28:Q28)</f>
        <v>4714.2857142857147</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400</v>
      </c>
      <c r="N32" s="589">
        <f>SUMIF($Z$28:$Z$28,"landbouw",N28:N28)</f>
        <v>1650</v>
      </c>
      <c r="O32" s="589">
        <f>SUMIF($Z$28:$Z$28,"landbouw",O28:O28)</f>
        <v>2357.1428571428573</v>
      </c>
      <c r="P32" s="589">
        <f>SUMIF($Z$28:$Z$28,"landbouw",P28:P28)</f>
        <v>0</v>
      </c>
      <c r="Q32" s="589">
        <f>SUMIF($Z$28:$Z$28,"landbouw",Q28:Q28)</f>
        <v>4714.2857142857147</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1941.1764705882354</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2773.1092436974791</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26971.039758028819</v>
      </c>
      <c r="C4" s="451">
        <f>huishoudens!C8</f>
        <v>0</v>
      </c>
      <c r="D4" s="451">
        <f>huishoudens!D8</f>
        <v>56788.013399415489</v>
      </c>
      <c r="E4" s="451">
        <f>huishoudens!E8</f>
        <v>13090.079315474373</v>
      </c>
      <c r="F4" s="451">
        <f>huishoudens!F8</f>
        <v>25592.55923925067</v>
      </c>
      <c r="G4" s="451">
        <f>huishoudens!G8</f>
        <v>0</v>
      </c>
      <c r="H4" s="451">
        <f>huishoudens!H8</f>
        <v>0</v>
      </c>
      <c r="I4" s="451">
        <f>huishoudens!I8</f>
        <v>0</v>
      </c>
      <c r="J4" s="451">
        <f>huishoudens!J8</f>
        <v>0</v>
      </c>
      <c r="K4" s="451">
        <f>huishoudens!K8</f>
        <v>0</v>
      </c>
      <c r="L4" s="451">
        <f>huishoudens!L8</f>
        <v>0</v>
      </c>
      <c r="M4" s="451">
        <f>huishoudens!M8</f>
        <v>0</v>
      </c>
      <c r="N4" s="451">
        <f>huishoudens!N8</f>
        <v>7985.6890390090757</v>
      </c>
      <c r="O4" s="451">
        <f>huishoudens!O8</f>
        <v>170.40333333333334</v>
      </c>
      <c r="P4" s="452">
        <f>huishoudens!P8</f>
        <v>800.8</v>
      </c>
      <c r="Q4" s="453">
        <f>SUM(B4:P4)</f>
        <v>131398.58408451176</v>
      </c>
    </row>
    <row r="5" spans="1:17">
      <c r="A5" s="450" t="s">
        <v>155</v>
      </c>
      <c r="B5" s="451">
        <f ca="1">tertiair!B16</f>
        <v>21275.133434468476</v>
      </c>
      <c r="C5" s="451">
        <f ca="1">tertiair!C16</f>
        <v>0</v>
      </c>
      <c r="D5" s="451">
        <f ca="1">tertiair!D16</f>
        <v>18124.766537704683</v>
      </c>
      <c r="E5" s="451">
        <f>tertiair!E16</f>
        <v>373.93913273125503</v>
      </c>
      <c r="F5" s="451">
        <f ca="1">tertiair!F16</f>
        <v>3743.1316563450951</v>
      </c>
      <c r="G5" s="451">
        <f>tertiair!G16</f>
        <v>0</v>
      </c>
      <c r="H5" s="451">
        <f>tertiair!H16</f>
        <v>0</v>
      </c>
      <c r="I5" s="451">
        <f>tertiair!I16</f>
        <v>0</v>
      </c>
      <c r="J5" s="451">
        <f>tertiair!J16</f>
        <v>3.6631998232152629E-2</v>
      </c>
      <c r="K5" s="451">
        <f>tertiair!K16</f>
        <v>0</v>
      </c>
      <c r="L5" s="451">
        <f ca="1">tertiair!L16</f>
        <v>0</v>
      </c>
      <c r="M5" s="451">
        <f>tertiair!M16</f>
        <v>0</v>
      </c>
      <c r="N5" s="451">
        <f ca="1">tertiair!N16</f>
        <v>1466.0952165831093</v>
      </c>
      <c r="O5" s="451">
        <f>tertiair!O16</f>
        <v>0</v>
      </c>
      <c r="P5" s="452">
        <f>tertiair!P16</f>
        <v>0</v>
      </c>
      <c r="Q5" s="450">
        <f t="shared" ref="Q5:Q14" ca="1" si="0">SUM(B5:P5)</f>
        <v>44983.102609830858</v>
      </c>
    </row>
    <row r="6" spans="1:17">
      <c r="A6" s="450" t="s">
        <v>193</v>
      </c>
      <c r="B6" s="451">
        <f>'openbare verlichting'!B8</f>
        <v>1025.3440000000001</v>
      </c>
      <c r="C6" s="451"/>
      <c r="D6" s="451"/>
      <c r="E6" s="451"/>
      <c r="F6" s="451"/>
      <c r="G6" s="451"/>
      <c r="H6" s="451"/>
      <c r="I6" s="451"/>
      <c r="J6" s="451"/>
      <c r="K6" s="451"/>
      <c r="L6" s="451"/>
      <c r="M6" s="451"/>
      <c r="N6" s="451"/>
      <c r="O6" s="451"/>
      <c r="P6" s="452"/>
      <c r="Q6" s="450">
        <f t="shared" si="0"/>
        <v>1025.3440000000001</v>
      </c>
    </row>
    <row r="7" spans="1:17">
      <c r="A7" s="450" t="s">
        <v>111</v>
      </c>
      <c r="B7" s="451">
        <f>landbouw!B8</f>
        <v>330.96623830056302</v>
      </c>
      <c r="C7" s="451">
        <f>landbouw!C8</f>
        <v>2357.1428571428573</v>
      </c>
      <c r="D7" s="451">
        <f>landbouw!D8</f>
        <v>165.12983566047345</v>
      </c>
      <c r="E7" s="451">
        <f>landbouw!E8</f>
        <v>9.7281086312234777</v>
      </c>
      <c r="F7" s="451">
        <f>landbouw!F8</f>
        <v>1378.7874642833424</v>
      </c>
      <c r="G7" s="451">
        <f>landbouw!G8</f>
        <v>0</v>
      </c>
      <c r="H7" s="451">
        <f>landbouw!H8</f>
        <v>0</v>
      </c>
      <c r="I7" s="451">
        <f>landbouw!I8</f>
        <v>0</v>
      </c>
      <c r="J7" s="451">
        <f>landbouw!J8</f>
        <v>47.9499003484244</v>
      </c>
      <c r="K7" s="451">
        <f>landbouw!K8</f>
        <v>0</v>
      </c>
      <c r="L7" s="451">
        <f>landbouw!L8</f>
        <v>0</v>
      </c>
      <c r="M7" s="451">
        <f>landbouw!M8</f>
        <v>0</v>
      </c>
      <c r="N7" s="451">
        <f>landbouw!N8</f>
        <v>0</v>
      </c>
      <c r="O7" s="451">
        <f>landbouw!O8</f>
        <v>0</v>
      </c>
      <c r="P7" s="452">
        <f>landbouw!P8</f>
        <v>0</v>
      </c>
      <c r="Q7" s="450">
        <f t="shared" si="0"/>
        <v>4289.7044043668839</v>
      </c>
    </row>
    <row r="8" spans="1:17">
      <c r="A8" s="450" t="s">
        <v>634</v>
      </c>
      <c r="B8" s="451">
        <f>industrie!B18</f>
        <v>7370.0969902063425</v>
      </c>
      <c r="C8" s="451">
        <f>industrie!C18</f>
        <v>0</v>
      </c>
      <c r="D8" s="451">
        <f>industrie!D18</f>
        <v>2525.788284773982</v>
      </c>
      <c r="E8" s="451">
        <f>industrie!E18</f>
        <v>681.93870801542323</v>
      </c>
      <c r="F8" s="451">
        <f>industrie!F18</f>
        <v>2162.7400849932765</v>
      </c>
      <c r="G8" s="451">
        <f>industrie!G18</f>
        <v>0</v>
      </c>
      <c r="H8" s="451">
        <f>industrie!H18</f>
        <v>0</v>
      </c>
      <c r="I8" s="451">
        <f>industrie!I18</f>
        <v>0</v>
      </c>
      <c r="J8" s="451">
        <f>industrie!J18</f>
        <v>21.713889000036872</v>
      </c>
      <c r="K8" s="451">
        <f>industrie!K18</f>
        <v>0</v>
      </c>
      <c r="L8" s="451">
        <f>industrie!L18</f>
        <v>0</v>
      </c>
      <c r="M8" s="451">
        <f>industrie!M18</f>
        <v>0</v>
      </c>
      <c r="N8" s="451">
        <f>industrie!N18</f>
        <v>524.49455547063531</v>
      </c>
      <c r="O8" s="451">
        <f>industrie!O18</f>
        <v>0</v>
      </c>
      <c r="P8" s="452">
        <f>industrie!P18</f>
        <v>0</v>
      </c>
      <c r="Q8" s="450">
        <f t="shared" si="0"/>
        <v>13286.772512459696</v>
      </c>
    </row>
    <row r="9" spans="1:17" s="456" customFormat="1">
      <c r="A9" s="454" t="s">
        <v>560</v>
      </c>
      <c r="B9" s="455">
        <f>transport!B14</f>
        <v>77.475744521622957</v>
      </c>
      <c r="C9" s="455">
        <f>transport!C14</f>
        <v>0</v>
      </c>
      <c r="D9" s="455">
        <f>transport!D14</f>
        <v>218.21618674999564</v>
      </c>
      <c r="E9" s="455">
        <f>transport!E14</f>
        <v>425.82020155109535</v>
      </c>
      <c r="F9" s="455">
        <f>transport!F14</f>
        <v>0</v>
      </c>
      <c r="G9" s="455">
        <f>transport!G14</f>
        <v>186852.16610204283</v>
      </c>
      <c r="H9" s="455">
        <f>transport!H14</f>
        <v>37833.764299520371</v>
      </c>
      <c r="I9" s="455">
        <f>transport!I14</f>
        <v>0</v>
      </c>
      <c r="J9" s="455">
        <f>transport!J14</f>
        <v>0</v>
      </c>
      <c r="K9" s="455">
        <f>transport!K14</f>
        <v>0</v>
      </c>
      <c r="L9" s="455">
        <f>transport!L14</f>
        <v>0</v>
      </c>
      <c r="M9" s="455">
        <f>transport!M14</f>
        <v>12030.752963803183</v>
      </c>
      <c r="N9" s="455">
        <f>transport!N14</f>
        <v>0</v>
      </c>
      <c r="O9" s="455">
        <f>transport!O14</f>
        <v>0</v>
      </c>
      <c r="P9" s="455">
        <f>transport!P14</f>
        <v>0</v>
      </c>
      <c r="Q9" s="454">
        <f>SUM(B9:P9)</f>
        <v>237438.1954981891</v>
      </c>
    </row>
    <row r="10" spans="1:17">
      <c r="A10" s="450" t="s">
        <v>550</v>
      </c>
      <c r="B10" s="451">
        <f>transport!B54</f>
        <v>0</v>
      </c>
      <c r="C10" s="451">
        <f>transport!C54</f>
        <v>0</v>
      </c>
      <c r="D10" s="451">
        <f>transport!D54</f>
        <v>0</v>
      </c>
      <c r="E10" s="451">
        <f>transport!E54</f>
        <v>0</v>
      </c>
      <c r="F10" s="451">
        <f>transport!F54</f>
        <v>0</v>
      </c>
      <c r="G10" s="451">
        <f>transport!G54</f>
        <v>1697.4087977567176</v>
      </c>
      <c r="H10" s="451">
        <f>transport!H54</f>
        <v>0</v>
      </c>
      <c r="I10" s="451">
        <f>transport!I54</f>
        <v>0</v>
      </c>
      <c r="J10" s="451">
        <f>transport!J54</f>
        <v>0</v>
      </c>
      <c r="K10" s="451">
        <f>transport!K54</f>
        <v>0</v>
      </c>
      <c r="L10" s="451">
        <f>transport!L54</f>
        <v>0</v>
      </c>
      <c r="M10" s="451">
        <f>transport!M54</f>
        <v>96.398043995824452</v>
      </c>
      <c r="N10" s="451">
        <f>transport!N54</f>
        <v>0</v>
      </c>
      <c r="O10" s="451">
        <f>transport!O54</f>
        <v>0</v>
      </c>
      <c r="P10" s="452">
        <f>transport!P54</f>
        <v>0</v>
      </c>
      <c r="Q10" s="450">
        <f t="shared" si="0"/>
        <v>1793.8068417525421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644.45049306155909</v>
      </c>
      <c r="C14" s="458"/>
      <c r="D14" s="458">
        <f>'SEAP template'!E25</f>
        <v>1903.1376346345098</v>
      </c>
      <c r="E14" s="458"/>
      <c r="F14" s="458"/>
      <c r="G14" s="458"/>
      <c r="H14" s="458"/>
      <c r="I14" s="458"/>
      <c r="J14" s="458"/>
      <c r="K14" s="458"/>
      <c r="L14" s="458"/>
      <c r="M14" s="458"/>
      <c r="N14" s="458"/>
      <c r="O14" s="458"/>
      <c r="P14" s="459"/>
      <c r="Q14" s="450">
        <f t="shared" si="0"/>
        <v>2547.588127696069</v>
      </c>
    </row>
    <row r="15" spans="1:17" s="460" customFormat="1">
      <c r="A15" s="1005" t="s">
        <v>554</v>
      </c>
      <c r="B15" s="953">
        <f ca="1">SUM(B4:B14)</f>
        <v>57694.506658587386</v>
      </c>
      <c r="C15" s="953">
        <f t="shared" ref="C15:Q15" ca="1" si="1">SUM(C4:C14)</f>
        <v>2357.1428571428573</v>
      </c>
      <c r="D15" s="953">
        <f t="shared" ca="1" si="1"/>
        <v>79725.051878939121</v>
      </c>
      <c r="E15" s="953">
        <f t="shared" si="1"/>
        <v>14581.505466403371</v>
      </c>
      <c r="F15" s="953">
        <f t="shared" ca="1" si="1"/>
        <v>32877.218444872386</v>
      </c>
      <c r="G15" s="953">
        <f t="shared" si="1"/>
        <v>188549.57489979954</v>
      </c>
      <c r="H15" s="953">
        <f t="shared" si="1"/>
        <v>37833.764299520371</v>
      </c>
      <c r="I15" s="953">
        <f t="shared" si="1"/>
        <v>0</v>
      </c>
      <c r="J15" s="953">
        <f t="shared" si="1"/>
        <v>69.700421346693417</v>
      </c>
      <c r="K15" s="953">
        <f t="shared" si="1"/>
        <v>0</v>
      </c>
      <c r="L15" s="953">
        <f t="shared" ca="1" si="1"/>
        <v>0</v>
      </c>
      <c r="M15" s="953">
        <f t="shared" si="1"/>
        <v>12127.151007799008</v>
      </c>
      <c r="N15" s="953">
        <f t="shared" ca="1" si="1"/>
        <v>9976.2788110628208</v>
      </c>
      <c r="O15" s="953">
        <f t="shared" si="1"/>
        <v>170.40333333333334</v>
      </c>
      <c r="P15" s="953">
        <f t="shared" si="1"/>
        <v>800.8</v>
      </c>
      <c r="Q15" s="953">
        <f t="shared" ca="1" si="1"/>
        <v>436763.09807880694</v>
      </c>
    </row>
    <row r="17" spans="1:17">
      <c r="A17" s="461" t="s">
        <v>555</v>
      </c>
      <c r="B17" s="760">
        <f ca="1">huishoudens!B10</f>
        <v>0.19889255154271213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5364.3389152342852</v>
      </c>
      <c r="C22" s="451">
        <f t="shared" ref="C22:C32" ca="1" si="3">C4*$C$17</f>
        <v>0</v>
      </c>
      <c r="D22" s="451">
        <f t="shared" ref="D22:D32" si="4">D4*$D$17</f>
        <v>11471.178706681929</v>
      </c>
      <c r="E22" s="451">
        <f t="shared" ref="E22:E32" si="5">E4*$E$17</f>
        <v>2971.4480046126828</v>
      </c>
      <c r="F22" s="451">
        <f t="shared" ref="F22:F32" si="6">F4*$F$17</f>
        <v>6833.2133168799292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26640.178943408824</v>
      </c>
    </row>
    <row r="23" spans="1:17">
      <c r="A23" s="450" t="s">
        <v>155</v>
      </c>
      <c r="B23" s="451">
        <f t="shared" ca="1" si="2"/>
        <v>4231.4655731930998</v>
      </c>
      <c r="C23" s="451">
        <f t="shared" ca="1" si="3"/>
        <v>0</v>
      </c>
      <c r="D23" s="451">
        <f t="shared" ca="1" si="4"/>
        <v>3661.2028406163463</v>
      </c>
      <c r="E23" s="451">
        <f t="shared" si="5"/>
        <v>84.884183129994895</v>
      </c>
      <c r="F23" s="451">
        <f t="shared" ca="1" si="6"/>
        <v>999.41615224414045</v>
      </c>
      <c r="G23" s="451">
        <f t="shared" si="7"/>
        <v>0</v>
      </c>
      <c r="H23" s="451">
        <f t="shared" si="8"/>
        <v>0</v>
      </c>
      <c r="I23" s="451">
        <f t="shared" si="9"/>
        <v>0</v>
      </c>
      <c r="J23" s="451">
        <f t="shared" si="10"/>
        <v>1.2967727374182031E-2</v>
      </c>
      <c r="K23" s="451">
        <f t="shared" si="11"/>
        <v>0</v>
      </c>
      <c r="L23" s="451">
        <f t="shared" ca="1" si="12"/>
        <v>0</v>
      </c>
      <c r="M23" s="451">
        <f t="shared" si="13"/>
        <v>0</v>
      </c>
      <c r="N23" s="451">
        <f t="shared" ca="1" si="14"/>
        <v>0</v>
      </c>
      <c r="O23" s="451">
        <f t="shared" si="15"/>
        <v>0</v>
      </c>
      <c r="P23" s="452">
        <f t="shared" si="16"/>
        <v>0</v>
      </c>
      <c r="Q23" s="450">
        <f t="shared" ref="Q23:Q32" ca="1" si="17">SUM(B23:P23)</f>
        <v>8976.9817169109556</v>
      </c>
    </row>
    <row r="24" spans="1:17">
      <c r="A24" s="450" t="s">
        <v>193</v>
      </c>
      <c r="B24" s="451">
        <f t="shared" ca="1" si="2"/>
        <v>203.93328436901064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203.93328436901064</v>
      </c>
    </row>
    <row r="25" spans="1:17">
      <c r="A25" s="450" t="s">
        <v>111</v>
      </c>
      <c r="B25" s="451">
        <f t="shared" ca="1" si="2"/>
        <v>65.826719610092269</v>
      </c>
      <c r="C25" s="451">
        <f t="shared" ca="1" si="3"/>
        <v>0</v>
      </c>
      <c r="D25" s="451">
        <f t="shared" si="4"/>
        <v>33.356226803415638</v>
      </c>
      <c r="E25" s="451">
        <f t="shared" si="5"/>
        <v>2.2082806592877295</v>
      </c>
      <c r="F25" s="451">
        <f t="shared" si="6"/>
        <v>368.13625296365245</v>
      </c>
      <c r="G25" s="451">
        <f t="shared" si="7"/>
        <v>0</v>
      </c>
      <c r="H25" s="451">
        <f t="shared" si="8"/>
        <v>0</v>
      </c>
      <c r="I25" s="451">
        <f t="shared" si="9"/>
        <v>0</v>
      </c>
      <c r="J25" s="451">
        <f t="shared" si="10"/>
        <v>16.974264723342237</v>
      </c>
      <c r="K25" s="451">
        <f t="shared" si="11"/>
        <v>0</v>
      </c>
      <c r="L25" s="451">
        <f t="shared" si="12"/>
        <v>0</v>
      </c>
      <c r="M25" s="451">
        <f t="shared" si="13"/>
        <v>0</v>
      </c>
      <c r="N25" s="451">
        <f t="shared" si="14"/>
        <v>0</v>
      </c>
      <c r="O25" s="451">
        <f t="shared" si="15"/>
        <v>0</v>
      </c>
      <c r="P25" s="452">
        <f t="shared" si="16"/>
        <v>0</v>
      </c>
      <c r="Q25" s="450">
        <f t="shared" ca="1" si="17"/>
        <v>486.50174475979031</v>
      </c>
    </row>
    <row r="26" spans="1:17">
      <c r="A26" s="450" t="s">
        <v>634</v>
      </c>
      <c r="B26" s="451">
        <f t="shared" ca="1" si="2"/>
        <v>1465.8573954994024</v>
      </c>
      <c r="C26" s="451">
        <f t="shared" ca="1" si="3"/>
        <v>0</v>
      </c>
      <c r="D26" s="451">
        <f t="shared" si="4"/>
        <v>510.20923352434443</v>
      </c>
      <c r="E26" s="451">
        <f t="shared" si="5"/>
        <v>154.80008671950108</v>
      </c>
      <c r="F26" s="451">
        <f t="shared" si="6"/>
        <v>577.4516026932049</v>
      </c>
      <c r="G26" s="451">
        <f t="shared" si="7"/>
        <v>0</v>
      </c>
      <c r="H26" s="451">
        <f t="shared" si="8"/>
        <v>0</v>
      </c>
      <c r="I26" s="451">
        <f t="shared" si="9"/>
        <v>0</v>
      </c>
      <c r="J26" s="451">
        <f t="shared" si="10"/>
        <v>7.6867167060130521</v>
      </c>
      <c r="K26" s="451">
        <f t="shared" si="11"/>
        <v>0</v>
      </c>
      <c r="L26" s="451">
        <f t="shared" si="12"/>
        <v>0</v>
      </c>
      <c r="M26" s="451">
        <f t="shared" si="13"/>
        <v>0</v>
      </c>
      <c r="N26" s="451">
        <f t="shared" si="14"/>
        <v>0</v>
      </c>
      <c r="O26" s="451">
        <f t="shared" si="15"/>
        <v>0</v>
      </c>
      <c r="P26" s="452">
        <f t="shared" si="16"/>
        <v>0</v>
      </c>
      <c r="Q26" s="450">
        <f t="shared" ca="1" si="17"/>
        <v>2716.0050351424657</v>
      </c>
    </row>
    <row r="27" spans="1:17" s="456" customFormat="1">
      <c r="A27" s="454" t="s">
        <v>560</v>
      </c>
      <c r="B27" s="754">
        <f t="shared" ca="1" si="2"/>
        <v>15.409348510576891</v>
      </c>
      <c r="C27" s="455">
        <f t="shared" ca="1" si="3"/>
        <v>0</v>
      </c>
      <c r="D27" s="455">
        <f t="shared" si="4"/>
        <v>44.079669723499123</v>
      </c>
      <c r="E27" s="455">
        <f t="shared" si="5"/>
        <v>96.661185752098646</v>
      </c>
      <c r="F27" s="455">
        <f t="shared" si="6"/>
        <v>0</v>
      </c>
      <c r="G27" s="455">
        <f t="shared" si="7"/>
        <v>49889.52834924544</v>
      </c>
      <c r="H27" s="455">
        <f t="shared" si="8"/>
        <v>9420.6073105805717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59466.285863812183</v>
      </c>
    </row>
    <row r="28" spans="1:17">
      <c r="A28" s="450" t="s">
        <v>550</v>
      </c>
      <c r="B28" s="451">
        <f t="shared" ca="1" si="2"/>
        <v>0</v>
      </c>
      <c r="C28" s="451">
        <f t="shared" ca="1" si="3"/>
        <v>0</v>
      </c>
      <c r="D28" s="451">
        <f t="shared" si="4"/>
        <v>0</v>
      </c>
      <c r="E28" s="451">
        <f t="shared" si="5"/>
        <v>0</v>
      </c>
      <c r="F28" s="451">
        <f t="shared" si="6"/>
        <v>0</v>
      </c>
      <c r="G28" s="451">
        <f t="shared" si="7"/>
        <v>453.20814900104364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453.20814900104364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128.17640290797237</v>
      </c>
      <c r="C32" s="451">
        <f t="shared" ca="1" si="3"/>
        <v>0</v>
      </c>
      <c r="D32" s="451">
        <f t="shared" si="4"/>
        <v>384.43380219617103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512.61020510414346</v>
      </c>
    </row>
    <row r="33" spans="1:17" s="460" customFormat="1">
      <c r="A33" s="1005" t="s">
        <v>554</v>
      </c>
      <c r="B33" s="953">
        <f ca="1">SUM(B22:B32)</f>
        <v>11475.007639324438</v>
      </c>
      <c r="C33" s="953">
        <f t="shared" ref="C33:Q33" ca="1" si="18">SUM(C22:C32)</f>
        <v>0</v>
      </c>
      <c r="D33" s="953">
        <f t="shared" ca="1" si="18"/>
        <v>16104.460479545703</v>
      </c>
      <c r="E33" s="953">
        <f t="shared" si="18"/>
        <v>3310.0017408735653</v>
      </c>
      <c r="F33" s="953">
        <f t="shared" ca="1" si="18"/>
        <v>8778.217324780926</v>
      </c>
      <c r="G33" s="953">
        <f t="shared" si="18"/>
        <v>50342.736498246486</v>
      </c>
      <c r="H33" s="953">
        <f t="shared" si="18"/>
        <v>9420.6073105805717</v>
      </c>
      <c r="I33" s="953">
        <f t="shared" si="18"/>
        <v>0</v>
      </c>
      <c r="J33" s="953">
        <f t="shared" si="18"/>
        <v>24.673949156729471</v>
      </c>
      <c r="K33" s="953">
        <f t="shared" si="18"/>
        <v>0</v>
      </c>
      <c r="L33" s="953">
        <f t="shared" ca="1" si="18"/>
        <v>0</v>
      </c>
      <c r="M33" s="953">
        <f t="shared" si="18"/>
        <v>0</v>
      </c>
      <c r="N33" s="953">
        <f t="shared" ca="1" si="18"/>
        <v>0</v>
      </c>
      <c r="O33" s="953">
        <f t="shared" si="18"/>
        <v>0</v>
      </c>
      <c r="P33" s="953">
        <f t="shared" si="18"/>
        <v>0</v>
      </c>
      <c r="Q33" s="953">
        <f t="shared" ca="1" si="18"/>
        <v>99455.704942508411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4121.395168431558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1650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1941.1764705882354</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5771.395168431558</v>
      </c>
      <c r="C10" s="1026">
        <f>SUM(C4:C9)</f>
        <v>0</v>
      </c>
      <c r="D10" s="1026">
        <f t="shared" ref="D10:H10" si="0">SUM(D8:D9)</f>
        <v>0</v>
      </c>
      <c r="E10" s="1026">
        <f t="shared" si="0"/>
        <v>0</v>
      </c>
      <c r="F10" s="1026">
        <f t="shared" si="0"/>
        <v>0</v>
      </c>
      <c r="G10" s="1026">
        <f t="shared" si="0"/>
        <v>0</v>
      </c>
      <c r="H10" s="1026">
        <f t="shared" si="0"/>
        <v>0</v>
      </c>
      <c r="I10" s="1026">
        <f>SUM(I8:I9)</f>
        <v>0</v>
      </c>
      <c r="J10" s="1026">
        <f>SUM(J8:J9)</f>
        <v>1941.1764705882354</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0.19889255154271213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2357.1428571428573</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2773.1092436974791</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2357.1428571428573</v>
      </c>
      <c r="C20" s="1026">
        <f>SUM(C17:C19)</f>
        <v>0</v>
      </c>
      <c r="D20" s="1026">
        <f t="shared" ref="D20:H20" si="2">SUM(D17:D19)</f>
        <v>0</v>
      </c>
      <c r="E20" s="1026">
        <f t="shared" si="2"/>
        <v>0</v>
      </c>
      <c r="F20" s="1026">
        <f t="shared" si="2"/>
        <v>0</v>
      </c>
      <c r="G20" s="1026">
        <f t="shared" si="2"/>
        <v>0</v>
      </c>
      <c r="H20" s="1026">
        <f t="shared" si="2"/>
        <v>0</v>
      </c>
      <c r="I20" s="1026">
        <f>SUM(I17:I19)</f>
        <v>0</v>
      </c>
      <c r="J20" s="1026">
        <f>SUM(J17:J19)</f>
        <v>2773.1092436974791</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0.19889255154271213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2020-06-20T15:41:48Z</dcterms:modified>
</cp:coreProperties>
</file>