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D13" i="15"/>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49" i="18"/>
  <c r="H17" i="18" s="1"/>
  <c r="M87" i="14" s="1"/>
  <c r="G49" i="18"/>
  <c r="E49" i="18"/>
  <c r="E17" i="18" s="1"/>
  <c r="D49" i="18"/>
  <c r="C49" i="18"/>
  <c r="F49" i="18"/>
  <c r="H78" i="14"/>
  <c r="H9" i="61"/>
  <c r="H10" i="61" s="1"/>
  <c r="O90" i="14"/>
  <c r="O18" i="61"/>
  <c r="O20" i="61" s="1"/>
  <c r="B88" i="14"/>
  <c r="B18" i="61" s="1"/>
  <c r="B77" i="14"/>
  <c r="B9" i="61" s="1"/>
  <c r="Q77" i="14"/>
  <c r="P9" i="61" s="1"/>
  <c r="J17" i="18"/>
  <c r="H20" i="18"/>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K10" i="14"/>
  <c r="J5" i="48"/>
  <c r="J23" i="48" s="1"/>
  <c r="N52" i="14"/>
  <c r="N61" i="14" s="1"/>
  <c r="N63" i="14" s="1"/>
  <c r="J20" i="15"/>
  <c r="K40" i="14" s="1"/>
  <c r="E5" i="48"/>
  <c r="E23" i="48" s="1"/>
  <c r="F10" i="14"/>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E33" i="48" s="1"/>
  <c r="F13" i="14"/>
  <c r="F16" i="14" s="1"/>
  <c r="F27" i="14" s="1"/>
  <c r="K13" i="14"/>
  <c r="K16" i="14" s="1"/>
  <c r="K27" i="14" s="1"/>
  <c r="J8" i="48"/>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J26" i="48" l="1"/>
  <c r="J33" i="48" s="1"/>
  <c r="J15" i="48"/>
  <c r="F63" i="14"/>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<sst xmlns="http://schemas.openxmlformats.org/spreadsheetml/2006/main" count="2407" uniqueCount="893">
  <si>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</si>
  <si>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</si>
  <si>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</si>
  <si>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</si>
  <si>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</si>
  <si>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</si>
  <si>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</si>
  <si>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</si>
  <si>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</si>
  <si>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</si>
  <si>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</si>
  <si>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</si>
  <si>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</si>
  <si>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</si>
  <si>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</si>
  <si>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</si>
  <si>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</si>
  <si>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</si>
  <si>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</si>
  <si>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</si>
  <si>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</si>
  <si>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</si>
  <si>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</si>
  <si>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</si>
  <si>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</si>
  <si>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</si>
  <si>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</si>
  <si>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</si>
  <si>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</si>
  <si>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</si>
  <si>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</si>
  <si>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</si>
  <si>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</si>
  <si>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</si>
  <si>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</si>
  <si>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</si>
  <si>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</si>
  <si>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</si>
  <si>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</si>
  <si>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</si>
  <si>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</si>
  <si>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</si>
  <si>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</si>
  <si>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</si>
  <si>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</si>
  <si>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</si>
  <si>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</si>
  <si>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</si>
  <si>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</si>
  <si>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</si>
  <si>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</si>
  <si>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</si>
  <si>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</si>
  <si>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</si>
  <si>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</si>
  <si>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</si>
  <si>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</si>
  <si>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</si>
  <si>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</si>
  <si>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</si>
  <si>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</si>
  <si>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</si>
  <si>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</si>
  <si>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</si>
  <si>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</si>
  <si>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</si>
  <si>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</si>
  <si>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</si>
  <si>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</si>
  <si>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</si>
  <si>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</si>
  <si>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</si>
  <si>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</si>
  <si>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</si>
  <si>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</si>
  <si>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</si>
  <si>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</si>
  <si>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</si>
  <si>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</si>
  <si>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</si>
  <si>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</si>
  <si>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</si>
  <si>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</si>
  <si>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</si>
  <si>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</si>
  <si>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</si>
  <si>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</si>
  <si>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</si>
  <si>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</si>
  <si>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</si>
  <si>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</si>
  <si>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</si>
  <si>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</si>
  <si>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</si>
  <si>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</si>
  <si>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</si>
  <si>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</si>
  <si>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</si>
  <si>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</si>
  <si>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</si>
  <si>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</si>
  <si>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</si>
  <si>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</si>
  <si>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</si>
  <si>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</si>
  <si>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</si>
  <si>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</si>
  <si>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</si>
  <si>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</si>
  <si>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</si>
  <si>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</si>
  <si>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</si>
  <si>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</si>
  <si>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</si>
  <si>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</si>
  <si>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</si>
  <si>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</si>
  <si>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</si>
  <si>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</si>
  <si>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</si>
  <si>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</si>
  <si>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</si>
  <si>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</si>
  <si>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</si>
  <si>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</si>
  <si>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</si>
  <si>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</si>
  <si>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</si>
  <si>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</si>
  <si>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</si>
  <si>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</si>
  <si>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</si>
  <si>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</si>
  <si>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</si>
  <si>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</si>
  <si>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</si>
  <si>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</si>
  <si>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</si>
  <si>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</si>
  <si>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</si>
  <si>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</si>
  <si>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</si>
  <si>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</si>
  <si>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</si>
  <si>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</si>
  <si>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</si>
  <si>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</si>
  <si>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</si>
  <si>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</si>
  <si>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</si>
  <si>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</si>
  <si>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</si>
  <si>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</si>
  <si>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</si>
  <si>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</si>
  <si>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</si>
  <si>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</si>
  <si>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</si>
  <si>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</si>
  <si>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</si>
  <si>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</si>
  <si>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</si>
  <si>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</si>
  <si>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</si>
  <si>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</si>
  <si>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</si>
  <si>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</si>
  <si>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</si>
  <si>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</si>
  <si>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</si>
  <si>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</si>
  <si>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</si>
  <si>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</si>
  <si>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</si>
  <si>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</si>
  <si>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</si>
  <si>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</si>
  <si>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</si>
  <si>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</si>
  <si>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</si>
  <si>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</si>
  <si>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</si>
  <si>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</si>
  <si>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</si>
  <si>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</si>
  <si>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</si>
  <si>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</si>
  <si>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</si>
  <si>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</si>
  <si>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</si>
  <si>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</si>
  <si>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</si>
  <si>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</si>
  <si>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</si>
  <si>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</si>
  <si>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</si>
  <si>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</si>
  <si>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</si>
  <si>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</si>
  <si>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</si>
  <si>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</si>
  <si>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</si>
  <si>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</si>
  <si>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</si>
  <si>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</si>
  <si>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</si>
  <si>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</si>
  <si>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</si>
  <si>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</si>
  <si>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</si>
  <si>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</si>
  <si>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</si>
  <si>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</si>
  <si>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</si>
  <si>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</si>
  <si>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</si>
  <si>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</si>
  <si>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</si>
  <si>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</si>
  <si>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</si>
  <si>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</si>
  <si>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</si>
  <si>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</si>
  <si>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</si>
  <si>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</si>
  <si>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</si>
  <si>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</si>
  <si>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</si>
  <si>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</si>
  <si>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</si>
  <si>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</si>
  <si>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</si>
  <si>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</si>
  <si>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</si>
  <si>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</si>
  <si>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</si>
  <si>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</si>
  <si>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</si>
  <si>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</si>
  <si>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</si>
  <si>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</si>
  <si>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</si>
  <si>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</si>
  <si>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</si>
  <si>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</si>
  <si>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</si>
  <si>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</si>
  <si>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</si>
  <si>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</si>
  <si>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</si>
  <si>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</si>
  <si>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</si>
  <si>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</si>
  <si>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</si>
  <si>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</si>
  <si>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</si>
  <si>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</si>
  <si>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</si>
  <si>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</si>
  <si>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</si>
  <si>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</si>
  <si>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</si>
  <si>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</si>
  <si>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</si>
  <si>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</si>
  <si>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</si>
  <si>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</si>
  <si>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</si>
  <si>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</si>
  <si>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</si>
  <si>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</si>
  <si>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</si>
  <si>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</si>
  <si>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</si>
  <si>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</si>
  <si>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</si>
  <si>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</si>
  <si>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</si>
  <si>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</si>
  <si>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</si>
  <si>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</si>
  <si>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</si>
  <si>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</si>
  <si>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</si>
  <si>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</si>
  <si>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</si>
  <si>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</si>
  <si>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</si>
  <si>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</si>
  <si>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</si>
  <si>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</si>
  <si>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</si>
  <si>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</si>
  <si>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</si>
  <si>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</si>
  <si>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</si>
  <si>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</si>
  <si>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</si>
  <si>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</si>
  <si>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</si>
  <si>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</si>
  <si>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</si>
  <si>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</si>
  <si>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</si>
  <si>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</si>
  <si>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</si>
  <si>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</si>
  <si>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</si>
  <si>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</si>
  <si>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</si>
  <si>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</si>
  <si>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</si>
  <si>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</si>
  <si>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</si>
  <si>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</si>
  <si>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</si>
  <si>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</si>
  <si>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</si>
  <si>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</si>
  <si>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</si>
  <si>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</si>
  <si>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</si>
  <si>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</si>
  <si>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</si>
  <si>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</si>
  <si>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</si>
  <si>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</si>
  <si>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</si>
  <si>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</si>
  <si>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</si>
  <si>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</si>
  <si>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</si>
  <si>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</si>
  <si>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</si>
  <si>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</si>
  <si>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</si>
  <si>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</si>
  <si>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</si>
  <si>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</si>
  <si>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</si>
  <si>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</si>
  <si>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</si>
  <si>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</si>
  <si>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</si>
  <si>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</si>
  <si>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</si>
  <si>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</si>
  <si>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</si>
  <si>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</si>
  <si>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</si>
  <si>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</si>
  <si>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</si>
  <si>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</si>
  <si>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</si>
  <si>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</si>
  <si>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</si>
  <si>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</si>
  <si>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</si>
  <si>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</si>
  <si>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</si>
  <si>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</si>
  <si>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</si>
  <si>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</si>
  <si>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</si>
  <si>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</si>
  <si>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</si>
  <si>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</si>
  <si>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</si>
  <si>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</si>
  <si>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</si>
  <si>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</si>
  <si>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</si>
  <si>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</si>
  <si>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</si>
  <si>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</si>
  <si>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</si>
  <si>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</si>
  <si>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</si>
  <si>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</si>
  <si>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</si>
  <si>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</si>
  <si>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</si>
  <si>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</si>
  <si>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</si>
  <si>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</si>
  <si>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</si>
  <si>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</si>
  <si>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</si>
  <si>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</si>
  <si>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</si>
  <si>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</si>
  <si>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</si>
  <si>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</si>
  <si>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</si>
  <si>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</si>
  <si>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</si>
  <si>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</si>
  <si>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</si>
  <si>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</si>
  <si>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</si>
  <si>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</si>
  <si>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</si>
  <si>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</si>
  <si>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</si>
  <si>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</si>
  <si>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</si>
  <si>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</si>
  <si>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</si>
  <si>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</si>
  <si>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</si>
  <si>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</si>
  <si>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</si>
  <si>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</si>
  <si>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</si>
  <si>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</si>
  <si>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</si>
  <si>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</si>
  <si>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</si>
  <si>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</si>
  <si>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</si>
  <si>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</si>
  <si>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</si>
  <si>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</si>
  <si>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</si>
  <si>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</si>
  <si>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</si>
  <si>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</si>
  <si>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</si>
  <si>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</si>
  <si>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</si>
  <si>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</si>
  <si>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</si>
  <si>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</si>
  <si>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</si>
  <si>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</si>
  <si>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</si>
  <si>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</si>
  <si>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</si>
  <si>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</si>
  <si>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</si>
  <si>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</si>
  <si>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</si>
  <si>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</si>
  <si>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</si>
  <si>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</si>
  <si>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</si>
  <si>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</si>
  <si>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</si>
  <si>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</si>
  <si>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</si>
  <si>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</si>
  <si>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</si>
  <si>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</si>
  <si>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</si>
  <si>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</si>
  <si>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</si>
  <si>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</si>
  <si>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</si>
  <si>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</si>
  <si>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</si>
  <si>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</si>
  <si>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</si>
  <si>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</si>
  <si>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</si>
  <si>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</si>
  <si>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</si>
  <si>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</si>
  <si>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</si>
  <si>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</si>
  <si>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</si>
  <si>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</si>
  <si>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</si>
  <si>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</si>
  <si>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</si>
  <si>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</si>
  <si>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</si>
  <si>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</si>
  <si>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</si>
  <si>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</si>
  <si>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</si>
  <si>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</si>
  <si>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</si>
  <si>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</si>
  <si>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</si>
  <si>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</si>
  <si>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</si>
  <si>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</si>
  <si>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</si>
  <si>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</si>
  <si>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</si>
  <si>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</si>
  <si>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</si>
  <si>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</si>
  <si>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</si>
  <si>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</si>
  <si>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</si>
  <si>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</si>
  <si>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</si>
  <si>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</si>
  <si>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</si>
  <si>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</si>
  <si>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</si>
  <si>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</si>
  <si>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</si>
  <si>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</si>
  <si>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</si>
  <si>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</si>
  <si>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</si>
  <si>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</si>
  <si>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</si>
  <si>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</si>
  <si>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</si>
  <si>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</si>
  <si>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</si>
  <si>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</si>
  <si>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</si>
  <si>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</si>
  <si>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</si>
  <si>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</si>
  <si>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</si>
  <si>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</si>
  <si>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</si>
  <si>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</si>
  <si>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</si>
  <si>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</si>
  <si>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</si>
  <si>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</si>
  <si>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</si>
  <si>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</si>
  <si>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</si>
  <si>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</si>
  <si>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</si>
  <si>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</si>
  <si>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</si>
  <si>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</si>
  <si>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</si>
  <si>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</si>
  <si>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</si>
  <si>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</si>
  <si>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</si>
  <si>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</si>
  <si>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</si>
  <si>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</si>
  <si>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</si>
  <si>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</si>
  <si>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</si>
  <si>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</si>
  <si>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</si>
  <si>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</si>
  <si>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</si>
  <si>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</si>
  <si>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</si>
  <si>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</si>
  <si>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</si>
  <si>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</si>
  <si>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</si>
  <si>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</si>
  <si>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</si>
  <si>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</si>
  <si>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</si>
  <si>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</si>
  <si>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</si>
  <si>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</si>
  <si>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</si>
  <si>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</si>
  <si>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</si>
  <si>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</si>
  <si>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</si>
  <si>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</si>
  <si>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</si>
  <si>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</si>
  <si>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</si>
  <si>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</si>
  <si>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</si>
  <si>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</si>
  <si>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</si>
  <si>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</si>
  <si>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</si>
  <si>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</si>
  <si>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</si>
  <si>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</si>
  <si>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</si>
  <si>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</si>
  <si>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</si>
  <si>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</si>
  <si>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</si>
  <si>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</si>
  <si>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</si>
  <si>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</si>
  <si>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</si>
  <si>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</si>
  <si>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</si>
  <si>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</si>
  <si>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</si>
  <si>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</si>
  <si>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</si>
  <si>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</si>
  <si>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</si>
  <si>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</si>
  <si>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</si>
  <si>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</si>
  <si>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</si>
  <si>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</si>
  <si>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</si>
  <si>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</si>
  <si>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</si>
  <si>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</si>
  <si>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</si>
  <si>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</si>
  <si>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</si>
  <si>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</si>
  <si>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</si>
  <si>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</si>
  <si>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</si>
  <si>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</si>
  <si>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</si>
  <si>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</si>
  <si>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</si>
  <si>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</si>
  <si>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</si>
  <si>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</si>
  <si>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</si>
  <si>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</si>
  <si>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</si>
  <si>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</si>
  <si>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</si>
  <si>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</si>
  <si>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</si>
  <si>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</si>
  <si>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</si>
  <si>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</si>
  <si>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</si>
  <si>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</si>
  <si>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</si>
  <si>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</si>
  <si>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</si>
  <si>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</si>
  <si>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</si>
  <si>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</si>
  <si>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</si>
  <si>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</si>
  <si>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</si>
  <si>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</si>
  <si>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</si>
  <si>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</si>
  <si>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</si>
  <si>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</si>
  <si>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</si>
  <si>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</si>
  <si>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</si>
  <si>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</si>
  <si>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</si>
  <si>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</si>
  <si>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</si>
  <si>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</si>
  <si>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</si>
  <si>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</si>
  <si>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</si>
  <si>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</si>
  <si>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</si>
  <si>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</si>
  <si>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</si>
  <si>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</si>
  <si>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</si>
  <si>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</si>
  <si>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</si>
  <si>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</si>
  <si>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</si>
  <si>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</si>
  <si>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</si>
  <si>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</si>
  <si>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</si>
  <si>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</si>
  <si>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</si>
  <si>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</si>
  <si>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</si>
  <si>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</si>
  <si>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</si>
  <si>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</si>
  <si>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</si>
  <si>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</si>
  <si>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</si>
  <si>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</si>
  <si>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</si>
  <si>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</si>
  <si>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</si>
  <si>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</si>
  <si>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</si>
  <si>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</si>
  <si>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</si>
  <si>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</si>
  <si>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</si>
  <si>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</si>
  <si>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</si>
  <si>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</si>
  <si>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</si>
  <si>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</si>
  <si>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</si>
  <si>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</si>
  <si>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</si>
  <si>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</si>
  <si>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</si>
  <si>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</si>
  <si>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</si>
  <si>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</si>
  <si>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</si>
  <si>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</si>
  <si>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</si>
  <si>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</si>
  <si>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</si>
  <si>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</si>
  <si>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</si>
  <si>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</si>
  <si>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</si>
  <si>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</si>
  <si>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</si>
  <si>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</si>
  <si>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</si>
  <si>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</si>
  <si>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</si>
  <si>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</si>
  <si>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</si>
  <si>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</si>
  <si>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</si>
  <si>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</si>
  <si>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</si>
  <si>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</si>
  <si>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</si>
  <si>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</si>
  <si>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</si>
  <si>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</si>
  <si>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</si>
  <si>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</si>
  <si>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</si>
  <si>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</si>
  <si>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</si>
  <si>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</si>
  <si>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</si>
  <si>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</si>
  <si>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</si>
  <si>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</si>
  <si>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</si>
  <si>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</si>
  <si>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</si>
  <si>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</si>
  <si>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</si>
  <si>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</si>
  <si>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</si>
  <si>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</si>
  <si>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</si>
  <si>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</si>
  <si>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</si>
  <si>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</si>
  <si>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</si>
  <si>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</si>
  <si>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</si>
  <si>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</si>
  <si>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</si>
  <si>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</si>
  <si>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</si>
  <si>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</si>
  <si>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</si>
  <si>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</si>
  <si>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</si>
  <si>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</si>
  <si>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</si>
  <si>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</si>
  <si>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</si>
  <si>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</si>
  <si>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</si>
  <si>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</si>
  <si>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</si>
  <si>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</si>
  <si>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</si>
  <si>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</si>
  <si>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</si>
  <si>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</si>
  <si>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</si>
  <si>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</si>
  <si>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</si>
  <si>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</si>
  <si>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</si>
  <si>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</si>
  <si>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</si>
  <si>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</si>
  <si>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</si>
  <si>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</si>
  <si>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</si>
  <si>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</si>
  <si>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</si>
  <si>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</si>
  <si>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</si>
  <si>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</si>
  <si>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</si>
  <si>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</si>
  <si>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</si>
  <si>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</si>
  <si>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</si>
  <si>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</si>
  <si>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</si>
  <si>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</si>
  <si>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</si>
  <si>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</si>
  <si>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</si>
  <si>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</si>
  <si>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</si>
  <si>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</si>
  <si>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</si>
  <si>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</si>
  <si>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</si>
  <si>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</si>
  <si>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</si>
  <si>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</si>
  <si>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</si>
  <si>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</si>
  <si>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</si>
  <si>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</si>
  <si>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</si>
  <si>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</si>
  <si>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</si>
  <si>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</si>
  <si>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</si>
  <si>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</si>
  <si>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</si>
  <si>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</si>
  <si>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</si>
  <si>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</si>
  <si>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</si>
  <si>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</si>
  <si>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</si>
  <si>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</si>
  <si>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</si>
  <si>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</si>
  <si>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</si>
  <si>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</si>
  <si>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</si>
  <si>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</si>
  <si>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</si>
  <si>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</si>
  <si>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</si>
  <si>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</si>
  <si>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</si>
  <si>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</si>
  <si>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</si>
  <si>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</si>
  <si>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</si>
  <si>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</si>
  <si>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</si>
  <si>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</si>
  <si>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</si>
  <si>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</si>
  <si>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</si>
  <si>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</si>
  <si>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</si>
  <si>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</si>
  <si>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</si>
  <si>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</si>
  <si>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</si>
  <si>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</si>
  <si>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</si>
  <si>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</si>
  <si>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</si>
  <si>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</si>
  <si>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</si>
  <si>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</si>
  <si>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</si>
  <si>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</si>
  <si>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</si>
  <si>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</si>
  <si>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</si>
  <si>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</si>
  <si>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</si>
  <si>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</si>
  <si>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</si>
  <si>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</si>
  <si>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</si>
  <si>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</si>
  <si>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</si>
  <si>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</si>
  <si>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</si>
  <si>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</si>
  <si>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</si>
  <si>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</si>
  <si>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23024</t>
  </si>
  <si>
    <t>GOOIK</t>
  </si>
  <si>
    <t>Fluvius</t>
  </si>
  <si>
    <t>referentietaak LNE (2017); Jaarverslag De Lijn</t>
  </si>
  <si>
    <t>De Baerdemaeker lv</t>
  </si>
  <si>
    <t>Bettestraat 12 , 1755 Gooik</t>
  </si>
  <si>
    <t>WKK-0614 De Baerdemaeker</t>
  </si>
  <si>
    <t>interne verbrandingsmotor</t>
  </si>
  <si>
    <t>WKK interne verbrandinsgmotor (gas)</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</si>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</sst>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85975.151486385817</c:v>
                </c:pt>
                <c:pt idx="1">
                  <c:v>13667.38118564075</c:v>
                </c:pt>
                <c:pt idx="2">
                  <c:v>533.43499999999995</c:v>
                </c:pt>
                <c:pt idx="3">
                  <c:v>5904.3199894269346</c:v>
                </c:pt>
                <c:pt idx="4">
                  <c:v>3448.5642145778975</c:v>
                </c:pt>
                <c:pt idx="5">
                  <c:v>71137.242101102223</c:v>
                </c:pt>
                <c:pt idx="6">
                  <c:v>2401.9429565280516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85975.151486385817</c:v>
                </c:pt>
                <c:pt idx="1">
                  <c:v>13667.38118564075</c:v>
                </c:pt>
                <c:pt idx="2">
                  <c:v>533.43499999999995</c:v>
                </c:pt>
                <c:pt idx="3">
                  <c:v>5904.3199894269346</c:v>
                </c:pt>
                <c:pt idx="4">
                  <c:v>3448.5642145778975</c:v>
                </c:pt>
                <c:pt idx="5">
                  <c:v>71137.242101102223</c:v>
                </c:pt>
                <c:pt idx="6">
                  <c:v>2401.9429565280516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17351.522905970516</c:v>
                </c:pt>
                <c:pt idx="2">
                  <c:v>2715.5665911336</c:v>
                </c:pt>
                <c:pt idx="3">
                  <c:v>105.28223036177032</c:v>
                </c:pt>
                <c:pt idx="4">
                  <c:v>1494.0366606447506</c:v>
                </c:pt>
                <c:pt idx="5">
                  <c:v>711.43750391852916</c:v>
                </c:pt>
                <c:pt idx="6">
                  <c:v>17810.455257162659</c:v>
                </c:pt>
                <c:pt idx="7">
                  <c:v>606.85470475217608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17351.522905970516</c:v>
                </c:pt>
                <c:pt idx="2">
                  <c:v>2715.5665911336</c:v>
                </c:pt>
                <c:pt idx="3">
                  <c:v>105.28223036177032</c:v>
                </c:pt>
                <c:pt idx="4">
                  <c:v>1494.0366606447506</c:v>
                </c:pt>
                <c:pt idx="5">
                  <c:v>711.43750391852916</c:v>
                </c:pt>
                <c:pt idx="6">
                  <c:v>17810.455257162659</c:v>
                </c:pt>
                <c:pt idx="7">
                  <c:v>606.85470475217608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23024</v>
      </c>
      <c r="B6" s="390"/>
      <c r="C6" s="391"/>
    </row>
    <row r="7" spans="1:7" s="388" customFormat="1" ht="15.75" customHeight="1">
      <c r="A7" s="392" t="str">
        <f>txtMunicipality</f>
        <v>GOOIK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0.19736655892802371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0.19736655892802371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3651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2691.12</v>
      </c>
      <c r="C14" s="330"/>
      <c r="D14" s="330"/>
      <c r="E14" s="330"/>
      <c r="F14" s="330"/>
    </row>
    <row r="15" spans="1:6">
      <c r="A15" s="1293" t="s">
        <v>183</v>
      </c>
      <c r="B15" s="1294">
        <v>48</v>
      </c>
      <c r="C15" s="330"/>
      <c r="D15" s="330"/>
      <c r="E15" s="330"/>
      <c r="F15" s="330"/>
    </row>
    <row r="16" spans="1:6">
      <c r="A16" s="1293" t="s">
        <v>6</v>
      </c>
      <c r="B16" s="1294">
        <v>1620</v>
      </c>
      <c r="C16" s="330"/>
      <c r="D16" s="330"/>
      <c r="E16" s="330"/>
      <c r="F16" s="330"/>
    </row>
    <row r="17" spans="1:6">
      <c r="A17" s="1293" t="s">
        <v>7</v>
      </c>
      <c r="B17" s="1294">
        <v>624</v>
      </c>
      <c r="C17" s="330"/>
      <c r="D17" s="330"/>
      <c r="E17" s="330"/>
      <c r="F17" s="330"/>
    </row>
    <row r="18" spans="1:6">
      <c r="A18" s="1293" t="s">
        <v>8</v>
      </c>
      <c r="B18" s="1294">
        <v>1216</v>
      </c>
      <c r="C18" s="330"/>
      <c r="D18" s="330"/>
      <c r="E18" s="330"/>
      <c r="F18" s="330"/>
    </row>
    <row r="19" spans="1:6">
      <c r="A19" s="1293" t="s">
        <v>9</v>
      </c>
      <c r="B19" s="1294">
        <v>1022</v>
      </c>
      <c r="C19" s="330"/>
      <c r="D19" s="330"/>
      <c r="E19" s="330"/>
      <c r="F19" s="330"/>
    </row>
    <row r="20" spans="1:6">
      <c r="A20" s="1293" t="s">
        <v>10</v>
      </c>
      <c r="B20" s="1294">
        <v>879</v>
      </c>
      <c r="C20" s="330"/>
      <c r="D20" s="330"/>
      <c r="E20" s="330"/>
      <c r="F20" s="330"/>
    </row>
    <row r="21" spans="1:6">
      <c r="A21" s="1293" t="s">
        <v>11</v>
      </c>
      <c r="B21" s="1294">
        <v>84</v>
      </c>
      <c r="C21" s="330"/>
      <c r="D21" s="330"/>
      <c r="E21" s="330"/>
      <c r="F21" s="330"/>
    </row>
    <row r="22" spans="1:6">
      <c r="A22" s="1293" t="s">
        <v>12</v>
      </c>
      <c r="B22" s="1294">
        <v>429</v>
      </c>
      <c r="C22" s="330"/>
      <c r="D22" s="330"/>
      <c r="E22" s="330"/>
      <c r="F22" s="330"/>
    </row>
    <row r="23" spans="1:6">
      <c r="A23" s="1293" t="s">
        <v>13</v>
      </c>
      <c r="B23" s="1294">
        <v>4</v>
      </c>
      <c r="C23" s="330"/>
      <c r="D23" s="330"/>
      <c r="E23" s="330"/>
      <c r="F23" s="330"/>
    </row>
    <row r="24" spans="1:6">
      <c r="A24" s="1293" t="s">
        <v>14</v>
      </c>
      <c r="B24" s="1294">
        <v>1</v>
      </c>
      <c r="C24" s="330"/>
      <c r="D24" s="330"/>
      <c r="E24" s="330"/>
      <c r="F24" s="330"/>
    </row>
    <row r="25" spans="1:6">
      <c r="A25" s="1293" t="s">
        <v>15</v>
      </c>
      <c r="B25" s="1294">
        <v>36</v>
      </c>
      <c r="C25" s="330"/>
      <c r="D25" s="330"/>
      <c r="E25" s="330"/>
      <c r="F25" s="330"/>
    </row>
    <row r="26" spans="1:6">
      <c r="A26" s="1293" t="s">
        <v>16</v>
      </c>
      <c r="B26" s="1294">
        <v>171</v>
      </c>
      <c r="C26" s="330"/>
      <c r="D26" s="330"/>
      <c r="E26" s="330"/>
      <c r="F26" s="330"/>
    </row>
    <row r="27" spans="1:6">
      <c r="A27" s="1293" t="s">
        <v>17</v>
      </c>
      <c r="B27" s="1294">
        <v>76</v>
      </c>
      <c r="C27" s="330"/>
      <c r="D27" s="330"/>
      <c r="E27" s="330"/>
      <c r="F27" s="330"/>
    </row>
    <row r="28" spans="1:6" s="43" customFormat="1">
      <c r="A28" s="1295" t="s">
        <v>18</v>
      </c>
      <c r="B28" s="1296">
        <v>1048</v>
      </c>
      <c r="C28" s="336"/>
      <c r="D28" s="336"/>
      <c r="E28" s="336"/>
      <c r="F28" s="336"/>
    </row>
    <row r="29" spans="1:6">
      <c r="A29" s="1295" t="s">
        <v>734</v>
      </c>
      <c r="B29" s="1296">
        <v>183</v>
      </c>
      <c r="C29" s="336"/>
      <c r="D29" s="336"/>
      <c r="E29" s="336"/>
      <c r="F29" s="336"/>
    </row>
    <row r="30" spans="1:6">
      <c r="A30" s="1288" t="s">
        <v>735</v>
      </c>
      <c r="B30" s="1297">
        <v>32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152</v>
      </c>
    </row>
    <row r="39" spans="1:6">
      <c r="A39" s="1293" t="s">
        <v>29</v>
      </c>
      <c r="B39" s="1293" t="s">
        <v>30</v>
      </c>
      <c r="C39" s="1294">
        <v>1225</v>
      </c>
      <c r="D39" s="1294">
        <v>19968736.850000001</v>
      </c>
      <c r="E39" s="1294">
        <v>3442</v>
      </c>
      <c r="F39" s="1294">
        <v>13830000.472086919</v>
      </c>
    </row>
    <row r="40" spans="1:6">
      <c r="A40" s="1293" t="s">
        <v>29</v>
      </c>
      <c r="B40" s="1293" t="s">
        <v>28</v>
      </c>
      <c r="C40" s="1294">
        <v>0</v>
      </c>
      <c r="D40" s="1294">
        <v>0</v>
      </c>
      <c r="E40" s="1294">
        <v>0</v>
      </c>
      <c r="F40" s="1294">
        <v>0</v>
      </c>
    </row>
    <row r="41" spans="1:6">
      <c r="A41" s="1293" t="s">
        <v>31</v>
      </c>
      <c r="B41" s="1293" t="s">
        <v>32</v>
      </c>
      <c r="C41" s="1294">
        <v>11</v>
      </c>
      <c r="D41" s="1294">
        <v>250427</v>
      </c>
      <c r="E41" s="1294">
        <v>86</v>
      </c>
      <c r="F41" s="1294">
        <v>716338.35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9</v>
      </c>
      <c r="F44" s="1294">
        <v>208757.66699999999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5</v>
      </c>
      <c r="D48" s="1294">
        <v>101728</v>
      </c>
      <c r="E48" s="1294">
        <v>4</v>
      </c>
      <c r="F48" s="1294">
        <v>318949</v>
      </c>
    </row>
    <row r="49" spans="1:6">
      <c r="A49" s="1293" t="s">
        <v>31</v>
      </c>
      <c r="B49" s="1293" t="s">
        <v>39</v>
      </c>
      <c r="C49" s="1294">
        <v>0</v>
      </c>
      <c r="D49" s="1294">
        <v>0</v>
      </c>
      <c r="E49" s="1294">
        <v>0</v>
      </c>
      <c r="F49" s="1294">
        <v>0</v>
      </c>
    </row>
    <row r="50" spans="1:6">
      <c r="A50" s="1293" t="s">
        <v>31</v>
      </c>
      <c r="B50" s="1293" t="s">
        <v>40</v>
      </c>
      <c r="C50" s="1294">
        <v>0</v>
      </c>
      <c r="D50" s="1294">
        <v>0</v>
      </c>
      <c r="E50" s="1294">
        <v>21</v>
      </c>
      <c r="F50" s="1294">
        <v>808021.6</v>
      </c>
    </row>
    <row r="51" spans="1:6">
      <c r="A51" s="1293" t="s">
        <v>41</v>
      </c>
      <c r="B51" s="1293" t="s">
        <v>42</v>
      </c>
      <c r="C51" s="1294">
        <v>4</v>
      </c>
      <c r="D51" s="1294">
        <v>42911</v>
      </c>
      <c r="E51" s="1294">
        <v>98</v>
      </c>
      <c r="F51" s="1294">
        <v>1086708</v>
      </c>
    </row>
    <row r="52" spans="1:6">
      <c r="A52" s="1293" t="s">
        <v>41</v>
      </c>
      <c r="B52" s="1293" t="s">
        <v>28</v>
      </c>
      <c r="C52" s="1294">
        <v>0</v>
      </c>
      <c r="D52" s="1294">
        <v>0</v>
      </c>
      <c r="E52" s="1294">
        <v>0</v>
      </c>
      <c r="F52" s="1294">
        <v>0</v>
      </c>
    </row>
    <row r="53" spans="1:6">
      <c r="A53" s="1293" t="s">
        <v>43</v>
      </c>
      <c r="B53" s="1293" t="s">
        <v>44</v>
      </c>
      <c r="C53" s="1294">
        <v>36</v>
      </c>
      <c r="D53" s="1294">
        <v>1320755.7</v>
      </c>
      <c r="E53" s="1294">
        <v>62</v>
      </c>
      <c r="F53" s="1294">
        <v>281963.09999999998</v>
      </c>
    </row>
    <row r="54" spans="1:6">
      <c r="A54" s="1293" t="s">
        <v>45</v>
      </c>
      <c r="B54" s="1293" t="s">
        <v>46</v>
      </c>
      <c r="C54" s="1294">
        <v>0</v>
      </c>
      <c r="D54" s="1294">
        <v>0</v>
      </c>
      <c r="E54" s="1294">
        <v>1</v>
      </c>
      <c r="F54" s="1294">
        <v>533435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12</v>
      </c>
      <c r="D57" s="1294">
        <v>388347</v>
      </c>
      <c r="E57" s="1294">
        <v>48</v>
      </c>
      <c r="F57" s="1294">
        <v>468457.13400000002</v>
      </c>
    </row>
    <row r="58" spans="1:6">
      <c r="A58" s="1293" t="s">
        <v>48</v>
      </c>
      <c r="B58" s="1293" t="s">
        <v>50</v>
      </c>
      <c r="C58" s="1294">
        <v>18</v>
      </c>
      <c r="D58" s="1294">
        <v>1999746</v>
      </c>
      <c r="E58" s="1294">
        <v>36</v>
      </c>
      <c r="F58" s="1294">
        <v>1169519</v>
      </c>
    </row>
    <row r="59" spans="1:6">
      <c r="A59" s="1293" t="s">
        <v>48</v>
      </c>
      <c r="B59" s="1293" t="s">
        <v>51</v>
      </c>
      <c r="C59" s="1294">
        <v>31</v>
      </c>
      <c r="D59" s="1294">
        <v>1051591</v>
      </c>
      <c r="E59" s="1294">
        <v>90</v>
      </c>
      <c r="F59" s="1294">
        <v>2201593.3760000002</v>
      </c>
    </row>
    <row r="60" spans="1:6">
      <c r="A60" s="1293" t="s">
        <v>48</v>
      </c>
      <c r="B60" s="1293" t="s">
        <v>52</v>
      </c>
      <c r="C60" s="1294">
        <v>25</v>
      </c>
      <c r="D60" s="1294">
        <v>1082914.7</v>
      </c>
      <c r="E60" s="1294">
        <v>44</v>
      </c>
      <c r="F60" s="1294">
        <v>1101443.7960000001</v>
      </c>
    </row>
    <row r="61" spans="1:6">
      <c r="A61" s="1293" t="s">
        <v>48</v>
      </c>
      <c r="B61" s="1293" t="s">
        <v>53</v>
      </c>
      <c r="C61" s="1294">
        <v>30</v>
      </c>
      <c r="D61" s="1294">
        <v>1238481.6000000001</v>
      </c>
      <c r="E61" s="1294">
        <v>168</v>
      </c>
      <c r="F61" s="1294">
        <v>1685487.45</v>
      </c>
    </row>
    <row r="62" spans="1:6">
      <c r="A62" s="1293" t="s">
        <v>48</v>
      </c>
      <c r="B62" s="1293" t="s">
        <v>54</v>
      </c>
      <c r="C62" s="1294">
        <v>4</v>
      </c>
      <c r="D62" s="1294">
        <v>99676</v>
      </c>
      <c r="E62" s="1294">
        <v>7</v>
      </c>
      <c r="F62" s="1294">
        <v>32877</v>
      </c>
    </row>
    <row r="63" spans="1:6">
      <c r="A63" s="1293" t="s">
        <v>48</v>
      </c>
      <c r="B63" s="1293" t="s">
        <v>28</v>
      </c>
      <c r="C63" s="1294">
        <v>0</v>
      </c>
      <c r="D63" s="1294">
        <v>0</v>
      </c>
      <c r="E63" s="1294">
        <v>3</v>
      </c>
      <c r="F63" s="1294">
        <v>51415.3044242428</v>
      </c>
    </row>
    <row r="64" spans="1:6">
      <c r="A64" s="1293" t="s">
        <v>55</v>
      </c>
      <c r="B64" s="1293" t="s">
        <v>56</v>
      </c>
      <c r="C64" s="1294">
        <v>0</v>
      </c>
      <c r="D64" s="1294">
        <v>0</v>
      </c>
      <c r="E64" s="1294">
        <v>0</v>
      </c>
      <c r="F64" s="1294">
        <v>0</v>
      </c>
    </row>
    <row r="65" spans="1:6">
      <c r="A65" s="1293" t="s">
        <v>55</v>
      </c>
      <c r="B65" s="1293" t="s">
        <v>28</v>
      </c>
      <c r="C65" s="1294">
        <v>1</v>
      </c>
      <c r="D65" s="1294">
        <v>11752</v>
      </c>
      <c r="E65" s="1294">
        <v>0</v>
      </c>
      <c r="F65" s="1294">
        <v>0</v>
      </c>
    </row>
    <row r="66" spans="1:6">
      <c r="A66" s="1293" t="s">
        <v>55</v>
      </c>
      <c r="B66" s="1293" t="s">
        <v>57</v>
      </c>
      <c r="C66" s="1294">
        <v>0</v>
      </c>
      <c r="D66" s="1294">
        <v>0</v>
      </c>
      <c r="E66" s="1294">
        <v>5</v>
      </c>
      <c r="F66" s="1294">
        <v>19859</v>
      </c>
    </row>
    <row r="67" spans="1:6">
      <c r="A67" s="1295" t="s">
        <v>55</v>
      </c>
      <c r="B67" s="1295" t="s">
        <v>58</v>
      </c>
      <c r="C67" s="1294">
        <v>0</v>
      </c>
      <c r="D67" s="1294">
        <v>0</v>
      </c>
      <c r="E67" s="1294">
        <v>0</v>
      </c>
      <c r="F67" s="1294">
        <v>0</v>
      </c>
    </row>
    <row r="68" spans="1:6">
      <c r="A68" s="1288" t="s">
        <v>55</v>
      </c>
      <c r="B68" s="1288" t="s">
        <v>59</v>
      </c>
      <c r="C68" s="1297">
        <v>0</v>
      </c>
      <c r="D68" s="1297">
        <v>0</v>
      </c>
      <c r="E68" s="1297">
        <v>8</v>
      </c>
      <c r="F68" s="1297">
        <v>168189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60691083</v>
      </c>
      <c r="E73" s="449"/>
      <c r="F73" s="330"/>
    </row>
    <row r="74" spans="1:6">
      <c r="A74" s="1293" t="s">
        <v>63</v>
      </c>
      <c r="B74" s="1293" t="s">
        <v>656</v>
      </c>
      <c r="C74" s="1307" t="s">
        <v>658</v>
      </c>
      <c r="D74" s="1308">
        <v>6930487</v>
      </c>
      <c r="E74" s="449"/>
      <c r="F74" s="330"/>
    </row>
    <row r="75" spans="1:6">
      <c r="A75" s="1293" t="s">
        <v>64</v>
      </c>
      <c r="B75" s="1293" t="s">
        <v>655</v>
      </c>
      <c r="C75" s="1307" t="s">
        <v>659</v>
      </c>
      <c r="D75" s="1308">
        <v>14257087</v>
      </c>
      <c r="E75" s="449"/>
      <c r="F75" s="330"/>
    </row>
    <row r="76" spans="1:6">
      <c r="A76" s="1293" t="s">
        <v>64</v>
      </c>
      <c r="B76" s="1293" t="s">
        <v>656</v>
      </c>
      <c r="C76" s="1307" t="s">
        <v>660</v>
      </c>
      <c r="D76" s="1308">
        <v>457325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655086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2138.7409328585268</v>
      </c>
      <c r="C91" s="330"/>
      <c r="D91" s="330"/>
      <c r="E91" s="330"/>
      <c r="F91" s="330"/>
    </row>
    <row r="92" spans="1:6">
      <c r="A92" s="1288" t="s">
        <v>68</v>
      </c>
      <c r="B92" s="1289">
        <v>668.46214285642054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344</v>
      </c>
      <c r="C97" s="330"/>
      <c r="D97" s="330"/>
      <c r="E97" s="330"/>
      <c r="F97" s="330"/>
    </row>
    <row r="98" spans="1:6">
      <c r="A98" s="1293" t="s">
        <v>71</v>
      </c>
      <c r="B98" s="1294">
        <v>0</v>
      </c>
      <c r="C98" s="330"/>
      <c r="D98" s="330"/>
      <c r="E98" s="330"/>
      <c r="F98" s="330"/>
    </row>
    <row r="99" spans="1:6">
      <c r="A99" s="1293" t="s">
        <v>72</v>
      </c>
      <c r="B99" s="1294">
        <v>89</v>
      </c>
      <c r="C99" s="330"/>
      <c r="D99" s="330"/>
      <c r="E99" s="330"/>
      <c r="F99" s="330"/>
    </row>
    <row r="100" spans="1:6">
      <c r="A100" s="1293" t="s">
        <v>73</v>
      </c>
      <c r="B100" s="1294">
        <v>289</v>
      </c>
      <c r="C100" s="330"/>
      <c r="D100" s="330"/>
      <c r="E100" s="330"/>
      <c r="F100" s="330"/>
    </row>
    <row r="101" spans="1:6">
      <c r="A101" s="1293" t="s">
        <v>74</v>
      </c>
      <c r="B101" s="1294">
        <v>74</v>
      </c>
      <c r="C101" s="330"/>
      <c r="D101" s="330"/>
      <c r="E101" s="330"/>
      <c r="F101" s="330"/>
    </row>
    <row r="102" spans="1:6">
      <c r="A102" s="1293" t="s">
        <v>75</v>
      </c>
      <c r="B102" s="1294">
        <v>31</v>
      </c>
      <c r="C102" s="330"/>
      <c r="D102" s="330"/>
      <c r="E102" s="330"/>
      <c r="F102" s="330"/>
    </row>
    <row r="103" spans="1:6">
      <c r="A103" s="1293" t="s">
        <v>76</v>
      </c>
      <c r="B103" s="1294">
        <v>85</v>
      </c>
      <c r="C103" s="330"/>
      <c r="D103" s="330"/>
      <c r="E103" s="330"/>
      <c r="F103" s="330"/>
    </row>
    <row r="104" spans="1:6">
      <c r="A104" s="1293" t="s">
        <v>77</v>
      </c>
      <c r="B104" s="1294">
        <v>2326</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15</v>
      </c>
      <c r="C123" s="1294">
        <v>24</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94</v>
      </c>
      <c r="C129" s="330"/>
      <c r="D129" s="330"/>
      <c r="E129" s="330"/>
      <c r="F129" s="330"/>
    </row>
    <row r="130" spans="1:6">
      <c r="A130" s="1293" t="s">
        <v>294</v>
      </c>
      <c r="B130" s="1294">
        <v>0</v>
      </c>
      <c r="C130" s="330"/>
      <c r="D130" s="330"/>
      <c r="E130" s="330"/>
      <c r="F130" s="330"/>
    </row>
    <row r="131" spans="1:6">
      <c r="A131" s="1293" t="s">
        <v>295</v>
      </c>
      <c r="B131" s="1294">
        <v>1</v>
      </c>
      <c r="C131" s="330"/>
      <c r="D131" s="330"/>
      <c r="E131" s="330"/>
      <c r="F131" s="330"/>
    </row>
    <row r="132" spans="1:6">
      <c r="A132" s="1288" t="s">
        <v>296</v>
      </c>
      <c r="B132" s="1289">
        <v>22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26658.772533978557</v>
      </c>
      <c r="C3" s="43" t="s">
        <v>169</v>
      </c>
      <c r="D3" s="43"/>
      <c r="E3" s="154"/>
      <c r="F3" s="43"/>
      <c r="G3" s="43"/>
      <c r="H3" s="43"/>
      <c r="I3" s="43"/>
      <c r="J3" s="43"/>
      <c r="K3" s="96"/>
    </row>
    <row r="4" spans="1:11">
      <c r="A4" s="358" t="s">
        <v>170</v>
      </c>
      <c r="B4" s="49">
        <f>IF(ISERROR('SEAP template'!B78+'SEAP template'!C78),0,'SEAP template'!B78+'SEAP template'!C78)</f>
        <v>2850.8530757149474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0.19736655892802371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533.43499999999995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533.43499999999995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0.19736655892802371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105.28223036177032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13830.00047208692</v>
      </c>
      <c r="C5" s="17">
        <f>IF(ISERROR('Eigen informatie GS &amp; warmtenet'!B57),0,'Eigen informatie GS &amp; warmtenet'!B57)</f>
        <v>0</v>
      </c>
      <c r="D5" s="30">
        <f>(SUM(HH_hh_gas_kWh,HH_rest_gas_kWh)/1000)*0.902</f>
        <v>18011.800638700002</v>
      </c>
      <c r="E5" s="17">
        <f>B46*B57</f>
        <v>8911.2377717201107</v>
      </c>
      <c r="F5" s="17">
        <f>B51*B62</f>
        <v>31979.747795007908</v>
      </c>
      <c r="G5" s="18"/>
      <c r="H5" s="17"/>
      <c r="I5" s="17"/>
      <c r="J5" s="17">
        <f>B50*B61+C50*C61</f>
        <v>0</v>
      </c>
      <c r="K5" s="17"/>
      <c r="L5" s="17"/>
      <c r="M5" s="17"/>
      <c r="N5" s="17">
        <f>B48*B59+C48*C59</f>
        <v>10212.120542679018</v>
      </c>
      <c r="O5" s="17">
        <f>B69*B70*B71</f>
        <v>186.03666666666666</v>
      </c>
      <c r="P5" s="17">
        <f>B77*B78*B79/1000-B77*B78*B79/1000/B80</f>
        <v>705.4666666666667</v>
      </c>
    </row>
    <row r="6" spans="1:16">
      <c r="A6" s="16" t="s">
        <v>620</v>
      </c>
      <c r="B6" s="762">
        <f>kWh_PV_kleiner_dan_10kW</f>
        <v>2138.7409328585268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15968.741404945447</v>
      </c>
      <c r="C8" s="21">
        <f>C5</f>
        <v>0</v>
      </c>
      <c r="D8" s="21">
        <f>D5</f>
        <v>18011.800638700002</v>
      </c>
      <c r="E8" s="21">
        <f>E5</f>
        <v>8911.2377717201107</v>
      </c>
      <c r="F8" s="21">
        <f>F5</f>
        <v>31979.747795007908</v>
      </c>
      <c r="G8" s="21"/>
      <c r="H8" s="21"/>
      <c r="I8" s="21"/>
      <c r="J8" s="21">
        <f>J5</f>
        <v>0</v>
      </c>
      <c r="K8" s="21"/>
      <c r="L8" s="21">
        <f>L5</f>
        <v>0</v>
      </c>
      <c r="M8" s="21">
        <f>M5</f>
        <v>0</v>
      </c>
      <c r="N8" s="21">
        <f>N5</f>
        <v>10212.120542679018</v>
      </c>
      <c r="O8" s="21">
        <f>O5</f>
        <v>186.03666666666666</v>
      </c>
      <c r="P8" s="21">
        <f>P5</f>
        <v>705.4666666666667</v>
      </c>
    </row>
    <row r="9" spans="1:16">
      <c r="B9" s="19"/>
      <c r="C9" s="19"/>
      <c r="D9" s="258"/>
      <c r="E9" s="19"/>
      <c r="F9" s="19"/>
      <c r="G9" s="19"/>
      <c r="H9" s="19"/>
      <c r="I9" s="19"/>
      <c r="J9" s="19"/>
      <c r="K9" s="19"/>
      <c r="L9" s="19"/>
      <c r="M9" s="19"/>
      <c r="N9" s="19"/>
      <c r="O9" s="19"/>
      <c r="P9" s="19"/>
    </row>
    <row r="10" spans="1:16">
      <c r="A10" s="24" t="s">
        <v>213</v>
      </c>
      <c r="B10" s="25">
        <f ca="1">'EF ele_warmte'!B12</f>
        <v>0.19736655892802371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3151.6955415055377</v>
      </c>
      <c r="C12" s="23">
        <f ca="1">C10*C8</f>
        <v>0</v>
      </c>
      <c r="D12" s="23">
        <f>D8*D10</f>
        <v>3638.3837290174006</v>
      </c>
      <c r="E12" s="23">
        <f>E10*E8</f>
        <v>2022.8509741804653</v>
      </c>
      <c r="F12" s="23">
        <f>F10*F8</f>
        <v>8538.5926612671119</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344</v>
      </c>
      <c r="C18" s="166" t="s">
        <v>110</v>
      </c>
      <c r="D18" s="228"/>
      <c r="E18" s="15"/>
    </row>
    <row r="19" spans="1:7">
      <c r="A19" s="171" t="s">
        <v>71</v>
      </c>
      <c r="B19" s="37">
        <f>aantalw2001_ander</f>
        <v>0</v>
      </c>
      <c r="C19" s="166" t="s">
        <v>110</v>
      </c>
      <c r="D19" s="229"/>
      <c r="E19" s="15"/>
    </row>
    <row r="20" spans="1:7">
      <c r="A20" s="171" t="s">
        <v>72</v>
      </c>
      <c r="B20" s="37">
        <f>aantalw2001_propaan</f>
        <v>89</v>
      </c>
      <c r="C20" s="167">
        <f>IF(ISERROR(B20/SUM($B$20,$B$21,$B$22)*100),0,B20/SUM($B$20,$B$21,$B$22)*100)</f>
        <v>19.690265486725664</v>
      </c>
      <c r="D20" s="229"/>
      <c r="E20" s="15"/>
    </row>
    <row r="21" spans="1:7">
      <c r="A21" s="171" t="s">
        <v>73</v>
      </c>
      <c r="B21" s="37">
        <f>aantalw2001_elektriciteit</f>
        <v>289</v>
      </c>
      <c r="C21" s="167">
        <f>IF(ISERROR(B21/SUM($B$20,$B$21,$B$22)*100),0,B21/SUM($B$20,$B$21,$B$22)*100)</f>
        <v>63.93805309734514</v>
      </c>
      <c r="D21" s="229"/>
      <c r="E21" s="15"/>
    </row>
    <row r="22" spans="1:7">
      <c r="A22" s="171" t="s">
        <v>74</v>
      </c>
      <c r="B22" s="37">
        <f>aantalw2001_hout</f>
        <v>74</v>
      </c>
      <c r="C22" s="167">
        <f>IF(ISERROR(B22/SUM($B$20,$B$21,$B$22)*100),0,B22/SUM($B$20,$B$21,$B$22)*100)</f>
        <v>16.371681415929203</v>
      </c>
      <c r="D22" s="229"/>
      <c r="E22" s="15"/>
    </row>
    <row r="23" spans="1:7">
      <c r="A23" s="171" t="s">
        <v>75</v>
      </c>
      <c r="B23" s="37">
        <f>aantalw2001_niet_gespec</f>
        <v>31</v>
      </c>
      <c r="C23" s="166" t="s">
        <v>110</v>
      </c>
      <c r="D23" s="228"/>
      <c r="E23" s="15"/>
    </row>
    <row r="24" spans="1:7">
      <c r="A24" s="171" t="s">
        <v>76</v>
      </c>
      <c r="B24" s="37">
        <f>aantalw2001_steenkool</f>
        <v>85</v>
      </c>
      <c r="C24" s="166" t="s">
        <v>110</v>
      </c>
      <c r="D24" s="229"/>
      <c r="E24" s="15"/>
    </row>
    <row r="25" spans="1:7">
      <c r="A25" s="171" t="s">
        <v>77</v>
      </c>
      <c r="B25" s="37">
        <f>aantalw2001_stookolie</f>
        <v>2326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3651</v>
      </c>
      <c r="C28" s="36"/>
      <c r="D28" s="228"/>
    </row>
    <row r="29" spans="1:7" s="15" customFormat="1">
      <c r="A29" s="230" t="s">
        <v>781</v>
      </c>
      <c r="B29" s="37">
        <f>SUM(HH_hh_gas_aantal,HH_rest_gas_aantal)</f>
        <v>1225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1225</v>
      </c>
      <c r="C32" s="167">
        <f>IF(ISERROR(B32/SUM($B$32,$B$34,$B$35,$B$36,$B$38,$B$39)*100),0,B32/SUM($B$32,$B$34,$B$35,$B$36,$B$38,$B$39)*100)</f>
        <v>33.895960154952959</v>
      </c>
      <c r="D32" s="233"/>
      <c r="G32" s="15"/>
    </row>
    <row r="33" spans="1:7">
      <c r="A33" s="171" t="s">
        <v>71</v>
      </c>
      <c r="B33" s="34" t="s">
        <v>110</v>
      </c>
      <c r="C33" s="167"/>
      <c r="D33" s="233"/>
      <c r="G33" s="15"/>
    </row>
    <row r="34" spans="1:7">
      <c r="A34" s="171" t="s">
        <v>72</v>
      </c>
      <c r="B34" s="33">
        <f>IF((($B$28-$B$32-$B$39-$B$77-$B$38)*C20/100)&lt;0,0,($B$28-$B$32-$B$39-$B$77-$B$38)*C20/100)</f>
        <v>168.52898230088496</v>
      </c>
      <c r="C34" s="167">
        <f>IF(ISERROR(B34/SUM($B$32,$B$34,$B$35,$B$36,$B$38,$B$39)*100),0,B34/SUM($B$32,$B$34,$B$35,$B$36,$B$38,$B$39)*100)</f>
        <v>4.6632258522657715</v>
      </c>
      <c r="D34" s="233"/>
      <c r="G34" s="15"/>
    </row>
    <row r="35" spans="1:7">
      <c r="A35" s="171" t="s">
        <v>73</v>
      </c>
      <c r="B35" s="33">
        <f>IF((($B$28-$B$32-$B$39-$B$77-$B$38)*C21/100)&lt;0,0,($B$28-$B$32-$B$39-$B$77-$B$38)*C21/100)</f>
        <v>547.24579646017708</v>
      </c>
      <c r="C35" s="167">
        <f>IF(ISERROR(B35/SUM($B$32,$B$34,$B$35,$B$36,$B$38,$B$39)*100),0,B35/SUM($B$32,$B$34,$B$35,$B$36,$B$38,$B$39)*100)</f>
        <v>15.14238507084054</v>
      </c>
      <c r="D35" s="233"/>
      <c r="G35" s="15"/>
    </row>
    <row r="36" spans="1:7">
      <c r="A36" s="171" t="s">
        <v>74</v>
      </c>
      <c r="B36" s="33">
        <f>IF((($B$28-$B$32-$B$39-$B$77-$B$38)*C22/100)&lt;0,0,($B$28-$B$32-$B$39-$B$77-$B$38)*C22/100)</f>
        <v>140.12522123893805</v>
      </c>
      <c r="C36" s="167">
        <f>IF(ISERROR(B36/SUM($B$32,$B$34,$B$35,$B$36,$B$38,$B$39)*100),0,B36/SUM($B$32,$B$34,$B$35,$B$36,$B$38,$B$39)*100)</f>
        <v>3.8772889108726636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1533.1</v>
      </c>
      <c r="C39" s="167">
        <f>IF(ISERROR(B39/SUM($B$32,$B$34,$B$35,$B$36,$B$38,$B$39)*100),0,B39/SUM($B$32,$B$34,$B$35,$B$36,$B$38,$B$39)*100)</f>
        <v>42.421140011068061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1225</v>
      </c>
      <c r="C44" s="34" t="s">
        <v>110</v>
      </c>
      <c r="D44" s="174"/>
    </row>
    <row r="45" spans="1:7">
      <c r="A45" s="171" t="s">
        <v>71</v>
      </c>
      <c r="B45" s="33" t="str">
        <f t="shared" si="0"/>
        <v>-</v>
      </c>
      <c r="C45" s="34" t="s">
        <v>110</v>
      </c>
      <c r="D45" s="174"/>
    </row>
    <row r="46" spans="1:7">
      <c r="A46" s="171" t="s">
        <v>72</v>
      </c>
      <c r="B46" s="33">
        <f t="shared" si="0"/>
        <v>168.52898230088496</v>
      </c>
      <c r="C46" s="34" t="s">
        <v>110</v>
      </c>
      <c r="D46" s="174"/>
    </row>
    <row r="47" spans="1:7">
      <c r="A47" s="171" t="s">
        <v>73</v>
      </c>
      <c r="B47" s="33">
        <f t="shared" si="0"/>
        <v>547.24579646017708</v>
      </c>
      <c r="C47" s="34" t="s">
        <v>110</v>
      </c>
      <c r="D47" s="174"/>
    </row>
    <row r="48" spans="1:7">
      <c r="A48" s="171" t="s">
        <v>74</v>
      </c>
      <c r="B48" s="33">
        <f t="shared" si="0"/>
        <v>140.12522123893805</v>
      </c>
      <c r="C48" s="33">
        <f>B48*10</f>
        <v>1401.2522123893805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1533.1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6710.7930604242447</v>
      </c>
      <c r="C5" s="17">
        <f>IF(ISERROR('Eigen informatie GS &amp; warmtenet'!B58),0,'Eigen informatie GS &amp; warmtenet'!B58)</f>
        <v>0</v>
      </c>
      <c r="D5" s="30">
        <f>SUM(D6:D12)</f>
        <v>5286.4021825999998</v>
      </c>
      <c r="E5" s="17">
        <f>SUM(E6:E12)</f>
        <v>97.400718947455033</v>
      </c>
      <c r="F5" s="17">
        <f>SUM(F6:F12)</f>
        <v>1127.7663271790645</v>
      </c>
      <c r="G5" s="18"/>
      <c r="H5" s="17"/>
      <c r="I5" s="17"/>
      <c r="J5" s="17">
        <f>SUM(J6:J12)</f>
        <v>1.0292871535085162E-2</v>
      </c>
      <c r="K5" s="17"/>
      <c r="L5" s="17"/>
      <c r="M5" s="17"/>
      <c r="N5" s="17">
        <f>SUM(N6:N12)</f>
        <v>425.94193695178427</v>
      </c>
      <c r="O5" s="17">
        <f>B38*B39*B40</f>
        <v>0</v>
      </c>
      <c r="P5" s="17">
        <f>B46*B47*B48/1000-B46*B47*B48/1000/B49</f>
        <v>19.066666666666666</v>
      </c>
      <c r="R5" s="32"/>
    </row>
    <row r="6" spans="1:18">
      <c r="A6" s="32" t="s">
        <v>53</v>
      </c>
      <c r="B6" s="37">
        <f>B26</f>
        <v>1685.4874499999999</v>
      </c>
      <c r="C6" s="33"/>
      <c r="D6" s="37">
        <f>IF(ISERROR(TER_kantoor_gas_kWh/1000),0,TER_kantoor_gas_kWh/1000)*0.902</f>
        <v>1117.1104032000001</v>
      </c>
      <c r="E6" s="33">
        <f>$C$26*'E Balans VL '!I12/100/3.6*1000000</f>
        <v>1.0564074752256472E-2</v>
      </c>
      <c r="F6" s="33">
        <f>$C$26*('E Balans VL '!L12+'E Balans VL '!N12)/100/3.6*1000000</f>
        <v>253.28166672382778</v>
      </c>
      <c r="G6" s="34"/>
      <c r="H6" s="33"/>
      <c r="I6" s="33"/>
      <c r="J6" s="33">
        <f>$C$26*('E Balans VL '!D12+'E Balans VL '!E12)/100/3.6*1000000</f>
        <v>0</v>
      </c>
      <c r="K6" s="33"/>
      <c r="L6" s="33"/>
      <c r="M6" s="33"/>
      <c r="N6" s="33">
        <f>$C$26*'E Balans VL '!Y12/100/3.6*1000000</f>
        <v>1.611918844985367</v>
      </c>
      <c r="O6" s="33"/>
      <c r="P6" s="33"/>
      <c r="R6" s="32"/>
    </row>
    <row r="7" spans="1:18">
      <c r="A7" s="32" t="s">
        <v>52</v>
      </c>
      <c r="B7" s="37">
        <f t="shared" ref="B7:B12" si="0">B27</f>
        <v>1101.443796</v>
      </c>
      <c r="C7" s="33"/>
      <c r="D7" s="37">
        <f>IF(ISERROR(TER_horeca_gas_kWh/1000),0,TER_horeca_gas_kWh/1000)*0.902</f>
        <v>976.78905940000004</v>
      </c>
      <c r="E7" s="33">
        <f>$C$27*'E Balans VL '!I9/100/3.6*1000000</f>
        <v>15.772491693206804</v>
      </c>
      <c r="F7" s="33">
        <f>$C$27*('E Balans VL '!L9+'E Balans VL '!N9)/100/3.6*1000000</f>
        <v>139.47911158952178</v>
      </c>
      <c r="G7" s="34"/>
      <c r="H7" s="33"/>
      <c r="I7" s="33"/>
      <c r="J7" s="33">
        <f>$C$27*('E Balans VL '!D9+'E Balans VL '!E9)/100/3.6*1000000</f>
        <v>0</v>
      </c>
      <c r="K7" s="33"/>
      <c r="L7" s="33"/>
      <c r="M7" s="33"/>
      <c r="N7" s="33">
        <f>$C$27*'E Balans VL '!Y9/100/3.6*1000000</f>
        <v>0.31664080659889315</v>
      </c>
      <c r="O7" s="33"/>
      <c r="P7" s="33"/>
      <c r="R7" s="32"/>
    </row>
    <row r="8" spans="1:18">
      <c r="A8" s="6" t="s">
        <v>51</v>
      </c>
      <c r="B8" s="37">
        <f t="shared" si="0"/>
        <v>2201.5933760000003</v>
      </c>
      <c r="C8" s="33"/>
      <c r="D8" s="37">
        <f>IF(ISERROR(TER_handel_gas_kWh/1000),0,TER_handel_gas_kWh/1000)*0.902</f>
        <v>948.53508199999987</v>
      </c>
      <c r="E8" s="33">
        <f>$C$28*'E Balans VL '!I13/100/3.6*1000000</f>
        <v>79.851520259187964</v>
      </c>
      <c r="F8" s="33">
        <f>$C$28*('E Balans VL '!L13+'E Balans VL '!N13)/100/3.6*1000000</f>
        <v>424.04917676784811</v>
      </c>
      <c r="G8" s="34"/>
      <c r="H8" s="33"/>
      <c r="I8" s="33"/>
      <c r="J8" s="33">
        <f>$C$28*('E Balans VL '!D13+'E Balans VL '!E13)/100/3.6*1000000</f>
        <v>0</v>
      </c>
      <c r="K8" s="33"/>
      <c r="L8" s="33"/>
      <c r="M8" s="33"/>
      <c r="N8" s="33">
        <f>$C$28*'E Balans VL '!Y13/100/3.6*1000000</f>
        <v>3.0497133898037383</v>
      </c>
      <c r="O8" s="33"/>
      <c r="P8" s="33"/>
      <c r="R8" s="32"/>
    </row>
    <row r="9" spans="1:18">
      <c r="A9" s="32" t="s">
        <v>50</v>
      </c>
      <c r="B9" s="37">
        <f t="shared" si="0"/>
        <v>1169.519</v>
      </c>
      <c r="C9" s="33"/>
      <c r="D9" s="37">
        <f>IF(ISERROR(TER_gezond_gas_kWh/1000),0,TER_gezond_gas_kWh/1000)*0.902</f>
        <v>1803.7708920000002</v>
      </c>
      <c r="E9" s="33">
        <f>$C$29*'E Balans VL '!I10/100/3.6*1000000</f>
        <v>7.3223436314054341E-2</v>
      </c>
      <c r="F9" s="33">
        <f>$C$29*('E Balans VL '!L10+'E Balans VL '!N10)/100/3.6*1000000</f>
        <v>173.73560829623793</v>
      </c>
      <c r="G9" s="34"/>
      <c r="H9" s="33"/>
      <c r="I9" s="33"/>
      <c r="J9" s="33">
        <f>$C$29*('E Balans VL '!D10+'E Balans VL '!E10)/100/3.6*1000000</f>
        <v>0</v>
      </c>
      <c r="K9" s="33"/>
      <c r="L9" s="33"/>
      <c r="M9" s="33"/>
      <c r="N9" s="33">
        <f>$C$29*'E Balans VL '!Y10/100/3.6*1000000</f>
        <v>18.090232740937154</v>
      </c>
      <c r="O9" s="33"/>
      <c r="P9" s="33"/>
      <c r="R9" s="32"/>
    </row>
    <row r="10" spans="1:18">
      <c r="A10" s="32" t="s">
        <v>49</v>
      </c>
      <c r="B10" s="37">
        <f t="shared" si="0"/>
        <v>468.457134</v>
      </c>
      <c r="C10" s="33"/>
      <c r="D10" s="37">
        <f>IF(ISERROR(TER_ander_gas_kWh/1000),0,TER_ander_gas_kWh/1000)*0.902</f>
        <v>350.288994</v>
      </c>
      <c r="E10" s="33">
        <f>$C$30*'E Balans VL '!I14/100/3.6*1000000</f>
        <v>0.55838416389856504</v>
      </c>
      <c r="F10" s="33">
        <f>$C$30*('E Balans VL '!L14+'E Balans VL '!N14)/100/3.6*1000000</f>
        <v>122.56921222284062</v>
      </c>
      <c r="G10" s="34"/>
      <c r="H10" s="33"/>
      <c r="I10" s="33"/>
      <c r="J10" s="33">
        <f>$C$30*('E Balans VL '!D14+'E Balans VL '!E14)/100/3.6*1000000</f>
        <v>1.0168368077878596E-2</v>
      </c>
      <c r="K10" s="33"/>
      <c r="L10" s="33"/>
      <c r="M10" s="33"/>
      <c r="N10" s="33">
        <f>$C$30*'E Balans VL '!Y14/100/3.6*1000000</f>
        <v>397.802335208084</v>
      </c>
      <c r="O10" s="33"/>
      <c r="P10" s="33"/>
      <c r="R10" s="32"/>
    </row>
    <row r="11" spans="1:18">
      <c r="A11" s="32" t="s">
        <v>54</v>
      </c>
      <c r="B11" s="37">
        <f t="shared" si="0"/>
        <v>32.877000000000002</v>
      </c>
      <c r="C11" s="33"/>
      <c r="D11" s="37">
        <f>IF(ISERROR(TER_onderwijs_gas_kWh/1000),0,TER_onderwijs_gas_kWh/1000)*0.902</f>
        <v>89.907752000000002</v>
      </c>
      <c r="E11" s="33">
        <f>$C$31*'E Balans VL '!I11/100/3.6*1000000</f>
        <v>0.49606097655617315</v>
      </c>
      <c r="F11" s="33">
        <f>$C$31*('E Balans VL '!L11+'E Balans VL '!N11)/100/3.6*1000000</f>
        <v>5.7605756257002882</v>
      </c>
      <c r="G11" s="34"/>
      <c r="H11" s="33"/>
      <c r="I11" s="33"/>
      <c r="J11" s="33">
        <f>$C$31*('E Balans VL '!D11+'E Balans VL '!E11)/100/3.6*1000000</f>
        <v>0</v>
      </c>
      <c r="K11" s="33"/>
      <c r="L11" s="33"/>
      <c r="M11" s="33"/>
      <c r="N11" s="33">
        <f>$C$31*'E Balans VL '!Y11/100/3.6*1000000</f>
        <v>9.2518377404722005E-2</v>
      </c>
      <c r="O11" s="33"/>
      <c r="P11" s="33"/>
      <c r="R11" s="32"/>
    </row>
    <row r="12" spans="1:18">
      <c r="A12" s="32" t="s">
        <v>259</v>
      </c>
      <c r="B12" s="37">
        <f t="shared" si="0"/>
        <v>51.415304424242798</v>
      </c>
      <c r="C12" s="33"/>
      <c r="D12" s="37">
        <f>IF(ISERROR(TER_rest_gas_kWh/1000),0,TER_rest_gas_kWh/1000)*0.902</f>
        <v>0</v>
      </c>
      <c r="E12" s="33">
        <f>$C$32*'E Balans VL '!I8/100/3.6*1000000</f>
        <v>0.63847434353921428</v>
      </c>
      <c r="F12" s="33">
        <f>$C$32*('E Balans VL '!L8+'E Balans VL '!N8)/100/3.6*1000000</f>
        <v>8.8909759530882848</v>
      </c>
      <c r="G12" s="34"/>
      <c r="H12" s="33"/>
      <c r="I12" s="33"/>
      <c r="J12" s="33">
        <f>$C$32*('E Balans VL '!D8+'E Balans VL '!E8)/100/3.6*1000000</f>
        <v>1.2450345720656637E-4</v>
      </c>
      <c r="K12" s="33"/>
      <c r="L12" s="33"/>
      <c r="M12" s="33"/>
      <c r="N12" s="33">
        <f>$C$32*'E Balans VL '!Y8/100/3.6*1000000</f>
        <v>4.9785775839704431</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6710.7930604242447</v>
      </c>
      <c r="C16" s="21">
        <f t="shared" ca="1" si="1"/>
        <v>0</v>
      </c>
      <c r="D16" s="21">
        <f t="shared" ca="1" si="1"/>
        <v>5286.4021825999998</v>
      </c>
      <c r="E16" s="21">
        <f t="shared" si="1"/>
        <v>97.400718947455033</v>
      </c>
      <c r="F16" s="21">
        <f t="shared" ca="1" si="1"/>
        <v>1127.7663271790645</v>
      </c>
      <c r="G16" s="21">
        <f t="shared" si="1"/>
        <v>0</v>
      </c>
      <c r="H16" s="21">
        <f t="shared" si="1"/>
        <v>0</v>
      </c>
      <c r="I16" s="21">
        <f t="shared" si="1"/>
        <v>0</v>
      </c>
      <c r="J16" s="21">
        <f t="shared" si="1"/>
        <v>1.0292871535085162E-2</v>
      </c>
      <c r="K16" s="21">
        <f t="shared" si="1"/>
        <v>0</v>
      </c>
      <c r="L16" s="21">
        <f t="shared" ca="1" si="1"/>
        <v>0</v>
      </c>
      <c r="M16" s="21">
        <f t="shared" si="1"/>
        <v>0</v>
      </c>
      <c r="N16" s="21">
        <f t="shared" ca="1" si="1"/>
        <v>425.94193695178427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0.19736655892802371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1324.4861340139942</v>
      </c>
      <c r="C20" s="23">
        <f t="shared" ref="C20:P20" ca="1" si="2">C16*C18</f>
        <v>0</v>
      </c>
      <c r="D20" s="23">
        <f t="shared" ca="1" si="2"/>
        <v>1067.8532408852</v>
      </c>
      <c r="E20" s="23">
        <f t="shared" si="2"/>
        <v>22.109963201072294</v>
      </c>
      <c r="F20" s="23">
        <f t="shared" ca="1" si="2"/>
        <v>301.11360935681023</v>
      </c>
      <c r="G20" s="23">
        <f t="shared" si="2"/>
        <v>0</v>
      </c>
      <c r="H20" s="23">
        <f t="shared" si="2"/>
        <v>0</v>
      </c>
      <c r="I20" s="23">
        <f t="shared" si="2"/>
        <v>0</v>
      </c>
      <c r="J20" s="23">
        <f t="shared" si="2"/>
        <v>3.6436765234201473E-3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1685.4874499999999</v>
      </c>
      <c r="C26" s="39">
        <f>IF(ISERROR(B26*3.6/1000000/'E Balans VL '!Z12*100),0,B26*3.6/1000000/'E Balans VL '!Z12*100)</f>
        <v>3.5628534665207511E-2</v>
      </c>
      <c r="D26" s="237" t="s">
        <v>744</v>
      </c>
      <c r="F26" s="6"/>
    </row>
    <row r="27" spans="1:18">
      <c r="A27" s="231" t="s">
        <v>52</v>
      </c>
      <c r="B27" s="33">
        <f>IF(ISERROR(TER_horeca_ele_kWh/1000),0,TER_horeca_ele_kWh/1000)</f>
        <v>1101.443796</v>
      </c>
      <c r="C27" s="39">
        <f>IF(ISERROR(B27*3.6/1000000/'E Balans VL '!Z9*100),0,B27*3.6/1000000/'E Balans VL '!Z9*100)</f>
        <v>8.682640390961896E-2</v>
      </c>
      <c r="D27" s="237" t="s">
        <v>744</v>
      </c>
      <c r="F27" s="6"/>
    </row>
    <row r="28" spans="1:18">
      <c r="A28" s="171" t="s">
        <v>51</v>
      </c>
      <c r="B28" s="33">
        <f>IF(ISERROR(TER_handel_ele_kWh/1000),0,TER_handel_ele_kWh/1000)</f>
        <v>2201.5933760000003</v>
      </c>
      <c r="C28" s="39">
        <f>IF(ISERROR(B28*3.6/1000000/'E Balans VL '!Z13*100),0,B28*3.6/1000000/'E Balans VL '!Z13*100)</f>
        <v>6.3899135205546728E-2</v>
      </c>
      <c r="D28" s="237" t="s">
        <v>744</v>
      </c>
      <c r="F28" s="6"/>
    </row>
    <row r="29" spans="1:18">
      <c r="A29" s="231" t="s">
        <v>50</v>
      </c>
      <c r="B29" s="33">
        <f>IF(ISERROR(TER_gezond_ele_kWh/1000),0,TER_gezond_ele_kWh/1000)</f>
        <v>1169.519</v>
      </c>
      <c r="C29" s="39">
        <f>IF(ISERROR(B29*3.6/1000000/'E Balans VL '!Z10*100),0,B29*3.6/1000000/'E Balans VL '!Z10*100)</f>
        <v>0.1231695547088916</v>
      </c>
      <c r="D29" s="237" t="s">
        <v>744</v>
      </c>
      <c r="F29" s="6"/>
    </row>
    <row r="30" spans="1:18">
      <c r="A30" s="231" t="s">
        <v>49</v>
      </c>
      <c r="B30" s="33">
        <f>IF(ISERROR(TER_ander_ele_kWh/1000),0,TER_ander_ele_kWh/1000)</f>
        <v>468.457134</v>
      </c>
      <c r="C30" s="39">
        <f>IF(ISERROR(B30*3.6/1000000/'E Balans VL '!Z14*100),0,B30*3.6/1000000/'E Balans VL '!Z14*100)</f>
        <v>3.4553499952223371E-2</v>
      </c>
      <c r="D30" s="237" t="s">
        <v>744</v>
      </c>
      <c r="F30" s="6"/>
    </row>
    <row r="31" spans="1:18">
      <c r="A31" s="231" t="s">
        <v>54</v>
      </c>
      <c r="B31" s="33">
        <f>IF(ISERROR(TER_onderwijs_ele_kWh/1000),0,TER_onderwijs_ele_kWh/1000)</f>
        <v>32.877000000000002</v>
      </c>
      <c r="C31" s="39">
        <f>IF(ISERROR(B31*3.6/1000000/'E Balans VL '!Z11*100),0,B31*3.6/1000000/'E Balans VL '!Z11*100)</f>
        <v>8.1648991493766792E-3</v>
      </c>
      <c r="D31" s="237" t="s">
        <v>744</v>
      </c>
    </row>
    <row r="32" spans="1:18">
      <c r="A32" s="231" t="s">
        <v>259</v>
      </c>
      <c r="B32" s="33">
        <f>IF(ISERROR(TER_rest_ele_kWh/1000),0,TER_rest_ele_kWh/1000)</f>
        <v>51.415304424242798</v>
      </c>
      <c r="C32" s="39">
        <f>IF(ISERROR(B32*3.6/1000000/'E Balans VL '!Z8*100),0,B32*3.6/1000000/'E Balans VL '!Z8*100)</f>
        <v>4.2307970853237034E-4</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2052.066617</v>
      </c>
      <c r="C5" s="17">
        <f>IF(ISERROR('Eigen informatie GS &amp; warmtenet'!B59),0,'Eigen informatie GS &amp; warmtenet'!B59)</f>
        <v>0</v>
      </c>
      <c r="D5" s="30">
        <f>SUM(D6:D15)</f>
        <v>317.64381000000003</v>
      </c>
      <c r="E5" s="17">
        <f>SUM(E6:E15)</f>
        <v>230.63942176926733</v>
      </c>
      <c r="F5" s="17">
        <f>SUM(F6:F15)</f>
        <v>709.75569426546872</v>
      </c>
      <c r="G5" s="18"/>
      <c r="H5" s="17"/>
      <c r="I5" s="17"/>
      <c r="J5" s="17">
        <f>SUM(J6:J15)</f>
        <v>1.1418313549845398</v>
      </c>
      <c r="K5" s="17"/>
      <c r="L5" s="17"/>
      <c r="M5" s="17"/>
      <c r="N5" s="17">
        <f>SUM(N6:N15)</f>
        <v>137.31684018817737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208.757667</v>
      </c>
      <c r="C8" s="33"/>
      <c r="D8" s="37">
        <f>IF( ISERROR(IND_metaal_Gas_kWH/1000),0,IND_metaal_Gas_kWH/1000)*0.902</f>
        <v>0</v>
      </c>
      <c r="E8" s="33">
        <f>C30*'E Balans VL '!I18/100/3.6*1000000</f>
        <v>1.919325127992799</v>
      </c>
      <c r="F8" s="33">
        <f>C30*'E Balans VL '!L18/100/3.6*1000000+C30*'E Balans VL '!N18/100/3.6*1000000</f>
        <v>19.574518918329776</v>
      </c>
      <c r="G8" s="34"/>
      <c r="H8" s="33"/>
      <c r="I8" s="33"/>
      <c r="J8" s="40">
        <f>C30*'E Balans VL '!D18/100/3.6*1000000+C30*'E Balans VL '!E18/100/3.6*1000000</f>
        <v>0</v>
      </c>
      <c r="K8" s="33"/>
      <c r="L8" s="33"/>
      <c r="M8" s="33"/>
      <c r="N8" s="33">
        <f>C30*'E Balans VL '!Y18/100/3.6*1000000</f>
        <v>2.9782731063274639</v>
      </c>
      <c r="O8" s="33"/>
      <c r="P8" s="33"/>
      <c r="R8" s="32"/>
    </row>
    <row r="9" spans="1:18">
      <c r="A9" s="6" t="s">
        <v>32</v>
      </c>
      <c r="B9" s="37">
        <f t="shared" si="0"/>
        <v>716.33834999999999</v>
      </c>
      <c r="C9" s="33"/>
      <c r="D9" s="37">
        <f>IF( ISERROR(IND_andere_gas_kWh/1000),0,IND_andere_gas_kWh/1000)*0.902</f>
        <v>225.885154</v>
      </c>
      <c r="E9" s="33">
        <f>C31*'E Balans VL '!I19/100/3.6*1000000</f>
        <v>209.39964516781666</v>
      </c>
      <c r="F9" s="33">
        <f>C31*'E Balans VL '!L19/100/3.6*1000000+C31*'E Balans VL '!N19/100/3.6*1000000</f>
        <v>575.63208605587215</v>
      </c>
      <c r="G9" s="34"/>
      <c r="H9" s="33"/>
      <c r="I9" s="33"/>
      <c r="J9" s="40">
        <f>C31*'E Balans VL '!D19/100/3.6*1000000+C31*'E Balans VL '!E19/100/3.6*1000000</f>
        <v>0</v>
      </c>
      <c r="K9" s="33"/>
      <c r="L9" s="33"/>
      <c r="M9" s="33"/>
      <c r="N9" s="33">
        <f>C31*'E Balans VL '!Y19/100/3.6*1000000</f>
        <v>56.188607265552541</v>
      </c>
      <c r="O9" s="33"/>
      <c r="P9" s="33"/>
      <c r="R9" s="32"/>
    </row>
    <row r="10" spans="1:18">
      <c r="A10" s="6" t="s">
        <v>40</v>
      </c>
      <c r="B10" s="37">
        <f t="shared" si="0"/>
        <v>808.02159999999992</v>
      </c>
      <c r="C10" s="33"/>
      <c r="D10" s="37">
        <f>IF( ISERROR(IND_voed_gas_kWh/1000),0,IND_voed_gas_kWh/1000)*0.902</f>
        <v>0</v>
      </c>
      <c r="E10" s="33">
        <f>C32*'E Balans VL '!I20/100/3.6*1000000</f>
        <v>1.709382223323294</v>
      </c>
      <c r="F10" s="33">
        <f>C32*'E Balans VL '!L20/100/3.6*1000000+C32*'E Balans VL '!N20/100/3.6*1000000</f>
        <v>51.374838697860802</v>
      </c>
      <c r="G10" s="34"/>
      <c r="H10" s="33"/>
      <c r="I10" s="33"/>
      <c r="J10" s="40">
        <f>C32*'E Balans VL '!D20/100/3.6*1000000+C32*'E Balans VL '!E20/100/3.6*1000000</f>
        <v>0</v>
      </c>
      <c r="K10" s="33"/>
      <c r="L10" s="33"/>
      <c r="M10" s="33"/>
      <c r="N10" s="33">
        <f>C32*'E Balans VL '!Y20/100/3.6*1000000</f>
        <v>55.7614641519841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318.94900000000001</v>
      </c>
      <c r="C15" s="33"/>
      <c r="D15" s="37">
        <f>IF( ISERROR(IND_rest_gas_kWh/1000),0,IND_rest_gas_kWh/1000)*0.902</f>
        <v>91.758656000000002</v>
      </c>
      <c r="E15" s="33">
        <f>C37*'E Balans VL '!I15/100/3.6*1000000</f>
        <v>17.611069250134562</v>
      </c>
      <c r="F15" s="33">
        <f>C37*'E Balans VL '!L15/100/3.6*1000000+C37*'E Balans VL '!N15/100/3.6*1000000</f>
        <v>63.174250593405972</v>
      </c>
      <c r="G15" s="34"/>
      <c r="H15" s="33"/>
      <c r="I15" s="33"/>
      <c r="J15" s="40">
        <f>C37*'E Balans VL '!D15/100/3.6*1000000+C37*'E Balans VL '!E15/100/3.6*1000000</f>
        <v>1.1418313549845398</v>
      </c>
      <c r="K15" s="33"/>
      <c r="L15" s="33"/>
      <c r="M15" s="33"/>
      <c r="N15" s="33">
        <f>C37*'E Balans VL '!Y15/100/3.6*1000000</f>
        <v>22.388495664313254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2052.066617</v>
      </c>
      <c r="C18" s="21">
        <f>C5+C16</f>
        <v>0</v>
      </c>
      <c r="D18" s="21">
        <f>MAX((D5+D16),0)</f>
        <v>317.64381000000003</v>
      </c>
      <c r="E18" s="21">
        <f>MAX((E5+E16),0)</f>
        <v>230.63942176926733</v>
      </c>
      <c r="F18" s="21">
        <f>MAX((F5+F16),0)</f>
        <v>709.75569426546872</v>
      </c>
      <c r="G18" s="21"/>
      <c r="H18" s="21"/>
      <c r="I18" s="21"/>
      <c r="J18" s="21">
        <f>MAX((J5+J16),0)</f>
        <v>1.1418313549845398</v>
      </c>
      <c r="K18" s="21"/>
      <c r="L18" s="21">
        <f>MAX((L5+L16),0)</f>
        <v>0</v>
      </c>
      <c r="M18" s="21"/>
      <c r="N18" s="21">
        <f>MAX((N5+N16),0)</f>
        <v>137.31684018817737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0.19736655892802371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405.00932688836076</v>
      </c>
      <c r="C22" s="23">
        <f ca="1">C18*C20</f>
        <v>0</v>
      </c>
      <c r="D22" s="23">
        <f>D18*D20</f>
        <v>64.164049620000014</v>
      </c>
      <c r="E22" s="23">
        <f>E18*E20</f>
        <v>52.355148741623687</v>
      </c>
      <c r="F22" s="23">
        <f>F18*F20</f>
        <v>189.50477036888014</v>
      </c>
      <c r="G22" s="23"/>
      <c r="H22" s="23"/>
      <c r="I22" s="23"/>
      <c r="J22" s="23">
        <f>J18*J20</f>
        <v>0.40420829966452709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208.757667</v>
      </c>
      <c r="C30" s="39">
        <f>IF(ISERROR(B30*3.6/1000000/'E Balans VL '!Z18*100),0,B30*3.6/1000000/'E Balans VL '!Z18*100)</f>
        <v>1.1830832278558724E-2</v>
      </c>
      <c r="D30" s="237" t="s">
        <v>744</v>
      </c>
    </row>
    <row r="31" spans="1:18">
      <c r="A31" s="6" t="s">
        <v>32</v>
      </c>
      <c r="B31" s="37">
        <f>IF( ISERROR(IND_ander_ele_kWh/1000),0,IND_ander_ele_kWh/1000)</f>
        <v>716.33834999999999</v>
      </c>
      <c r="C31" s="39">
        <f>IF(ISERROR(B31*3.6/1000000/'E Balans VL '!Z19*100),0,B31*3.6/1000000/'E Balans VL '!Z19*100)</f>
        <v>3.2490124775024991E-2</v>
      </c>
      <c r="D31" s="237" t="s">
        <v>744</v>
      </c>
    </row>
    <row r="32" spans="1:18">
      <c r="A32" s="171" t="s">
        <v>40</v>
      </c>
      <c r="B32" s="37">
        <f>IF( ISERROR(IND_voed_ele_kWh/1000),0,IND_voed_ele_kWh/1000)</f>
        <v>808.02159999999992</v>
      </c>
      <c r="C32" s="39">
        <f>IF(ISERROR(B32*3.6/1000000/'E Balans VL '!Z20*100),0,B32*3.6/1000000/'E Balans VL '!Z20*100)</f>
        <v>2.4995776196345462E-2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318.94900000000001</v>
      </c>
      <c r="C37" s="39">
        <f>IF(ISERROR(B37*3.6/1000000/'E Balans VL '!Z15*100),0,B37*3.6/1000000/'E Balans VL '!Z15*100)</f>
        <v>2.5280625316251855E-3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1086.7080000000001</v>
      </c>
      <c r="C5" s="17">
        <f>'Eigen informatie GS &amp; warmtenet'!B60</f>
        <v>0</v>
      </c>
      <c r="D5" s="30">
        <f>IF(ISERROR(SUM(LB_lb_gas_kWh,LB_rest_gas_kWh)/1000),0,SUM(LB_lb_gas_kWh,LB_rest_gas_kWh)/1000)*0.902</f>
        <v>38.705722000000002</v>
      </c>
      <c r="E5" s="17">
        <f>B17*'E Balans VL '!I25/3.6*1000000/100</f>
        <v>31.941667309337813</v>
      </c>
      <c r="F5" s="17">
        <f>B17*('E Balans VL '!L25/3.6*1000000+'E Balans VL '!N25/3.6*1000000)/100</f>
        <v>4527.1668053818939</v>
      </c>
      <c r="G5" s="18"/>
      <c r="H5" s="17"/>
      <c r="I5" s="17"/>
      <c r="J5" s="17">
        <f>('E Balans VL '!D25+'E Balans VL '!E25)/3.6*1000000*landbouw!B17/100</f>
        <v>157.44065187856032</v>
      </c>
      <c r="K5" s="17"/>
      <c r="L5" s="17">
        <f>L6*(-1)</f>
        <v>0</v>
      </c>
      <c r="M5" s="17"/>
      <c r="N5" s="17">
        <f>N6*(-1)</f>
        <v>124.71428571428569</v>
      </c>
      <c r="O5" s="17"/>
      <c r="P5" s="17"/>
      <c r="R5" s="32"/>
    </row>
    <row r="6" spans="1:18">
      <c r="A6" s="16" t="s">
        <v>487</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1086.7080000000001</v>
      </c>
      <c r="C8" s="21">
        <f>C5+C6</f>
        <v>62.357142857142847</v>
      </c>
      <c r="D8" s="21">
        <f>MAX((D5+D6),0)</f>
        <v>38.705722000000002</v>
      </c>
      <c r="E8" s="21">
        <f>MAX((E5+E6),0)</f>
        <v>31.941667309337813</v>
      </c>
      <c r="F8" s="21">
        <f>MAX((F5+F6),0)</f>
        <v>4527.1668053818939</v>
      </c>
      <c r="G8" s="21"/>
      <c r="H8" s="21"/>
      <c r="I8" s="21"/>
      <c r="J8" s="21">
        <f>MAX((J5+J6),0)</f>
        <v>157.44065187856032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0.19736655892802371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214.47981851955481</v>
      </c>
      <c r="C12" s="23">
        <f ca="1">C8*C10</f>
        <v>0</v>
      </c>
      <c r="D12" s="23">
        <f>D8*D10</f>
        <v>7.8185558440000005</v>
      </c>
      <c r="E12" s="23">
        <f>E8*E10</f>
        <v>7.2507584792196837</v>
      </c>
      <c r="F12" s="23">
        <f>F8*F10</f>
        <v>1208.7535370369658</v>
      </c>
      <c r="G12" s="23"/>
      <c r="H12" s="23"/>
      <c r="I12" s="23"/>
      <c r="J12" s="23">
        <f>J8*J10</f>
        <v>55.733990765010347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0.15420727464237263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436.43108961489639</v>
      </c>
      <c r="C26" s="247">
        <f>B26*'GWP N2O_CH4'!B5</f>
        <v>9165.0528819128249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74.905445631421458</v>
      </c>
      <c r="C27" s="247">
        <f>B27*'GWP N2O_CH4'!B5</f>
        <v>1573.0143582598507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4.9111252239016823</v>
      </c>
      <c r="C28" s="247">
        <f>B28*'GWP N2O_CH4'!B4</f>
        <v>1522.4488194095215</v>
      </c>
      <c r="D28" s="50"/>
    </row>
    <row r="29" spans="1:4">
      <c r="A29" s="41" t="s">
        <v>276</v>
      </c>
      <c r="B29" s="247">
        <f>B34*'ha_N2O bodem landbouw'!B4</f>
        <v>17.509073624933006</v>
      </c>
      <c r="C29" s="247">
        <f>B29*'GWP N2O_CH4'!B4</f>
        <v>5427.8128237292322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3.9955102622576963E-3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9.0235265791912994E-5</v>
      </c>
      <c r="C5" s="437" t="s">
        <v>210</v>
      </c>
      <c r="D5" s="422">
        <f>SUM(D6:D11)</f>
        <v>2.5298635565513085E-4</v>
      </c>
      <c r="E5" s="422">
        <f>SUM(E6:E11)</f>
        <v>4.281002889885945E-4</v>
      </c>
      <c r="F5" s="435" t="s">
        <v>210</v>
      </c>
      <c r="G5" s="422">
        <f>SUM(G6:G11)</f>
        <v>0.19968267998130607</v>
      </c>
      <c r="H5" s="422">
        <f>SUM(H6:H11)</f>
        <v>4.2715951555946929E-2</v>
      </c>
      <c r="I5" s="437" t="s">
        <v>210</v>
      </c>
      <c r="J5" s="437" t="s">
        <v>210</v>
      </c>
      <c r="K5" s="437" t="s">
        <v>210</v>
      </c>
      <c r="L5" s="437" t="s">
        <v>210</v>
      </c>
      <c r="M5" s="422">
        <f>SUM(M6:M11)</f>
        <v>1.2924118116279363E-2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7.3070176439318698E-5</v>
      </c>
      <c r="C6" s="423"/>
      <c r="D6" s="865">
        <f>vkm_GW_PW*SUMIFS(TableVerdeelsleutelVkm[CNG],TableVerdeelsleutelVkm[Voertuigtype],"Lichte voertuigen")*SUMIFS(TableECFTransport[EnergieConsumptieFactor (PJ per km)],TableECFTransport[Index],CONCATENATE($A6,"_CNG_CNG"))</f>
        <v>1.8108573865008469E-4</v>
      </c>
      <c r="E6" s="865">
        <f>vkm_GW_PW*SUMIFS(TableVerdeelsleutelVkm[LPG],TableVerdeelsleutelVkm[Voertuigtype],"Lichte voertuigen")*SUMIFS(TableECFTransport[EnergieConsumptieFactor (PJ per km)],TableECFTransport[Index],CONCATENATE($A6,"_LPG_LPG"))</f>
        <v>3.1087899365138464E-4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9.5257838226509295E-2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3.0767223467877015E-2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6.4712951460526719E-3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6.5111078944118564E-2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1.0891899152523553E-6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3.80415099019768E-3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1.7165089352594299E-5</v>
      </c>
      <c r="C8" s="423"/>
      <c r="D8" s="425">
        <f>vkm_NGW_PW*SUMIFS(TableVerdeelsleutelVkm[CNG],TableVerdeelsleutelVkm[Voertuigtype],"Lichte voertuigen")*SUMIFS(TableECFTransport[EnergieConsumptieFactor (PJ per km)],TableECFTransport[Index],CONCATENATE($A8,"_CNG_CNG"))</f>
        <v>7.1900617005046176E-5</v>
      </c>
      <c r="E8" s="425">
        <f>vkm_NGW_PW*SUMIFS(TableVerdeelsleutelVkm[LPG],TableVerdeelsleutelVkm[Voertuigtype],"Lichte voertuigen")*SUMIFS(TableECFTransport[EnergieConsumptieFactor (PJ per km)],TableECFTransport[Index],CONCATENATE($A8,"_LPG_LPG"))</f>
        <v>1.1722129533720986E-4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3.3785959444601422E-2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1.1947524987032308E-2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2.3257063635439422E-3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5.5278033660767951E-3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1.1391112235254402E-7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3.2296561648507011E-4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25.065351608864724</v>
      </c>
      <c r="C14" s="21"/>
      <c r="D14" s="21">
        <f t="shared" ref="D14:M14" si="0">((D5)*10^9/3600)+D12</f>
        <v>70.273987681980785</v>
      </c>
      <c r="E14" s="21">
        <f t="shared" si="0"/>
        <v>118.91674694127624</v>
      </c>
      <c r="F14" s="21"/>
      <c r="G14" s="21">
        <f t="shared" si="0"/>
        <v>55467.411105918356</v>
      </c>
      <c r="H14" s="21">
        <f t="shared" si="0"/>
        <v>11865.542098874148</v>
      </c>
      <c r="I14" s="21"/>
      <c r="J14" s="21"/>
      <c r="K14" s="21"/>
      <c r="L14" s="21"/>
      <c r="M14" s="21">
        <f t="shared" si="0"/>
        <v>3590.032810077601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0.19736655892802371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4.9470621953626335</v>
      </c>
      <c r="C18" s="23"/>
      <c r="D18" s="23">
        <f t="shared" ref="D18:M18" si="1">D14*D16</f>
        <v>14.19534551176012</v>
      </c>
      <c r="E18" s="23">
        <f t="shared" si="1"/>
        <v>26.994101555669708</v>
      </c>
      <c r="F18" s="23"/>
      <c r="G18" s="23">
        <f t="shared" si="1"/>
        <v>14809.798765280202</v>
      </c>
      <c r="H18" s="23">
        <f t="shared" si="1"/>
        <v>2954.5199826196626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8.1823106258720364E-3</v>
      </c>
      <c r="H50" s="319">
        <f t="shared" si="2"/>
        <v>0</v>
      </c>
      <c r="I50" s="319">
        <f t="shared" si="2"/>
        <v>0</v>
      </c>
      <c r="J50" s="319">
        <f t="shared" si="2"/>
        <v>0</v>
      </c>
      <c r="K50" s="319">
        <f t="shared" si="2"/>
        <v>0</v>
      </c>
      <c r="L50" s="319">
        <f t="shared" si="2"/>
        <v>0</v>
      </c>
      <c r="M50" s="319">
        <f t="shared" si="2"/>
        <v>4.6468401762894842E-4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8.1823106258720364E-3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4.6468401762894842E-4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2272.8640627422324</v>
      </c>
      <c r="H54" s="21">
        <f t="shared" si="3"/>
        <v>0</v>
      </c>
      <c r="I54" s="21">
        <f t="shared" si="3"/>
        <v>0</v>
      </c>
      <c r="J54" s="21">
        <f t="shared" si="3"/>
        <v>0</v>
      </c>
      <c r="K54" s="21">
        <f t="shared" si="3"/>
        <v>0</v>
      </c>
      <c r="L54" s="21">
        <f t="shared" si="3"/>
        <v>0</v>
      </c>
      <c r="M54" s="21">
        <f t="shared" si="3"/>
        <v>129.07889378581902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0.19736655892802371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606.85470475217608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7244.2280604242442</v>
      </c>
      <c r="D10" s="979">
        <f ca="1">tertiair!C16</f>
        <v>0</v>
      </c>
      <c r="E10" s="979">
        <f ca="1">tertiair!D16</f>
        <v>5286.4021825999998</v>
      </c>
      <c r="F10" s="979">
        <f>tertiair!E16</f>
        <v>97.400718947455033</v>
      </c>
      <c r="G10" s="979">
        <f ca="1">tertiair!F16</f>
        <v>1127.7663271790645</v>
      </c>
      <c r="H10" s="979">
        <f>tertiair!G16</f>
        <v>0</v>
      </c>
      <c r="I10" s="979">
        <f>tertiair!H16</f>
        <v>0</v>
      </c>
      <c r="J10" s="979">
        <f>tertiair!I16</f>
        <v>0</v>
      </c>
      <c r="K10" s="979">
        <f>tertiair!J16</f>
        <v>1.0292871535085162E-2</v>
      </c>
      <c r="L10" s="979">
        <f>tertiair!K16</f>
        <v>0</v>
      </c>
      <c r="M10" s="979">
        <f ca="1">tertiair!L16</f>
        <v>0</v>
      </c>
      <c r="N10" s="979">
        <f>tertiair!M16</f>
        <v>0</v>
      </c>
      <c r="O10" s="979">
        <f ca="1">tertiair!N16</f>
        <v>425.94193695178427</v>
      </c>
      <c r="P10" s="979">
        <f>tertiair!O16</f>
        <v>0</v>
      </c>
      <c r="Q10" s="980">
        <f>tertiair!P16</f>
        <v>19.066666666666666</v>
      </c>
      <c r="R10" s="674">
        <f ca="1">SUM(C10:Q10)</f>
        <v>14200.816185640748</v>
      </c>
      <c r="S10" s="67"/>
    </row>
    <row r="11" spans="1:19" s="447" customFormat="1">
      <c r="A11" s="783" t="s">
        <v>224</v>
      </c>
      <c r="B11" s="788"/>
      <c r="C11" s="979">
        <f>huishoudens!B8</f>
        <v>15968.741404945447</v>
      </c>
      <c r="D11" s="979">
        <f>huishoudens!C8</f>
        <v>0</v>
      </c>
      <c r="E11" s="979">
        <f>huishoudens!D8</f>
        <v>18011.800638700002</v>
      </c>
      <c r="F11" s="979">
        <f>huishoudens!E8</f>
        <v>8911.2377717201107</v>
      </c>
      <c r="G11" s="979">
        <f>huishoudens!F8</f>
        <v>31979.747795007908</v>
      </c>
      <c r="H11" s="979">
        <f>huishoudens!G8</f>
        <v>0</v>
      </c>
      <c r="I11" s="979">
        <f>huishoudens!H8</f>
        <v>0</v>
      </c>
      <c r="J11" s="979">
        <f>huishoudens!I8</f>
        <v>0</v>
      </c>
      <c r="K11" s="979">
        <f>huishoudens!J8</f>
        <v>0</v>
      </c>
      <c r="L11" s="979">
        <f>huishoudens!K8</f>
        <v>0</v>
      </c>
      <c r="M11" s="979">
        <f>huishoudens!L8</f>
        <v>0</v>
      </c>
      <c r="N11" s="979">
        <f>huishoudens!M8</f>
        <v>0</v>
      </c>
      <c r="O11" s="979">
        <f>huishoudens!N8</f>
        <v>10212.120542679018</v>
      </c>
      <c r="P11" s="979">
        <f>huishoudens!O8</f>
        <v>186.03666666666666</v>
      </c>
      <c r="Q11" s="980">
        <f>huishoudens!P8</f>
        <v>705.4666666666667</v>
      </c>
      <c r="R11" s="674">
        <f>SUM(C11:Q11)</f>
        <v>85975.151486385817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2052.066617</v>
      </c>
      <c r="D13" s="979">
        <f>industrie!C18</f>
        <v>0</v>
      </c>
      <c r="E13" s="979">
        <f>industrie!D18</f>
        <v>317.64381000000003</v>
      </c>
      <c r="F13" s="979">
        <f>industrie!E18</f>
        <v>230.63942176926733</v>
      </c>
      <c r="G13" s="979">
        <f>industrie!F18</f>
        <v>709.75569426546872</v>
      </c>
      <c r="H13" s="979">
        <f>industrie!G18</f>
        <v>0</v>
      </c>
      <c r="I13" s="979">
        <f>industrie!H18</f>
        <v>0</v>
      </c>
      <c r="J13" s="979">
        <f>industrie!I18</f>
        <v>0</v>
      </c>
      <c r="K13" s="979">
        <f>industrie!J18</f>
        <v>1.1418313549845398</v>
      </c>
      <c r="L13" s="979">
        <f>industrie!K18</f>
        <v>0</v>
      </c>
      <c r="M13" s="979">
        <f>industrie!L18</f>
        <v>0</v>
      </c>
      <c r="N13" s="979">
        <f>industrie!M18</f>
        <v>0</v>
      </c>
      <c r="O13" s="979">
        <f>industrie!N18</f>
        <v>137.31684018817737</v>
      </c>
      <c r="P13" s="979">
        <f>industrie!O18</f>
        <v>0</v>
      </c>
      <c r="Q13" s="980">
        <f>industrie!P18</f>
        <v>0</v>
      </c>
      <c r="R13" s="674">
        <f>SUM(C13:Q13)</f>
        <v>3448.5642145778975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25265.036082369694</v>
      </c>
      <c r="D16" s="706">
        <f t="shared" ref="D16:R16" ca="1" si="0">SUM(D9:D15)</f>
        <v>0</v>
      </c>
      <c r="E16" s="706">
        <f t="shared" ca="1" si="0"/>
        <v>23615.846631300003</v>
      </c>
      <c r="F16" s="706">
        <f t="shared" si="0"/>
        <v>9239.2779124368317</v>
      </c>
      <c r="G16" s="706">
        <f t="shared" ca="1" si="0"/>
        <v>33817.269816452441</v>
      </c>
      <c r="H16" s="706">
        <f t="shared" si="0"/>
        <v>0</v>
      </c>
      <c r="I16" s="706">
        <f t="shared" si="0"/>
        <v>0</v>
      </c>
      <c r="J16" s="706">
        <f t="shared" si="0"/>
        <v>0</v>
      </c>
      <c r="K16" s="706">
        <f t="shared" si="0"/>
        <v>1.152124226519625</v>
      </c>
      <c r="L16" s="706">
        <f t="shared" si="0"/>
        <v>0</v>
      </c>
      <c r="M16" s="706">
        <f t="shared" ca="1" si="0"/>
        <v>0</v>
      </c>
      <c r="N16" s="706">
        <f t="shared" si="0"/>
        <v>0</v>
      </c>
      <c r="O16" s="706">
        <f t="shared" ca="1" si="0"/>
        <v>10775.37931981898</v>
      </c>
      <c r="P16" s="706">
        <f t="shared" si="0"/>
        <v>186.03666666666666</v>
      </c>
      <c r="Q16" s="706">
        <f t="shared" si="0"/>
        <v>724.53333333333342</v>
      </c>
      <c r="R16" s="706">
        <f t="shared" ca="1" si="0"/>
        <v>103624.53188660447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2272.8640627422324</v>
      </c>
      <c r="I19" s="979">
        <f>transport!H54</f>
        <v>0</v>
      </c>
      <c r="J19" s="979">
        <f>transport!I54</f>
        <v>0</v>
      </c>
      <c r="K19" s="979">
        <f>transport!J54</f>
        <v>0</v>
      </c>
      <c r="L19" s="979">
        <f>transport!K54</f>
        <v>0</v>
      </c>
      <c r="M19" s="979">
        <f>transport!L54</f>
        <v>0</v>
      </c>
      <c r="N19" s="979">
        <f>transport!M54</f>
        <v>129.07889378581902</v>
      </c>
      <c r="O19" s="979">
        <f>transport!N54</f>
        <v>0</v>
      </c>
      <c r="P19" s="979">
        <f>transport!O54</f>
        <v>0</v>
      </c>
      <c r="Q19" s="980">
        <f>transport!P54</f>
        <v>0</v>
      </c>
      <c r="R19" s="674">
        <f>SUM(C19:Q19)</f>
        <v>2401.9429565280516</v>
      </c>
      <c r="S19" s="67"/>
    </row>
    <row r="20" spans="1:19" s="447" customFormat="1">
      <c r="A20" s="783" t="s">
        <v>306</v>
      </c>
      <c r="B20" s="788"/>
      <c r="C20" s="979">
        <f>transport!B14</f>
        <v>25.065351608864724</v>
      </c>
      <c r="D20" s="979">
        <f>transport!C14</f>
        <v>0</v>
      </c>
      <c r="E20" s="979">
        <f>transport!D14</f>
        <v>70.273987681980785</v>
      </c>
      <c r="F20" s="979">
        <f>transport!E14</f>
        <v>118.91674694127624</v>
      </c>
      <c r="G20" s="979">
        <f>transport!F14</f>
        <v>0</v>
      </c>
      <c r="H20" s="979">
        <f>transport!G14</f>
        <v>55467.411105918356</v>
      </c>
      <c r="I20" s="979">
        <f>transport!H14</f>
        <v>11865.542098874148</v>
      </c>
      <c r="J20" s="979">
        <f>transport!I14</f>
        <v>0</v>
      </c>
      <c r="K20" s="979">
        <f>transport!J14</f>
        <v>0</v>
      </c>
      <c r="L20" s="979">
        <f>transport!K14</f>
        <v>0</v>
      </c>
      <c r="M20" s="979">
        <f>transport!L14</f>
        <v>0</v>
      </c>
      <c r="N20" s="979">
        <f>transport!M14</f>
        <v>3590.032810077601</v>
      </c>
      <c r="O20" s="979">
        <f>transport!N14</f>
        <v>0</v>
      </c>
      <c r="P20" s="979">
        <f>transport!O14</f>
        <v>0</v>
      </c>
      <c r="Q20" s="980">
        <f>transport!P14</f>
        <v>0</v>
      </c>
      <c r="R20" s="674">
        <f>SUM(C20:Q20)</f>
        <v>71137.242101102223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25.065351608864724</v>
      </c>
      <c r="D22" s="786">
        <f t="shared" ref="D22:R22" si="1">SUM(D18:D21)</f>
        <v>0</v>
      </c>
      <c r="E22" s="786">
        <f t="shared" si="1"/>
        <v>70.273987681980785</v>
      </c>
      <c r="F22" s="786">
        <f t="shared" si="1"/>
        <v>118.91674694127624</v>
      </c>
      <c r="G22" s="786">
        <f t="shared" si="1"/>
        <v>0</v>
      </c>
      <c r="H22" s="786">
        <f t="shared" si="1"/>
        <v>57740.275168660592</v>
      </c>
      <c r="I22" s="786">
        <f t="shared" si="1"/>
        <v>11865.542098874148</v>
      </c>
      <c r="J22" s="786">
        <f t="shared" si="1"/>
        <v>0</v>
      </c>
      <c r="K22" s="786">
        <f t="shared" si="1"/>
        <v>0</v>
      </c>
      <c r="L22" s="786">
        <f t="shared" si="1"/>
        <v>0</v>
      </c>
      <c r="M22" s="786">
        <f t="shared" si="1"/>
        <v>0</v>
      </c>
      <c r="N22" s="786">
        <f t="shared" si="1"/>
        <v>3719.1117038634202</v>
      </c>
      <c r="O22" s="786">
        <f t="shared" si="1"/>
        <v>0</v>
      </c>
      <c r="P22" s="786">
        <f t="shared" si="1"/>
        <v>0</v>
      </c>
      <c r="Q22" s="786">
        <f t="shared" si="1"/>
        <v>0</v>
      </c>
      <c r="R22" s="786">
        <f t="shared" si="1"/>
        <v>73539.185057630268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1086.7080000000001</v>
      </c>
      <c r="D24" s="979">
        <f>+landbouw!C8</f>
        <v>62.357142857142847</v>
      </c>
      <c r="E24" s="979">
        <f>+landbouw!D8</f>
        <v>38.705722000000002</v>
      </c>
      <c r="F24" s="979">
        <f>+landbouw!E8</f>
        <v>31.941667309337813</v>
      </c>
      <c r="G24" s="979">
        <f>+landbouw!F8</f>
        <v>4527.1668053818939</v>
      </c>
      <c r="H24" s="979">
        <f>+landbouw!G8</f>
        <v>0</v>
      </c>
      <c r="I24" s="979">
        <f>+landbouw!H8</f>
        <v>0</v>
      </c>
      <c r="J24" s="979">
        <f>+landbouw!I8</f>
        <v>0</v>
      </c>
      <c r="K24" s="979">
        <f>+landbouw!J8</f>
        <v>157.44065187856032</v>
      </c>
      <c r="L24" s="979">
        <f>+landbouw!K8</f>
        <v>0</v>
      </c>
      <c r="M24" s="979">
        <f>+landbouw!L8</f>
        <v>0</v>
      </c>
      <c r="N24" s="979">
        <f>+landbouw!M8</f>
        <v>0</v>
      </c>
      <c r="O24" s="979">
        <f>+landbouw!N8</f>
        <v>0</v>
      </c>
      <c r="P24" s="979">
        <f>+landbouw!O8</f>
        <v>0</v>
      </c>
      <c r="Q24" s="980">
        <f>+landbouw!P8</f>
        <v>0</v>
      </c>
      <c r="R24" s="674">
        <f>SUM(C24:Q24)</f>
        <v>5904.3199894269346</v>
      </c>
      <c r="S24" s="67"/>
    </row>
    <row r="25" spans="1:19" s="447" customFormat="1" ht="15" thickBot="1">
      <c r="A25" s="805" t="s">
        <v>823</v>
      </c>
      <c r="B25" s="982"/>
      <c r="C25" s="983">
        <f>IF(Onbekend_ele_kWh="---",0,Onbekend_ele_kWh)/1000+IF(REST_rest_ele_kWh="---",0,REST_rest_ele_kWh)/1000</f>
        <v>281.9631</v>
      </c>
      <c r="D25" s="983"/>
      <c r="E25" s="983">
        <f>IF(onbekend_gas_kWh="---",0,onbekend_gas_kWh)/1000+IF(REST_rest_gas_kWh="---",0,REST_rest_gas_kWh)/1000</f>
        <v>1320.7556999999999</v>
      </c>
      <c r="F25" s="983"/>
      <c r="G25" s="983"/>
      <c r="H25" s="983"/>
      <c r="I25" s="983"/>
      <c r="J25" s="983"/>
      <c r="K25" s="983"/>
      <c r="L25" s="983"/>
      <c r="M25" s="983"/>
      <c r="N25" s="983"/>
      <c r="O25" s="983"/>
      <c r="P25" s="983"/>
      <c r="Q25" s="984"/>
      <c r="R25" s="674">
        <f>SUM(C25:Q25)</f>
        <v>1602.7187999999999</v>
      </c>
      <c r="S25" s="67"/>
    </row>
    <row r="26" spans="1:19" s="447" customFormat="1" ht="15.75" thickBot="1">
      <c r="A26" s="679" t="s">
        <v>824</v>
      </c>
      <c r="B26" s="791"/>
      <c r="C26" s="786">
        <f>SUM(C24:C25)</f>
        <v>1368.6711</v>
      </c>
      <c r="D26" s="786">
        <f t="shared" ref="D26:R26" si="2">SUM(D24:D25)</f>
        <v>62.357142857142847</v>
      </c>
      <c r="E26" s="786">
        <f t="shared" si="2"/>
        <v>1359.4614219999999</v>
      </c>
      <c r="F26" s="786">
        <f t="shared" si="2"/>
        <v>31.941667309337813</v>
      </c>
      <c r="G26" s="786">
        <f t="shared" si="2"/>
        <v>4527.1668053818939</v>
      </c>
      <c r="H26" s="786">
        <f t="shared" si="2"/>
        <v>0</v>
      </c>
      <c r="I26" s="786">
        <f t="shared" si="2"/>
        <v>0</v>
      </c>
      <c r="J26" s="786">
        <f t="shared" si="2"/>
        <v>0</v>
      </c>
      <c r="K26" s="786">
        <f t="shared" si="2"/>
        <v>157.44065187856032</v>
      </c>
      <c r="L26" s="786">
        <f t="shared" si="2"/>
        <v>0</v>
      </c>
      <c r="M26" s="786">
        <f t="shared" si="2"/>
        <v>0</v>
      </c>
      <c r="N26" s="786">
        <f t="shared" si="2"/>
        <v>0</v>
      </c>
      <c r="O26" s="786">
        <f t="shared" si="2"/>
        <v>0</v>
      </c>
      <c r="P26" s="786">
        <f t="shared" si="2"/>
        <v>0</v>
      </c>
      <c r="Q26" s="786">
        <f t="shared" si="2"/>
        <v>0</v>
      </c>
      <c r="R26" s="786">
        <f t="shared" si="2"/>
        <v>7507.0387894269343</v>
      </c>
      <c r="S26" s="67"/>
    </row>
    <row r="27" spans="1:19" s="447" customFormat="1" ht="17.25" thickTop="1" thickBot="1">
      <c r="A27" s="680" t="s">
        <v>115</v>
      </c>
      <c r="B27" s="779"/>
      <c r="C27" s="681">
        <f ca="1">C22+C16+C26</f>
        <v>26658.772533978557</v>
      </c>
      <c r="D27" s="681">
        <f t="shared" ref="D27:R27" ca="1" si="3">D22+D16+D26</f>
        <v>62.357142857142847</v>
      </c>
      <c r="E27" s="681">
        <f t="shared" ca="1" si="3"/>
        <v>25045.582040981983</v>
      </c>
      <c r="F27" s="681">
        <f t="shared" si="3"/>
        <v>9390.1363266874469</v>
      </c>
      <c r="G27" s="681">
        <f t="shared" ca="1" si="3"/>
        <v>38344.436621834335</v>
      </c>
      <c r="H27" s="681">
        <f t="shared" si="3"/>
        <v>57740.275168660592</v>
      </c>
      <c r="I27" s="681">
        <f t="shared" si="3"/>
        <v>11865.542098874148</v>
      </c>
      <c r="J27" s="681">
        <f t="shared" si="3"/>
        <v>0</v>
      </c>
      <c r="K27" s="681">
        <f t="shared" si="3"/>
        <v>158.59277610507993</v>
      </c>
      <c r="L27" s="681">
        <f t="shared" si="3"/>
        <v>0</v>
      </c>
      <c r="M27" s="681">
        <f t="shared" ca="1" si="3"/>
        <v>0</v>
      </c>
      <c r="N27" s="681">
        <f t="shared" si="3"/>
        <v>3719.1117038634202</v>
      </c>
      <c r="O27" s="681">
        <f t="shared" ca="1" si="3"/>
        <v>10775.37931981898</v>
      </c>
      <c r="P27" s="681">
        <f t="shared" si="3"/>
        <v>186.03666666666666</v>
      </c>
      <c r="Q27" s="681">
        <f t="shared" si="3"/>
        <v>724.53333333333342</v>
      </c>
      <c r="R27" s="681">
        <f t="shared" ca="1" si="3"/>
        <v>184670.75573366167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1429.7683643757646</v>
      </c>
      <c r="D40" s="979">
        <f ca="1">tertiair!C20</f>
        <v>0</v>
      </c>
      <c r="E40" s="979">
        <f ca="1">tertiair!D20</f>
        <v>1067.8532408852</v>
      </c>
      <c r="F40" s="979">
        <f>tertiair!E20</f>
        <v>22.109963201072294</v>
      </c>
      <c r="G40" s="979">
        <f ca="1">tertiair!F20</f>
        <v>301.11360935681023</v>
      </c>
      <c r="H40" s="979">
        <f>tertiair!G20</f>
        <v>0</v>
      </c>
      <c r="I40" s="979">
        <f>tertiair!H20</f>
        <v>0</v>
      </c>
      <c r="J40" s="979">
        <f>tertiair!I20</f>
        <v>0</v>
      </c>
      <c r="K40" s="979">
        <f>tertiair!J20</f>
        <v>3.6436765234201473E-3</v>
      </c>
      <c r="L40" s="979">
        <f>tertiair!K20</f>
        <v>0</v>
      </c>
      <c r="M40" s="979">
        <f ca="1">tertiair!L20</f>
        <v>0</v>
      </c>
      <c r="N40" s="979">
        <f>tertiair!M20</f>
        <v>0</v>
      </c>
      <c r="O40" s="979">
        <f ca="1">tertiair!N20</f>
        <v>0</v>
      </c>
      <c r="P40" s="979">
        <f>tertiair!O20</f>
        <v>0</v>
      </c>
      <c r="Q40" s="748">
        <f>tertiair!P20</f>
        <v>0</v>
      </c>
      <c r="R40" s="824">
        <f t="shared" ca="1" si="4"/>
        <v>2820.8488214953704</v>
      </c>
    </row>
    <row r="41" spans="1:18">
      <c r="A41" s="796" t="s">
        <v>224</v>
      </c>
      <c r="B41" s="803"/>
      <c r="C41" s="979">
        <f ca="1">huishoudens!B12</f>
        <v>3151.6955415055377</v>
      </c>
      <c r="D41" s="979">
        <f ca="1">huishoudens!C12</f>
        <v>0</v>
      </c>
      <c r="E41" s="979">
        <f>huishoudens!D12</f>
        <v>3638.3837290174006</v>
      </c>
      <c r="F41" s="979">
        <f>huishoudens!E12</f>
        <v>2022.8509741804653</v>
      </c>
      <c r="G41" s="979">
        <f>huishoudens!F12</f>
        <v>8538.5926612671119</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17351.522905970516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405.00932688836076</v>
      </c>
      <c r="D43" s="979">
        <f ca="1">industrie!C22</f>
        <v>0</v>
      </c>
      <c r="E43" s="979">
        <f>industrie!D22</f>
        <v>64.164049620000014</v>
      </c>
      <c r="F43" s="979">
        <f>industrie!E22</f>
        <v>52.355148741623687</v>
      </c>
      <c r="G43" s="979">
        <f>industrie!F22</f>
        <v>189.50477036888014</v>
      </c>
      <c r="H43" s="979">
        <f>industrie!G22</f>
        <v>0</v>
      </c>
      <c r="I43" s="979">
        <f>industrie!H22</f>
        <v>0</v>
      </c>
      <c r="J43" s="979">
        <f>industrie!I22</f>
        <v>0</v>
      </c>
      <c r="K43" s="979">
        <f>industrie!J22</f>
        <v>0.40420829966452709</v>
      </c>
      <c r="L43" s="979">
        <f>industrie!K22</f>
        <v>0</v>
      </c>
      <c r="M43" s="979">
        <f>industrie!L22</f>
        <v>0</v>
      </c>
      <c r="N43" s="979">
        <f>industrie!M22</f>
        <v>0</v>
      </c>
      <c r="O43" s="979">
        <f>industrie!N22</f>
        <v>0</v>
      </c>
      <c r="P43" s="979">
        <f>industrie!O22</f>
        <v>0</v>
      </c>
      <c r="Q43" s="748">
        <f>industrie!P22</f>
        <v>0</v>
      </c>
      <c r="R43" s="823">
        <f t="shared" ca="1" si="4"/>
        <v>711.43750391852916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4986.4732327696638</v>
      </c>
      <c r="D46" s="706">
        <f t="shared" ref="D46:Q46" ca="1" si="5">SUM(D39:D45)</f>
        <v>0</v>
      </c>
      <c r="E46" s="706">
        <f t="shared" ca="1" si="5"/>
        <v>4770.4010195226001</v>
      </c>
      <c r="F46" s="706">
        <f t="shared" si="5"/>
        <v>2097.3160861231613</v>
      </c>
      <c r="G46" s="706">
        <f t="shared" ca="1" si="5"/>
        <v>9029.2110409928027</v>
      </c>
      <c r="H46" s="706">
        <f t="shared" si="5"/>
        <v>0</v>
      </c>
      <c r="I46" s="706">
        <f t="shared" si="5"/>
        <v>0</v>
      </c>
      <c r="J46" s="706">
        <f t="shared" si="5"/>
        <v>0</v>
      </c>
      <c r="K46" s="706">
        <f t="shared" si="5"/>
        <v>0.40785197618794722</v>
      </c>
      <c r="L46" s="706">
        <f t="shared" si="5"/>
        <v>0</v>
      </c>
      <c r="M46" s="706">
        <f t="shared" ca="1" si="5"/>
        <v>0</v>
      </c>
      <c r="N46" s="706">
        <f t="shared" si="5"/>
        <v>0</v>
      </c>
      <c r="O46" s="706">
        <f t="shared" ca="1" si="5"/>
        <v>0</v>
      </c>
      <c r="P46" s="706">
        <f t="shared" si="5"/>
        <v>0</v>
      </c>
      <c r="Q46" s="706">
        <f t="shared" si="5"/>
        <v>0</v>
      </c>
      <c r="R46" s="706">
        <f ca="1">SUM(R39:R45)</f>
        <v>20883.809231384414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606.85470475217608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606.85470475217608</v>
      </c>
    </row>
    <row r="50" spans="1:18">
      <c r="A50" s="799" t="s">
        <v>306</v>
      </c>
      <c r="B50" s="809"/>
      <c r="C50" s="677">
        <f ca="1">transport!B18</f>
        <v>4.9470621953626335</v>
      </c>
      <c r="D50" s="677">
        <f>transport!C18</f>
        <v>0</v>
      </c>
      <c r="E50" s="677">
        <f>transport!D18</f>
        <v>14.19534551176012</v>
      </c>
      <c r="F50" s="677">
        <f>transport!E18</f>
        <v>26.994101555669708</v>
      </c>
      <c r="G50" s="677">
        <f>transport!F18</f>
        <v>0</v>
      </c>
      <c r="H50" s="677">
        <f>transport!G18</f>
        <v>14809.798765280202</v>
      </c>
      <c r="I50" s="677">
        <f>transport!H18</f>
        <v>2954.5199826196626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17810.455257162659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4.9470621953626335</v>
      </c>
      <c r="D52" s="706">
        <f t="shared" ref="D52:Q52" ca="1" si="6">SUM(D48:D51)</f>
        <v>0</v>
      </c>
      <c r="E52" s="706">
        <f t="shared" si="6"/>
        <v>14.19534551176012</v>
      </c>
      <c r="F52" s="706">
        <f t="shared" si="6"/>
        <v>26.994101555669708</v>
      </c>
      <c r="G52" s="706">
        <f t="shared" si="6"/>
        <v>0</v>
      </c>
      <c r="H52" s="706">
        <f t="shared" si="6"/>
        <v>15416.653470032379</v>
      </c>
      <c r="I52" s="706">
        <f t="shared" si="6"/>
        <v>2954.5199826196626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18417.309961914834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214.47981851955481</v>
      </c>
      <c r="D54" s="677">
        <f ca="1">+landbouw!C12</f>
        <v>0</v>
      </c>
      <c r="E54" s="677">
        <f>+landbouw!D12</f>
        <v>7.8185558440000005</v>
      </c>
      <c r="F54" s="677">
        <f>+landbouw!E12</f>
        <v>7.2507584792196837</v>
      </c>
      <c r="G54" s="677">
        <f>+landbouw!F12</f>
        <v>1208.7535370369658</v>
      </c>
      <c r="H54" s="677">
        <f>+landbouw!G12</f>
        <v>0</v>
      </c>
      <c r="I54" s="677">
        <f>+landbouw!H12</f>
        <v>0</v>
      </c>
      <c r="J54" s="677">
        <f>+landbouw!I12</f>
        <v>0</v>
      </c>
      <c r="K54" s="677">
        <f>+landbouw!J12</f>
        <v>55.733990765010347</v>
      </c>
      <c r="L54" s="677">
        <f>+landbouw!K12</f>
        <v>0</v>
      </c>
      <c r="M54" s="677">
        <f>+landbouw!L12</f>
        <v>0</v>
      </c>
      <c r="N54" s="677">
        <f>+landbouw!M12</f>
        <v>0</v>
      </c>
      <c r="O54" s="677">
        <f>+landbouw!N12</f>
        <v>0</v>
      </c>
      <c r="P54" s="677">
        <f>+landbouw!O12</f>
        <v>0</v>
      </c>
      <c r="Q54" s="678">
        <f>+landbouw!P12</f>
        <v>0</v>
      </c>
      <c r="R54" s="705">
        <f ca="1">SUM(C54:Q54)</f>
        <v>1494.0366606447506</v>
      </c>
    </row>
    <row r="55" spans="1:18" ht="15" thickBot="1">
      <c r="A55" s="799" t="s">
        <v>823</v>
      </c>
      <c r="B55" s="809"/>
      <c r="C55" s="677">
        <f ca="1">C25*'EF ele_warmte'!B12</f>
        <v>55.650086791678241</v>
      </c>
      <c r="D55" s="677"/>
      <c r="E55" s="677">
        <f>E25*EF_CO2_aardgas</f>
        <v>266.79265140000001</v>
      </c>
      <c r="F55" s="677"/>
      <c r="G55" s="677"/>
      <c r="H55" s="677"/>
      <c r="I55" s="677"/>
      <c r="J55" s="677"/>
      <c r="K55" s="677"/>
      <c r="L55" s="677"/>
      <c r="M55" s="677"/>
      <c r="N55" s="677"/>
      <c r="O55" s="677"/>
      <c r="P55" s="677"/>
      <c r="Q55" s="678"/>
      <c r="R55" s="705">
        <f ca="1">SUM(C55:Q55)</f>
        <v>322.44273819167825</v>
      </c>
    </row>
    <row r="56" spans="1:18" ht="15.75" thickBot="1">
      <c r="A56" s="797" t="s">
        <v>824</v>
      </c>
      <c r="B56" s="810"/>
      <c r="C56" s="706">
        <f ca="1">SUM(C54:C55)</f>
        <v>270.12990531123307</v>
      </c>
      <c r="D56" s="706">
        <f t="shared" ref="D56:Q56" ca="1" si="7">SUM(D54:D55)</f>
        <v>0</v>
      </c>
      <c r="E56" s="706">
        <f t="shared" si="7"/>
        <v>274.61120724400001</v>
      </c>
      <c r="F56" s="706">
        <f t="shared" si="7"/>
        <v>7.2507584792196837</v>
      </c>
      <c r="G56" s="706">
        <f t="shared" si="7"/>
        <v>1208.7535370369658</v>
      </c>
      <c r="H56" s="706">
        <f t="shared" si="7"/>
        <v>0</v>
      </c>
      <c r="I56" s="706">
        <f t="shared" si="7"/>
        <v>0</v>
      </c>
      <c r="J56" s="706">
        <f t="shared" si="7"/>
        <v>0</v>
      </c>
      <c r="K56" s="706">
        <f t="shared" si="7"/>
        <v>55.733990765010347</v>
      </c>
      <c r="L56" s="706">
        <f t="shared" si="7"/>
        <v>0</v>
      </c>
      <c r="M56" s="706">
        <f t="shared" si="7"/>
        <v>0</v>
      </c>
      <c r="N56" s="706">
        <f t="shared" si="7"/>
        <v>0</v>
      </c>
      <c r="O56" s="706">
        <f t="shared" si="7"/>
        <v>0</v>
      </c>
      <c r="P56" s="706">
        <f t="shared" si="7"/>
        <v>0</v>
      </c>
      <c r="Q56" s="707">
        <f t="shared" si="7"/>
        <v>0</v>
      </c>
      <c r="R56" s="708">
        <f ca="1">SUM(R54:R55)</f>
        <v>1816.4793988364288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5261.5502002762596</v>
      </c>
      <c r="D61" s="714">
        <f t="shared" ref="D61:Q61" ca="1" si="8">D46+D52+D56</f>
        <v>0</v>
      </c>
      <c r="E61" s="714">
        <f t="shared" ca="1" si="8"/>
        <v>5059.2075722783602</v>
      </c>
      <c r="F61" s="714">
        <f t="shared" si="8"/>
        <v>2131.5609461580507</v>
      </c>
      <c r="G61" s="714">
        <f t="shared" ca="1" si="8"/>
        <v>10237.964578029769</v>
      </c>
      <c r="H61" s="714">
        <f t="shared" si="8"/>
        <v>15416.653470032379</v>
      </c>
      <c r="I61" s="714">
        <f t="shared" si="8"/>
        <v>2954.5199826196626</v>
      </c>
      <c r="J61" s="714">
        <f t="shared" si="8"/>
        <v>0</v>
      </c>
      <c r="K61" s="714">
        <f t="shared" si="8"/>
        <v>56.141842741198296</v>
      </c>
      <c r="L61" s="714">
        <f t="shared" si="8"/>
        <v>0</v>
      </c>
      <c r="M61" s="714">
        <f t="shared" ca="1" si="8"/>
        <v>0</v>
      </c>
      <c r="N61" s="714">
        <f t="shared" si="8"/>
        <v>0</v>
      </c>
      <c r="O61" s="714">
        <f t="shared" ca="1" si="8"/>
        <v>0</v>
      </c>
      <c r="P61" s="714">
        <f t="shared" si="8"/>
        <v>0</v>
      </c>
      <c r="Q61" s="714">
        <f t="shared" si="8"/>
        <v>0</v>
      </c>
      <c r="R61" s="714">
        <f ca="1">R46+R52+R56</f>
        <v>41117.598592135677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0.19736655892802374</v>
      </c>
      <c r="D63" s="755">
        <f t="shared" ca="1" si="9"/>
        <v>0</v>
      </c>
      <c r="E63" s="990">
        <f t="shared" ca="1" si="9"/>
        <v>0.20199999999999999</v>
      </c>
      <c r="F63" s="755">
        <f t="shared" si="9"/>
        <v>0.22700000000000004</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2807.2030757149473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43.649999999999991</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2850.8530757149474</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2807.2030757149473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43.649999999999991</v>
      </c>
      <c r="C8" s="544">
        <f>B48</f>
        <v>0</v>
      </c>
      <c r="D8" s="1010"/>
      <c r="E8" s="1010">
        <f>E48</f>
        <v>0</v>
      </c>
      <c r="F8" s="1011"/>
      <c r="G8" s="545"/>
      <c r="H8" s="1010">
        <f>I48</f>
        <v>0</v>
      </c>
      <c r="I8" s="1010">
        <f>G48+F48</f>
        <v>0</v>
      </c>
      <c r="J8" s="1010">
        <f>H48+D48+C48</f>
        <v>51.35294117647058</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2850.8530757149474</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62.357142857142847</v>
      </c>
      <c r="C17" s="569">
        <f>B49</f>
        <v>0</v>
      </c>
      <c r="D17" s="570"/>
      <c r="E17" s="570">
        <f>E49</f>
        <v>0</v>
      </c>
      <c r="F17" s="1016"/>
      <c r="G17" s="571"/>
      <c r="H17" s="569">
        <f>I49</f>
        <v>0</v>
      </c>
      <c r="I17" s="570">
        <f>G49+F49</f>
        <v>0</v>
      </c>
      <c r="J17" s="570">
        <f>H49+D49+C49</f>
        <v>73.361344537815114</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23024</v>
      </c>
      <c r="C28" s="770">
        <v>1755</v>
      </c>
      <c r="D28" s="627" t="s">
        <v>887</v>
      </c>
      <c r="E28" s="626" t="s">
        <v>888</v>
      </c>
      <c r="F28" s="626" t="s">
        <v>889</v>
      </c>
      <c r="G28" s="626" t="s">
        <v>890</v>
      </c>
      <c r="H28" s="626" t="s">
        <v>891</v>
      </c>
      <c r="I28" s="626" t="s">
        <v>888</v>
      </c>
      <c r="J28" s="769">
        <v>41768</v>
      </c>
      <c r="K28" s="769">
        <v>41768</v>
      </c>
      <c r="L28" s="626" t="s">
        <v>892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15968.741404945447</v>
      </c>
      <c r="C4" s="451">
        <f>huishoudens!C8</f>
        <v>0</v>
      </c>
      <c r="D4" s="451">
        <f>huishoudens!D8</f>
        <v>18011.800638700002</v>
      </c>
      <c r="E4" s="451">
        <f>huishoudens!E8</f>
        <v>8911.2377717201107</v>
      </c>
      <c r="F4" s="451">
        <f>huishoudens!F8</f>
        <v>31979.747795007908</v>
      </c>
      <c r="G4" s="451">
        <f>huishoudens!G8</f>
        <v>0</v>
      </c>
      <c r="H4" s="451">
        <f>huishoudens!H8</f>
        <v>0</v>
      </c>
      <c r="I4" s="451">
        <f>huishoudens!I8</f>
        <v>0</v>
      </c>
      <c r="J4" s="451">
        <f>huishoudens!J8</f>
        <v>0</v>
      </c>
      <c r="K4" s="451">
        <f>huishoudens!K8</f>
        <v>0</v>
      </c>
      <c r="L4" s="451">
        <f>huishoudens!L8</f>
        <v>0</v>
      </c>
      <c r="M4" s="451">
        <f>huishoudens!M8</f>
        <v>0</v>
      </c>
      <c r="N4" s="451">
        <f>huishoudens!N8</f>
        <v>10212.120542679018</v>
      </c>
      <c r="O4" s="451">
        <f>huishoudens!O8</f>
        <v>186.03666666666666</v>
      </c>
      <c r="P4" s="452">
        <f>huishoudens!P8</f>
        <v>705.4666666666667</v>
      </c>
      <c r="Q4" s="453">
        <f>SUM(B4:P4)</f>
        <v>85975.151486385817</v>
      </c>
    </row>
    <row r="5" spans="1:17">
      <c r="A5" s="450" t="s">
        <v>155</v>
      </c>
      <c r="B5" s="451">
        <f ca="1">tertiair!B16</f>
        <v>6710.7930604242447</v>
      </c>
      <c r="C5" s="451">
        <f ca="1">tertiair!C16</f>
        <v>0</v>
      </c>
      <c r="D5" s="451">
        <f ca="1">tertiair!D16</f>
        <v>5286.4021825999998</v>
      </c>
      <c r="E5" s="451">
        <f>tertiair!E16</f>
        <v>97.400718947455033</v>
      </c>
      <c r="F5" s="451">
        <f ca="1">tertiair!F16</f>
        <v>1127.7663271790645</v>
      </c>
      <c r="G5" s="451">
        <f>tertiair!G16</f>
        <v>0</v>
      </c>
      <c r="H5" s="451">
        <f>tertiair!H16</f>
        <v>0</v>
      </c>
      <c r="I5" s="451">
        <f>tertiair!I16</f>
        <v>0</v>
      </c>
      <c r="J5" s="451">
        <f>tertiair!J16</f>
        <v>1.0292871535085162E-2</v>
      </c>
      <c r="K5" s="451">
        <f>tertiair!K16</f>
        <v>0</v>
      </c>
      <c r="L5" s="451">
        <f ca="1">tertiair!L16</f>
        <v>0</v>
      </c>
      <c r="M5" s="451">
        <f>tertiair!M16</f>
        <v>0</v>
      </c>
      <c r="N5" s="451">
        <f ca="1">tertiair!N16</f>
        <v>425.94193695178427</v>
      </c>
      <c r="O5" s="451">
        <f>tertiair!O16</f>
        <v>0</v>
      </c>
      <c r="P5" s="452">
        <f>tertiair!P16</f>
        <v>19.066666666666666</v>
      </c>
      <c r="Q5" s="450">
        <f t="shared" ref="Q5:Q14" ca="1" si="0">SUM(B5:P5)</f>
        <v>13667.38118564075</v>
      </c>
    </row>
    <row r="6" spans="1:17">
      <c r="A6" s="450" t="s">
        <v>193</v>
      </c>
      <c r="B6" s="451">
        <f>'openbare verlichting'!B8</f>
        <v>533.43499999999995</v>
      </c>
      <c r="C6" s="451"/>
      <c r="D6" s="451"/>
      <c r="E6" s="451"/>
      <c r="F6" s="451"/>
      <c r="G6" s="451"/>
      <c r="H6" s="451"/>
      <c r="I6" s="451"/>
      <c r="J6" s="451"/>
      <c r="K6" s="451"/>
      <c r="L6" s="451"/>
      <c r="M6" s="451"/>
      <c r="N6" s="451"/>
      <c r="O6" s="451"/>
      <c r="P6" s="452"/>
      <c r="Q6" s="450">
        <f t="shared" si="0"/>
        <v>533.43499999999995</v>
      </c>
    </row>
    <row r="7" spans="1:17">
      <c r="A7" s="450" t="s">
        <v>111</v>
      </c>
      <c r="B7" s="451">
        <f>landbouw!B8</f>
        <v>1086.7080000000001</v>
      </c>
      <c r="C7" s="451">
        <f>landbouw!C8</f>
        <v>62.357142857142847</v>
      </c>
      <c r="D7" s="451">
        <f>landbouw!D8</f>
        <v>38.705722000000002</v>
      </c>
      <c r="E7" s="451">
        <f>landbouw!E8</f>
        <v>31.941667309337813</v>
      </c>
      <c r="F7" s="451">
        <f>landbouw!F8</f>
        <v>4527.1668053818939</v>
      </c>
      <c r="G7" s="451">
        <f>landbouw!G8</f>
        <v>0</v>
      </c>
      <c r="H7" s="451">
        <f>landbouw!H8</f>
        <v>0</v>
      </c>
      <c r="I7" s="451">
        <f>landbouw!I8</f>
        <v>0</v>
      </c>
      <c r="J7" s="451">
        <f>landbouw!J8</f>
        <v>157.44065187856032</v>
      </c>
      <c r="K7" s="451">
        <f>landbouw!K8</f>
        <v>0</v>
      </c>
      <c r="L7" s="451">
        <f>landbouw!L8</f>
        <v>0</v>
      </c>
      <c r="M7" s="451">
        <f>landbouw!M8</f>
        <v>0</v>
      </c>
      <c r="N7" s="451">
        <f>landbouw!N8</f>
        <v>0</v>
      </c>
      <c r="O7" s="451">
        <f>landbouw!O8</f>
        <v>0</v>
      </c>
      <c r="P7" s="452">
        <f>landbouw!P8</f>
        <v>0</v>
      </c>
      <c r="Q7" s="450">
        <f t="shared" si="0"/>
        <v>5904.3199894269346</v>
      </c>
    </row>
    <row r="8" spans="1:17">
      <c r="A8" s="450" t="s">
        <v>634</v>
      </c>
      <c r="B8" s="451">
        <f>industrie!B18</f>
        <v>2052.066617</v>
      </c>
      <c r="C8" s="451">
        <f>industrie!C18</f>
        <v>0</v>
      </c>
      <c r="D8" s="451">
        <f>industrie!D18</f>
        <v>317.64381000000003</v>
      </c>
      <c r="E8" s="451">
        <f>industrie!E18</f>
        <v>230.63942176926733</v>
      </c>
      <c r="F8" s="451">
        <f>industrie!F18</f>
        <v>709.75569426546872</v>
      </c>
      <c r="G8" s="451">
        <f>industrie!G18</f>
        <v>0</v>
      </c>
      <c r="H8" s="451">
        <f>industrie!H18</f>
        <v>0</v>
      </c>
      <c r="I8" s="451">
        <f>industrie!I18</f>
        <v>0</v>
      </c>
      <c r="J8" s="451">
        <f>industrie!J18</f>
        <v>1.1418313549845398</v>
      </c>
      <c r="K8" s="451">
        <f>industrie!K18</f>
        <v>0</v>
      </c>
      <c r="L8" s="451">
        <f>industrie!L18</f>
        <v>0</v>
      </c>
      <c r="M8" s="451">
        <f>industrie!M18</f>
        <v>0</v>
      </c>
      <c r="N8" s="451">
        <f>industrie!N18</f>
        <v>137.31684018817737</v>
      </c>
      <c r="O8" s="451">
        <f>industrie!O18</f>
        <v>0</v>
      </c>
      <c r="P8" s="452">
        <f>industrie!P18</f>
        <v>0</v>
      </c>
      <c r="Q8" s="450">
        <f t="shared" si="0"/>
        <v>3448.5642145778975</v>
      </c>
    </row>
    <row r="9" spans="1:17" s="456" customFormat="1">
      <c r="A9" s="454" t="s">
        <v>560</v>
      </c>
      <c r="B9" s="455">
        <f>transport!B14</f>
        <v>25.065351608864724</v>
      </c>
      <c r="C9" s="455">
        <f>transport!C14</f>
        <v>0</v>
      </c>
      <c r="D9" s="455">
        <f>transport!D14</f>
        <v>70.273987681980785</v>
      </c>
      <c r="E9" s="455">
        <f>transport!E14</f>
        <v>118.91674694127624</v>
      </c>
      <c r="F9" s="455">
        <f>transport!F14</f>
        <v>0</v>
      </c>
      <c r="G9" s="455">
        <f>transport!G14</f>
        <v>55467.411105918356</v>
      </c>
      <c r="H9" s="455">
        <f>transport!H14</f>
        <v>11865.542098874148</v>
      </c>
      <c r="I9" s="455">
        <f>transport!I14</f>
        <v>0</v>
      </c>
      <c r="J9" s="455">
        <f>transport!J14</f>
        <v>0</v>
      </c>
      <c r="K9" s="455">
        <f>transport!K14</f>
        <v>0</v>
      </c>
      <c r="L9" s="455">
        <f>transport!L14</f>
        <v>0</v>
      </c>
      <c r="M9" s="455">
        <f>transport!M14</f>
        <v>3590.032810077601</v>
      </c>
      <c r="N9" s="455">
        <f>transport!N14</f>
        <v>0</v>
      </c>
      <c r="O9" s="455">
        <f>transport!O14</f>
        <v>0</v>
      </c>
      <c r="P9" s="455">
        <f>transport!P14</f>
        <v>0</v>
      </c>
      <c r="Q9" s="454">
        <f>SUM(B9:P9)</f>
        <v>71137.242101102223</v>
      </c>
    </row>
    <row r="10" spans="1:17">
      <c r="A10" s="450" t="s">
        <v>550</v>
      </c>
      <c r="B10" s="451">
        <f>transport!B54</f>
        <v>0</v>
      </c>
      <c r="C10" s="451">
        <f>transport!C54</f>
        <v>0</v>
      </c>
      <c r="D10" s="451">
        <f>transport!D54</f>
        <v>0</v>
      </c>
      <c r="E10" s="451">
        <f>transport!E54</f>
        <v>0</v>
      </c>
      <c r="F10" s="451">
        <f>transport!F54</f>
        <v>0</v>
      </c>
      <c r="G10" s="451">
        <f>transport!G54</f>
        <v>2272.8640627422324</v>
      </c>
      <c r="H10" s="451">
        <f>transport!H54</f>
        <v>0</v>
      </c>
      <c r="I10" s="451">
        <f>transport!I54</f>
        <v>0</v>
      </c>
      <c r="J10" s="451">
        <f>transport!J54</f>
        <v>0</v>
      </c>
      <c r="K10" s="451">
        <f>transport!K54</f>
        <v>0</v>
      </c>
      <c r="L10" s="451">
        <f>transport!L54</f>
        <v>0</v>
      </c>
      <c r="M10" s="451">
        <f>transport!M54</f>
        <v>129.07889378581902</v>
      </c>
      <c r="N10" s="451">
        <f>transport!N54</f>
        <v>0</v>
      </c>
      <c r="O10" s="451">
        <f>transport!O54</f>
        <v>0</v>
      </c>
      <c r="P10" s="452">
        <f>transport!P54</f>
        <v>0</v>
      </c>
      <c r="Q10" s="450">
        <f t="shared" si="0"/>
        <v>2401.9429565280516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281.9631</v>
      </c>
      <c r="C14" s="458"/>
      <c r="D14" s="458">
        <f>'SEAP template'!E25</f>
        <v>1320.7556999999999</v>
      </c>
      <c r="E14" s="458"/>
      <c r="F14" s="458"/>
      <c r="G14" s="458"/>
      <c r="H14" s="458"/>
      <c r="I14" s="458"/>
      <c r="J14" s="458"/>
      <c r="K14" s="458"/>
      <c r="L14" s="458"/>
      <c r="M14" s="458"/>
      <c r="N14" s="458"/>
      <c r="O14" s="458"/>
      <c r="P14" s="459"/>
      <c r="Q14" s="450">
        <f t="shared" si="0"/>
        <v>1602.7187999999999</v>
      </c>
    </row>
    <row r="15" spans="1:17" s="460" customFormat="1">
      <c r="A15" s="1005" t="s">
        <v>554</v>
      </c>
      <c r="B15" s="953">
        <f ca="1">SUM(B4:B14)</f>
        <v>26658.772533978557</v>
      </c>
      <c r="C15" s="953">
        <f t="shared" ref="C15:Q15" ca="1" si="1">SUM(C4:C14)</f>
        <v>62.357142857142847</v>
      </c>
      <c r="D15" s="953">
        <f t="shared" ca="1" si="1"/>
        <v>25045.582040981983</v>
      </c>
      <c r="E15" s="953">
        <f t="shared" si="1"/>
        <v>9390.1363266874469</v>
      </c>
      <c r="F15" s="953">
        <f t="shared" ca="1" si="1"/>
        <v>38344.436621834335</v>
      </c>
      <c r="G15" s="953">
        <f t="shared" si="1"/>
        <v>57740.275168660592</v>
      </c>
      <c r="H15" s="953">
        <f t="shared" si="1"/>
        <v>11865.542098874148</v>
      </c>
      <c r="I15" s="953">
        <f t="shared" si="1"/>
        <v>0</v>
      </c>
      <c r="J15" s="953">
        <f t="shared" si="1"/>
        <v>158.59277610507993</v>
      </c>
      <c r="K15" s="953">
        <f t="shared" si="1"/>
        <v>0</v>
      </c>
      <c r="L15" s="953">
        <f t="shared" ca="1" si="1"/>
        <v>0</v>
      </c>
      <c r="M15" s="953">
        <f t="shared" si="1"/>
        <v>3719.1117038634202</v>
      </c>
      <c r="N15" s="953">
        <f t="shared" ca="1" si="1"/>
        <v>10775.37931981898</v>
      </c>
      <c r="O15" s="953">
        <f t="shared" si="1"/>
        <v>186.03666666666666</v>
      </c>
      <c r="P15" s="953">
        <f t="shared" si="1"/>
        <v>724.53333333333342</v>
      </c>
      <c r="Q15" s="953">
        <f t="shared" ca="1" si="1"/>
        <v>184670.75573366167</v>
      </c>
    </row>
    <row r="17" spans="1:17">
      <c r="A17" s="461" t="s">
        <v>555</v>
      </c>
      <c r="B17" s="760">
        <f ca="1">huishoudens!B10</f>
        <v>0.19736655892802371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3151.6955415055377</v>
      </c>
      <c r="C22" s="451">
        <f t="shared" ref="C22:C32" ca="1" si="3">C4*$C$17</f>
        <v>0</v>
      </c>
      <c r="D22" s="451">
        <f t="shared" ref="D22:D32" si="4">D4*$D$17</f>
        <v>3638.3837290174006</v>
      </c>
      <c r="E22" s="451">
        <f t="shared" ref="E22:E32" si="5">E4*$E$17</f>
        <v>2022.8509741804653</v>
      </c>
      <c r="F22" s="451">
        <f t="shared" ref="F22:F32" si="6">F4*$F$17</f>
        <v>8538.5926612671119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17351.522905970516</v>
      </c>
    </row>
    <row r="23" spans="1:17">
      <c r="A23" s="450" t="s">
        <v>155</v>
      </c>
      <c r="B23" s="451">
        <f t="shared" ca="1" si="2"/>
        <v>1324.4861340139942</v>
      </c>
      <c r="C23" s="451">
        <f t="shared" ca="1" si="3"/>
        <v>0</v>
      </c>
      <c r="D23" s="451">
        <f t="shared" ca="1" si="4"/>
        <v>1067.8532408852</v>
      </c>
      <c r="E23" s="451">
        <f t="shared" si="5"/>
        <v>22.109963201072294</v>
      </c>
      <c r="F23" s="451">
        <f t="shared" ca="1" si="6"/>
        <v>301.11360935681023</v>
      </c>
      <c r="G23" s="451">
        <f t="shared" si="7"/>
        <v>0</v>
      </c>
      <c r="H23" s="451">
        <f t="shared" si="8"/>
        <v>0</v>
      </c>
      <c r="I23" s="451">
        <f t="shared" si="9"/>
        <v>0</v>
      </c>
      <c r="J23" s="451">
        <f t="shared" si="10"/>
        <v>3.6436765234201473E-3</v>
      </c>
      <c r="K23" s="451">
        <f t="shared" si="11"/>
        <v>0</v>
      </c>
      <c r="L23" s="451">
        <f t="shared" ca="1" si="12"/>
        <v>0</v>
      </c>
      <c r="M23" s="451">
        <f t="shared" si="13"/>
        <v>0</v>
      </c>
      <c r="N23" s="451">
        <f t="shared" ca="1" si="14"/>
        <v>0</v>
      </c>
      <c r="O23" s="451">
        <f t="shared" si="15"/>
        <v>0</v>
      </c>
      <c r="P23" s="452">
        <f t="shared" si="16"/>
        <v>0</v>
      </c>
      <c r="Q23" s="450">
        <f t="shared" ref="Q23:Q32" ca="1" si="17">SUM(B23:P23)</f>
        <v>2715.5665911336</v>
      </c>
    </row>
    <row r="24" spans="1:17">
      <c r="A24" s="450" t="s">
        <v>193</v>
      </c>
      <c r="B24" s="451">
        <f t="shared" ca="1" si="2"/>
        <v>105.28223036177032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105.28223036177032</v>
      </c>
    </row>
    <row r="25" spans="1:17">
      <c r="A25" s="450" t="s">
        <v>111</v>
      </c>
      <c r="B25" s="451">
        <f t="shared" ca="1" si="2"/>
        <v>214.47981851955481</v>
      </c>
      <c r="C25" s="451">
        <f t="shared" ca="1" si="3"/>
        <v>0</v>
      </c>
      <c r="D25" s="451">
        <f t="shared" si="4"/>
        <v>7.8185558440000005</v>
      </c>
      <c r="E25" s="451">
        <f t="shared" si="5"/>
        <v>7.2507584792196837</v>
      </c>
      <c r="F25" s="451">
        <f t="shared" si="6"/>
        <v>1208.7535370369658</v>
      </c>
      <c r="G25" s="451">
        <f t="shared" si="7"/>
        <v>0</v>
      </c>
      <c r="H25" s="451">
        <f t="shared" si="8"/>
        <v>0</v>
      </c>
      <c r="I25" s="451">
        <f t="shared" si="9"/>
        <v>0</v>
      </c>
      <c r="J25" s="451">
        <f t="shared" si="10"/>
        <v>55.733990765010347</v>
      </c>
      <c r="K25" s="451">
        <f t="shared" si="11"/>
        <v>0</v>
      </c>
      <c r="L25" s="451">
        <f t="shared" si="12"/>
        <v>0</v>
      </c>
      <c r="M25" s="451">
        <f t="shared" si="13"/>
        <v>0</v>
      </c>
      <c r="N25" s="451">
        <f t="shared" si="14"/>
        <v>0</v>
      </c>
      <c r="O25" s="451">
        <f t="shared" si="15"/>
        <v>0</v>
      </c>
      <c r="P25" s="452">
        <f t="shared" si="16"/>
        <v>0</v>
      </c>
      <c r="Q25" s="450">
        <f t="shared" ca="1" si="17"/>
        <v>1494.0366606447506</v>
      </c>
    </row>
    <row r="26" spans="1:17">
      <c r="A26" s="450" t="s">
        <v>634</v>
      </c>
      <c r="B26" s="451">
        <f t="shared" ca="1" si="2"/>
        <v>405.00932688836076</v>
      </c>
      <c r="C26" s="451">
        <f t="shared" ca="1" si="3"/>
        <v>0</v>
      </c>
      <c r="D26" s="451">
        <f t="shared" si="4"/>
        <v>64.164049620000014</v>
      </c>
      <c r="E26" s="451">
        <f t="shared" si="5"/>
        <v>52.355148741623687</v>
      </c>
      <c r="F26" s="451">
        <f t="shared" si="6"/>
        <v>189.50477036888014</v>
      </c>
      <c r="G26" s="451">
        <f t="shared" si="7"/>
        <v>0</v>
      </c>
      <c r="H26" s="451">
        <f t="shared" si="8"/>
        <v>0</v>
      </c>
      <c r="I26" s="451">
        <f t="shared" si="9"/>
        <v>0</v>
      </c>
      <c r="J26" s="451">
        <f t="shared" si="10"/>
        <v>0.40420829966452709</v>
      </c>
      <c r="K26" s="451">
        <f t="shared" si="11"/>
        <v>0</v>
      </c>
      <c r="L26" s="451">
        <f t="shared" si="12"/>
        <v>0</v>
      </c>
      <c r="M26" s="451">
        <f t="shared" si="13"/>
        <v>0</v>
      </c>
      <c r="N26" s="451">
        <f t="shared" si="14"/>
        <v>0</v>
      </c>
      <c r="O26" s="451">
        <f t="shared" si="15"/>
        <v>0</v>
      </c>
      <c r="P26" s="452">
        <f t="shared" si="16"/>
        <v>0</v>
      </c>
      <c r="Q26" s="450">
        <f t="shared" ca="1" si="17"/>
        <v>711.43750391852916</v>
      </c>
    </row>
    <row r="27" spans="1:17" s="456" customFormat="1">
      <c r="A27" s="454" t="s">
        <v>560</v>
      </c>
      <c r="B27" s="754">
        <f t="shared" ca="1" si="2"/>
        <v>4.9470621953626335</v>
      </c>
      <c r="C27" s="455">
        <f t="shared" ca="1" si="3"/>
        <v>0</v>
      </c>
      <c r="D27" s="455">
        <f t="shared" si="4"/>
        <v>14.19534551176012</v>
      </c>
      <c r="E27" s="455">
        <f t="shared" si="5"/>
        <v>26.994101555669708</v>
      </c>
      <c r="F27" s="455">
        <f t="shared" si="6"/>
        <v>0</v>
      </c>
      <c r="G27" s="455">
        <f t="shared" si="7"/>
        <v>14809.798765280202</v>
      </c>
      <c r="H27" s="455">
        <f t="shared" si="8"/>
        <v>2954.5199826196626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17810.455257162659</v>
      </c>
    </row>
    <row r="28" spans="1:17">
      <c r="A28" s="450" t="s">
        <v>550</v>
      </c>
      <c r="B28" s="451">
        <f t="shared" ca="1" si="2"/>
        <v>0</v>
      </c>
      <c r="C28" s="451">
        <f t="shared" ca="1" si="3"/>
        <v>0</v>
      </c>
      <c r="D28" s="451">
        <f t="shared" si="4"/>
        <v>0</v>
      </c>
      <c r="E28" s="451">
        <f t="shared" si="5"/>
        <v>0</v>
      </c>
      <c r="F28" s="451">
        <f t="shared" si="6"/>
        <v>0</v>
      </c>
      <c r="G28" s="451">
        <f t="shared" si="7"/>
        <v>606.85470475217608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606.85470475217608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55.650086791678241</v>
      </c>
      <c r="C32" s="451">
        <f t="shared" ca="1" si="3"/>
        <v>0</v>
      </c>
      <c r="D32" s="451">
        <f t="shared" si="4"/>
        <v>266.79265140000001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322.44273819167825</v>
      </c>
    </row>
    <row r="33" spans="1:17" s="460" customFormat="1">
      <c r="A33" s="1005" t="s">
        <v>554</v>
      </c>
      <c r="B33" s="953">
        <f ca="1">SUM(B22:B32)</f>
        <v>5261.5502002762596</v>
      </c>
      <c r="C33" s="953">
        <f t="shared" ref="C33:Q33" ca="1" si="18">SUM(C22:C32)</f>
        <v>0</v>
      </c>
      <c r="D33" s="953">
        <f t="shared" ca="1" si="18"/>
        <v>5059.2075722783602</v>
      </c>
      <c r="E33" s="953">
        <f t="shared" si="18"/>
        <v>2131.5609461580507</v>
      </c>
      <c r="F33" s="953">
        <f t="shared" ca="1" si="18"/>
        <v>10237.964578029769</v>
      </c>
      <c r="G33" s="953">
        <f t="shared" si="18"/>
        <v>15416.653470032379</v>
      </c>
      <c r="H33" s="953">
        <f t="shared" si="18"/>
        <v>2954.5199826196626</v>
      </c>
      <c r="I33" s="953">
        <f t="shared" si="18"/>
        <v>0</v>
      </c>
      <c r="J33" s="953">
        <f t="shared" si="18"/>
        <v>56.141842741198289</v>
      </c>
      <c r="K33" s="953">
        <f t="shared" si="18"/>
        <v>0</v>
      </c>
      <c r="L33" s="953">
        <f t="shared" ca="1" si="18"/>
        <v>0</v>
      </c>
      <c r="M33" s="953">
        <f t="shared" si="18"/>
        <v>0</v>
      </c>
      <c r="N33" s="953">
        <f t="shared" ca="1" si="18"/>
        <v>0</v>
      </c>
      <c r="O33" s="953">
        <f t="shared" si="18"/>
        <v>0</v>
      </c>
      <c r="P33" s="953">
        <f t="shared" si="18"/>
        <v>0</v>
      </c>
      <c r="Q33" s="953">
        <f t="shared" ca="1" si="18"/>
        <v>41117.598592135677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2807.2030757149473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43.649999999999991</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51.35294117647058</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2850.8530757149474</v>
      </c>
      <c r="C10" s="1026">
        <f>SUM(C4:C9)</f>
        <v>0</v>
      </c>
      <c r="D10" s="1026">
        <f t="shared" ref="D10:H10" si="0">SUM(D8:D9)</f>
        <v>0</v>
      </c>
      <c r="E10" s="1026">
        <f t="shared" si="0"/>
        <v>0</v>
      </c>
      <c r="F10" s="1026">
        <f t="shared" si="0"/>
        <v>0</v>
      </c>
      <c r="G10" s="1026">
        <f t="shared" si="0"/>
        <v>0</v>
      </c>
      <c r="H10" s="1026">
        <f t="shared" si="0"/>
        <v>0</v>
      </c>
      <c r="I10" s="1026">
        <f>SUM(I8:I9)</f>
        <v>0</v>
      </c>
      <c r="J10" s="1026">
        <f>SUM(J8:J9)</f>
        <v>51.35294117647058</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0.19736655892802371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62.357142857142847</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73.361344537815114</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62.357142857142847</v>
      </c>
      <c r="C20" s="1026">
        <f>SUM(C17:C19)</f>
        <v>0</v>
      </c>
      <c r="D20" s="1026">
        <f t="shared" ref="D20:H20" si="2">SUM(D17:D19)</f>
        <v>0</v>
      </c>
      <c r="E20" s="1026">
        <f t="shared" si="2"/>
        <v>0</v>
      </c>
      <c r="F20" s="1026">
        <f t="shared" si="2"/>
        <v>0</v>
      </c>
      <c r="G20" s="1026">
        <f t="shared" si="2"/>
        <v>0</v>
      </c>
      <c r="H20" s="1026">
        <f t="shared" si="2"/>
        <v>0</v>
      </c>
      <c r="I20" s="1026">
        <f>SUM(I17:I19)</f>
        <v>0</v>
      </c>
      <c r="J20" s="1026">
        <f>SUM(J17:J19)</f>
        <v>73.361344537815114</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0.19736655892802371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2020-06-20T15:41:12Z</dcterms:modified>
</cp:coreProperties>
</file>