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D13" i="15"/>
  <c r="B8" i="18"/>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8" i="18"/>
  <c r="I49" i="18"/>
  <c r="H17" i="18" s="1"/>
  <c r="M87" i="14" s="1"/>
  <c r="F49" i="18"/>
  <c r="C49" i="18"/>
  <c r="G49" i="18"/>
  <c r="D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D4" i="48"/>
  <c r="D22" i="48" s="1"/>
  <c r="E11" i="14"/>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P33" i="48"/>
  <c r="F24" i="14"/>
  <c r="F26" i="14" s="1"/>
  <c r="E7" i="48"/>
  <c r="E25" i="48" s="1"/>
  <c r="P15" i="48"/>
  <c r="O8" i="48"/>
  <c r="O26" i="48" s="1"/>
  <c r="P13" i="14"/>
  <c r="P16" i="14" s="1"/>
  <c r="P27" i="14" s="1"/>
  <c r="O23" i="48"/>
  <c r="O15"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C35" i="13"/>
  <c r="F5" i="16"/>
  <c r="C36" i="13"/>
  <c r="N12" i="13"/>
  <c r="O41" i="14" s="1"/>
  <c r="C38" i="13"/>
  <c r="C39" i="13"/>
  <c r="C32" i="13"/>
  <c r="C34" i="13"/>
  <c r="J12" i="13"/>
  <c r="K41" i="14" s="1"/>
  <c r="L20" i="15"/>
  <c r="M40" i="14" s="1"/>
  <c r="E5" i="48" l="1"/>
  <c r="F10" i="14"/>
  <c r="K10" i="14"/>
  <c r="J5" i="48"/>
  <c r="J23" i="48" s="1"/>
  <c r="O33"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F13" i="14"/>
  <c r="F16" i="14" s="1"/>
  <c r="F27" i="14" s="1"/>
  <c r="E33" i="48"/>
  <c r="K13" i="14"/>
  <c r="K16" i="14" s="1"/>
  <c r="K27" i="14" s="1"/>
  <c r="J8" i="48"/>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<sst xmlns="http://schemas.openxmlformats.org/spreadsheetml/2006/main" count="2398" uniqueCount="887">
  <si>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</si>
  <si>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</si>
  <si>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</si>
  <si>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</si>
  <si>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</si>
  <si>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</si>
  <si>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</si>
  <si>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</si>
  <si>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</si>
  <si>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</si>
  <si>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</si>
  <si>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</si>
  <si>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</si>
  <si>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</si>
  <si>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</si>
  <si>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</si>
  <si>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</si>
  <si>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</si>
  <si>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</si>
  <si>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</si>
  <si>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</si>
  <si>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</si>
  <si>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</si>
  <si>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</si>
  <si>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</si>
  <si>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</si>
  <si>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</si>
  <si>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</si>
  <si>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</si>
  <si>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</si>
  <si>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</si>
  <si>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</si>
  <si>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</si>
  <si>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</si>
  <si>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</si>
  <si>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</si>
  <si>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</si>
  <si>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</si>
  <si>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</si>
  <si>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</si>
  <si>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</si>
  <si>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</si>
  <si>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</si>
  <si>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</si>
  <si>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</si>
  <si>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</si>
  <si>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</si>
  <si>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</si>
  <si>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</si>
  <si>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</si>
  <si>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</si>
  <si>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</si>
  <si>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</si>
  <si>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</si>
  <si>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</si>
  <si>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</si>
  <si>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</si>
  <si>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</si>
  <si>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</si>
  <si>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</si>
  <si>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</si>
  <si>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</si>
  <si>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</si>
  <si>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</si>
  <si>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</si>
  <si>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</si>
  <si>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</si>
  <si>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</si>
  <si>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</si>
  <si>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</si>
  <si>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</si>
  <si>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</si>
  <si>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</si>
  <si>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</si>
  <si>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</si>
  <si>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</si>
  <si>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</si>
  <si>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</si>
  <si>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</si>
  <si>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</si>
  <si>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</si>
  <si>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</si>
  <si>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</si>
  <si>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</si>
  <si>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</si>
  <si>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</si>
  <si>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</si>
  <si>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</si>
  <si>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</si>
  <si>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</si>
  <si>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</si>
  <si>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</si>
  <si>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</si>
  <si>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</si>
  <si>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</si>
  <si>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</si>
  <si>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</si>
  <si>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</si>
  <si>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</si>
  <si>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</si>
  <si>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</si>
  <si>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</si>
  <si>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</si>
  <si>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</si>
  <si>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</si>
  <si>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</si>
  <si>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</si>
  <si>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</si>
  <si>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</si>
  <si>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</si>
  <si>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</si>
  <si>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</si>
  <si>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</si>
  <si>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</si>
  <si>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</si>
  <si>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</si>
  <si>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</si>
  <si>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</si>
  <si>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</si>
  <si>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</si>
  <si>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</si>
  <si>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</si>
  <si>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</si>
  <si>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</si>
  <si>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</si>
  <si>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</si>
  <si>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</si>
  <si>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</si>
  <si>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</si>
  <si>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</si>
  <si>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</si>
  <si>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</si>
  <si>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</si>
  <si>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</si>
  <si>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</si>
  <si>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</si>
  <si>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</si>
  <si>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</si>
  <si>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</si>
  <si>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</si>
  <si>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</si>
  <si>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</si>
  <si>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</si>
  <si>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</si>
  <si>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</si>
  <si>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</si>
  <si>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</si>
  <si>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</si>
  <si>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</si>
  <si>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</si>
  <si>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</si>
  <si>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</si>
  <si>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</si>
  <si>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</si>
  <si>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</si>
  <si>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</si>
  <si>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</si>
  <si>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</si>
  <si>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</si>
  <si>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</si>
  <si>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</si>
  <si>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</si>
  <si>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</si>
  <si>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</si>
  <si>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</si>
  <si>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</si>
  <si>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</si>
  <si>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</si>
  <si>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</si>
  <si>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</si>
  <si>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</si>
  <si>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</si>
  <si>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</si>
  <si>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</si>
  <si>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</si>
  <si>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</si>
  <si>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</si>
  <si>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</si>
  <si>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</si>
  <si>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</si>
  <si>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</si>
  <si>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</si>
  <si>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</si>
  <si>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</si>
  <si>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</si>
  <si>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</si>
  <si>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</si>
  <si>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</si>
  <si>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</si>
  <si>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</si>
  <si>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</si>
  <si>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</si>
  <si>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</si>
  <si>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</si>
  <si>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</si>
  <si>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</si>
  <si>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</si>
  <si>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</si>
  <si>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</si>
  <si>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</si>
  <si>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</si>
  <si>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</si>
  <si>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</si>
  <si>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</si>
  <si>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</si>
  <si>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</si>
  <si>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</si>
  <si>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</si>
  <si>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</si>
  <si>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</si>
  <si>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</si>
  <si>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</si>
  <si>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</si>
  <si>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</si>
  <si>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</si>
  <si>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</si>
  <si>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</si>
  <si>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</si>
  <si>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</si>
  <si>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</si>
  <si>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</si>
  <si>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</si>
  <si>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</si>
  <si>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</si>
  <si>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</si>
  <si>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</si>
  <si>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</si>
  <si>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</si>
  <si>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</si>
  <si>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</si>
  <si>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</si>
  <si>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</si>
  <si>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</si>
  <si>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</si>
  <si>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</si>
  <si>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</si>
  <si>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</si>
  <si>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</si>
  <si>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</si>
  <si>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</si>
  <si>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</si>
  <si>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</si>
  <si>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</si>
  <si>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</si>
  <si>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</si>
  <si>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</si>
  <si>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</si>
  <si>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</si>
  <si>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</si>
  <si>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</si>
  <si>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</si>
  <si>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</si>
  <si>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</si>
  <si>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</si>
  <si>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</si>
  <si>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</si>
  <si>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</si>
  <si>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</si>
  <si>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</si>
  <si>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</si>
  <si>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</si>
  <si>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</si>
  <si>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</si>
  <si>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</si>
  <si>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</si>
  <si>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</si>
  <si>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</si>
  <si>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</si>
  <si>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</si>
  <si>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</si>
  <si>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</si>
  <si>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</si>
  <si>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</si>
  <si>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</si>
  <si>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</si>
  <si>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</si>
  <si>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</si>
  <si>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</si>
  <si>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</si>
  <si>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</si>
  <si>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</si>
  <si>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</si>
  <si>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</si>
  <si>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</si>
  <si>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</si>
  <si>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</si>
  <si>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</si>
  <si>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</si>
  <si>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</si>
  <si>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</si>
  <si>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</si>
  <si>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</si>
  <si>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</si>
  <si>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</si>
  <si>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</si>
  <si>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</si>
  <si>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</si>
  <si>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</si>
  <si>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</si>
  <si>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</si>
  <si>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</si>
  <si>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</si>
  <si>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</si>
  <si>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</si>
  <si>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</si>
  <si>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</si>
  <si>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</si>
  <si>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</si>
  <si>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</si>
  <si>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</si>
  <si>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</si>
  <si>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</si>
  <si>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</si>
  <si>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</si>
  <si>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</si>
  <si>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</si>
  <si>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</si>
  <si>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</si>
  <si>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</si>
  <si>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</si>
  <si>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</si>
  <si>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</si>
  <si>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</si>
  <si>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</si>
  <si>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</si>
  <si>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</si>
  <si>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</si>
  <si>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</si>
  <si>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</si>
  <si>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</si>
  <si>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</si>
  <si>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</si>
  <si>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</si>
  <si>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</si>
  <si>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</si>
  <si>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</si>
  <si>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</si>
  <si>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</si>
  <si>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</si>
  <si>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</si>
  <si>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</si>
  <si>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</si>
  <si>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</si>
  <si>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</si>
  <si>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</si>
  <si>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</si>
  <si>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</si>
  <si>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</si>
  <si>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</si>
  <si>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</si>
  <si>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</si>
  <si>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</si>
  <si>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</si>
  <si>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</si>
  <si>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</si>
  <si>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</si>
  <si>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</si>
  <si>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</si>
  <si>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</si>
  <si>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</si>
  <si>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</si>
  <si>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</si>
  <si>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</si>
  <si>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</si>
  <si>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</si>
  <si>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</si>
  <si>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</si>
  <si>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</si>
  <si>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</si>
  <si>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</si>
  <si>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</si>
  <si>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</si>
  <si>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</si>
  <si>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</si>
  <si>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</si>
  <si>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</si>
  <si>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</si>
  <si>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</si>
  <si>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</si>
  <si>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</si>
  <si>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</si>
  <si>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</si>
  <si>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</si>
  <si>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</si>
  <si>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</si>
  <si>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</si>
  <si>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</si>
  <si>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</si>
  <si>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</si>
  <si>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</si>
  <si>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</si>
  <si>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</si>
  <si>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</si>
  <si>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</si>
  <si>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</si>
  <si>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</si>
  <si>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</si>
  <si>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</si>
  <si>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</si>
  <si>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</si>
  <si>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</si>
  <si>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</si>
  <si>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</si>
  <si>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</si>
  <si>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</si>
  <si>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</si>
  <si>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</si>
  <si>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</si>
  <si>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</si>
  <si>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</si>
  <si>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</si>
  <si>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</si>
  <si>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</si>
  <si>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</si>
  <si>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</si>
  <si>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</si>
  <si>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</si>
  <si>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</si>
  <si>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</si>
  <si>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</si>
  <si>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</si>
  <si>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</si>
  <si>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</si>
  <si>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</si>
  <si>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</si>
  <si>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</si>
  <si>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</si>
  <si>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</si>
  <si>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</si>
  <si>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</si>
  <si>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</si>
  <si>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</si>
  <si>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</si>
  <si>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</si>
  <si>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</si>
  <si>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</si>
  <si>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</si>
  <si>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</si>
  <si>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</si>
  <si>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</si>
  <si>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</si>
  <si>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</si>
  <si>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</si>
  <si>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</si>
  <si>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</si>
  <si>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</si>
  <si>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</si>
  <si>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</si>
  <si>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</si>
  <si>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</si>
  <si>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</si>
  <si>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</si>
  <si>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</si>
  <si>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</si>
  <si>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</si>
  <si>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</si>
  <si>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</si>
  <si>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</si>
  <si>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</si>
  <si>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</si>
  <si>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</si>
  <si>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</si>
  <si>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</si>
  <si>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</si>
  <si>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</si>
  <si>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</si>
  <si>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</si>
  <si>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</si>
  <si>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</si>
  <si>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</si>
  <si>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</si>
  <si>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</si>
  <si>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</si>
  <si>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</si>
  <si>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</si>
  <si>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</si>
  <si>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</si>
  <si>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</si>
  <si>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</si>
  <si>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</si>
  <si>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</si>
  <si>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</si>
  <si>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</si>
  <si>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</si>
  <si>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</si>
  <si>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</si>
  <si>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</si>
  <si>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</si>
  <si>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</si>
  <si>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</si>
  <si>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</si>
  <si>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</si>
  <si>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</si>
  <si>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</si>
  <si>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</si>
  <si>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</si>
  <si>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</si>
  <si>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</si>
  <si>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</si>
  <si>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</si>
  <si>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</si>
  <si>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</si>
  <si>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</si>
  <si>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</si>
  <si>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</si>
  <si>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</si>
  <si>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</si>
  <si>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</si>
  <si>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</si>
  <si>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</si>
  <si>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</si>
  <si>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</si>
  <si>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</si>
  <si>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</si>
  <si>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</si>
  <si>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</si>
  <si>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</si>
  <si>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</si>
  <si>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</si>
  <si>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</si>
  <si>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</si>
  <si>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</si>
  <si>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</si>
  <si>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</si>
  <si>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</si>
  <si>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</si>
  <si>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</si>
  <si>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</si>
  <si>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</si>
  <si>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</si>
  <si>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</si>
  <si>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</si>
  <si>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</si>
  <si>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</si>
  <si>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</si>
  <si>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</si>
  <si>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</si>
  <si>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</si>
  <si>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</si>
  <si>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</si>
  <si>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</si>
  <si>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</si>
  <si>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</si>
  <si>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</si>
  <si>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</si>
  <si>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</si>
  <si>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</si>
  <si>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</si>
  <si>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</si>
  <si>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</si>
  <si>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</si>
  <si>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</si>
  <si>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</si>
  <si>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</si>
  <si>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</si>
  <si>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</si>
  <si>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</si>
  <si>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</si>
  <si>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</si>
  <si>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</si>
  <si>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</si>
  <si>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</si>
  <si>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</si>
  <si>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</si>
  <si>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</si>
  <si>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</si>
  <si>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</si>
  <si>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</si>
  <si>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</si>
  <si>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</si>
  <si>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</si>
  <si>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</si>
  <si>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</si>
  <si>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</si>
  <si>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</si>
  <si>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</si>
  <si>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</si>
  <si>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</si>
  <si>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</si>
  <si>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</si>
  <si>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</si>
  <si>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</si>
  <si>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</si>
  <si>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</si>
  <si>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</si>
  <si>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</si>
  <si>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</si>
  <si>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</si>
  <si>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</si>
  <si>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</si>
  <si>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</si>
  <si>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</si>
  <si>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</si>
  <si>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</si>
  <si>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</si>
  <si>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</si>
  <si>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</si>
  <si>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</si>
  <si>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</si>
  <si>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</si>
  <si>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</si>
  <si>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</si>
  <si>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</si>
  <si>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</si>
  <si>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</si>
  <si>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</si>
  <si>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</si>
  <si>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</si>
  <si>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</si>
  <si>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</si>
  <si>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</si>
  <si>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</si>
  <si>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</si>
  <si>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</si>
  <si>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</si>
  <si>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</si>
  <si>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</si>
  <si>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</si>
  <si>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</si>
  <si>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</si>
  <si>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</si>
  <si>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</si>
  <si>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</si>
  <si>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</si>
  <si>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</si>
  <si>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</si>
  <si>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</si>
  <si>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</si>
  <si>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</si>
  <si>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</si>
  <si>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</si>
  <si>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</si>
  <si>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</si>
  <si>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</si>
  <si>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</si>
  <si>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</si>
  <si>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</si>
  <si>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</si>
  <si>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</si>
  <si>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</si>
  <si>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</si>
  <si>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</si>
  <si>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</si>
  <si>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</si>
  <si>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</si>
  <si>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</si>
  <si>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</si>
  <si>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</si>
  <si>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</si>
  <si>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</si>
  <si>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</si>
  <si>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</si>
  <si>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</si>
  <si>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</si>
  <si>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</si>
  <si>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</si>
  <si>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</si>
  <si>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</si>
  <si>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</si>
  <si>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</si>
  <si>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</si>
  <si>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</si>
  <si>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</si>
  <si>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</si>
  <si>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</si>
  <si>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</si>
  <si>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</si>
  <si>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</si>
  <si>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</si>
  <si>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</si>
  <si>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</si>
  <si>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</si>
  <si>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</si>
  <si>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</si>
  <si>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</si>
  <si>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</si>
  <si>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</si>
  <si>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</si>
  <si>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</si>
  <si>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</si>
  <si>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</si>
  <si>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</si>
  <si>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</si>
  <si>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</si>
  <si>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</si>
  <si>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</si>
  <si>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</si>
  <si>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</si>
  <si>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</si>
  <si>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</si>
  <si>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</si>
  <si>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</si>
  <si>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</si>
  <si>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</si>
  <si>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</si>
  <si>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</si>
  <si>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</si>
  <si>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</si>
  <si>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</si>
  <si>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</si>
  <si>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</si>
  <si>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</si>
  <si>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</si>
  <si>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</si>
  <si>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</si>
  <si>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</si>
  <si>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</si>
  <si>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</si>
  <si>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</si>
  <si>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</si>
  <si>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</si>
  <si>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</si>
  <si>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</si>
  <si>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</si>
  <si>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</si>
  <si>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</si>
  <si>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</si>
  <si>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</si>
  <si>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</si>
  <si>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</si>
  <si>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</si>
  <si>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</si>
  <si>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</si>
  <si>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</si>
  <si>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</si>
  <si>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</si>
  <si>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</si>
  <si>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</si>
  <si>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</si>
  <si>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</si>
  <si>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</si>
  <si>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</si>
  <si>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</si>
  <si>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</si>
  <si>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</si>
  <si>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</si>
  <si>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</si>
  <si>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</si>
  <si>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</si>
  <si>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</si>
  <si>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</si>
  <si>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</si>
  <si>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</si>
  <si>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</si>
  <si>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</si>
  <si>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</si>
  <si>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</si>
  <si>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</si>
  <si>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</si>
  <si>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</si>
  <si>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</si>
  <si>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</si>
  <si>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</si>
  <si>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</si>
  <si>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</si>
  <si>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</si>
  <si>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</si>
  <si>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</si>
  <si>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</si>
  <si>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</si>
  <si>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</si>
  <si>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</si>
  <si>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</si>
  <si>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</si>
  <si>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</si>
  <si>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</si>
  <si>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</si>
  <si>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</si>
  <si>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</si>
  <si>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</si>
  <si>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</si>
  <si>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</si>
  <si>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</si>
  <si>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</si>
  <si>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</si>
  <si>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</si>
  <si>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</si>
  <si>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</si>
  <si>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</si>
  <si>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</si>
  <si>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</si>
  <si>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</si>
  <si>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</si>
  <si>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</si>
  <si>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</si>
  <si>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</si>
  <si>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</si>
  <si>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</si>
  <si>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</si>
  <si>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</si>
  <si>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</si>
  <si>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</si>
  <si>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</si>
  <si>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</si>
  <si>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</si>
  <si>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</si>
  <si>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</si>
  <si>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</si>
  <si>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</si>
  <si>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</si>
  <si>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</si>
  <si>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</si>
  <si>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</si>
  <si>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</si>
  <si>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</si>
  <si>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</si>
  <si>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</si>
  <si>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</si>
  <si>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</si>
  <si>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</si>
  <si>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</si>
  <si>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</si>
  <si>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</si>
  <si>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</si>
  <si>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</si>
  <si>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</si>
  <si>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</si>
  <si>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</si>
  <si>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</si>
  <si>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</si>
  <si>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</si>
  <si>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</si>
  <si>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</si>
  <si>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</si>
  <si>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</si>
  <si>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</si>
  <si>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</si>
  <si>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</si>
  <si>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</si>
  <si>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</si>
  <si>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</si>
  <si>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</si>
  <si>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</si>
  <si>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</si>
  <si>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</si>
  <si>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</si>
  <si>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</si>
  <si>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</si>
  <si>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</si>
  <si>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</si>
  <si>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</si>
  <si>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</si>
  <si>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</si>
  <si>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</si>
  <si>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</si>
  <si>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</si>
  <si>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</si>
  <si>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</si>
  <si>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</si>
  <si>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</si>
  <si>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</si>
  <si>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</si>
  <si>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</si>
  <si>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</si>
  <si>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</si>
  <si>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</si>
  <si>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</si>
  <si>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</si>
  <si>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</si>
  <si>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</si>
  <si>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</si>
  <si>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</si>
  <si>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</si>
  <si>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</si>
  <si>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</si>
  <si>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</si>
  <si>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</si>
  <si>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</si>
  <si>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</si>
  <si>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</si>
  <si>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</si>
  <si>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</si>
  <si>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</si>
  <si>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</si>
  <si>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</si>
  <si>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</si>
  <si>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</si>
  <si>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</si>
  <si>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</si>
  <si>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</si>
  <si>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</si>
  <si>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</si>
  <si>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</si>
  <si>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23003</t>
  </si>
  <si>
    <t>BEERSEL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</si>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</sst>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205353.48484058442</c:v>
                </c:pt>
                <c:pt idx="1">
                  <c:v>85427.123454745873</c:v>
                </c:pt>
                <c:pt idx="2">
                  <c:v>2068.7730000000001</c:v>
                </c:pt>
                <c:pt idx="3">
                  <c:v>1163.9666720657892</c:v>
                </c:pt>
                <c:pt idx="4">
                  <c:v>52570.299476852451</c:v>
                </c:pt>
                <c:pt idx="5">
                  <c:v>274878.26219043572</c:v>
                </c:pt>
                <c:pt idx="6">
                  <c:v>2809.1196712226715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205353.48484058442</c:v>
                </c:pt>
                <c:pt idx="1">
                  <c:v>85427.123454745873</c:v>
                </c:pt>
                <c:pt idx="2">
                  <c:v>2068.7730000000001</c:v>
                </c:pt>
                <c:pt idx="3">
                  <c:v>1163.9666720657892</c:v>
                </c:pt>
                <c:pt idx="4">
                  <c:v>52570.299476852451</c:v>
                </c:pt>
                <c:pt idx="5">
                  <c:v>274878.26219043572</c:v>
                </c:pt>
                <c:pt idx="6">
                  <c:v>2809.1196712226715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40038.785934912012</c:v>
                </c:pt>
                <c:pt idx="2">
                  <c:v>16623.085740102375</c:v>
                </c:pt>
                <c:pt idx="3">
                  <c:v>394.57405486563539</c:v>
                </c:pt>
                <c:pt idx="4">
                  <c:v>290.163212055668</c:v>
                </c:pt>
                <c:pt idx="5">
                  <c:v>10326.085221220734</c:v>
                </c:pt>
                <c:pt idx="6">
                  <c:v>68747.976028727047</c:v>
                </c:pt>
                <c:pt idx="7">
                  <c:v>709.72854874018549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40038.785934912012</c:v>
                </c:pt>
                <c:pt idx="2">
                  <c:v>16623.085740102375</c:v>
                </c:pt>
                <c:pt idx="3">
                  <c:v>394.57405486563539</c:v>
                </c:pt>
                <c:pt idx="4">
                  <c:v>290.163212055668</c:v>
                </c:pt>
                <c:pt idx="5">
                  <c:v>10326.085221220734</c:v>
                </c:pt>
                <c:pt idx="6">
                  <c:v>68747.976028727047</c:v>
                </c:pt>
                <c:pt idx="7">
                  <c:v>709.72854874018549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23003</v>
      </c>
      <c r="B6" s="390"/>
      <c r="C6" s="391"/>
    </row>
    <row r="7" spans="1:7" s="388" customFormat="1" ht="15.75" customHeight="1">
      <c r="A7" s="392" t="str">
        <f>txtMunicipality</f>
        <v>BEERSEL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37630.04819512496</v>
      </c>
      <c r="D10" s="979">
        <f ca="1">tertiair!C16</f>
        <v>0</v>
      </c>
      <c r="E10" s="979">
        <f ca="1">tertiair!D16</f>
        <v>40022.665459181648</v>
      </c>
      <c r="F10" s="979">
        <f>tertiair!E16</f>
        <v>511.91245292126303</v>
      </c>
      <c r="G10" s="979">
        <f ca="1">tertiair!F16</f>
        <v>6141.2931791646388</v>
      </c>
      <c r="H10" s="979">
        <f>tertiair!G16</f>
        <v>0</v>
      </c>
      <c r="I10" s="979">
        <f>tertiair!H16</f>
        <v>0</v>
      </c>
      <c r="J10" s="979">
        <f>tertiair!I16</f>
        <v>0</v>
      </c>
      <c r="K10" s="979">
        <f>tertiair!J16</f>
        <v>7.8520550782364432E-2</v>
      </c>
      <c r="L10" s="979">
        <f>tertiair!K16</f>
        <v>0</v>
      </c>
      <c r="M10" s="979">
        <f ca="1">tertiair!L16</f>
        <v>0</v>
      </c>
      <c r="N10" s="979">
        <f>tertiair!M16</f>
        <v>0</v>
      </c>
      <c r="O10" s="979">
        <f ca="1">tertiair!N16</f>
        <v>3150.2019811359064</v>
      </c>
      <c r="P10" s="979">
        <f>tertiair!O16</f>
        <v>1.5633333333333335</v>
      </c>
      <c r="Q10" s="980">
        <f>tertiair!P16</f>
        <v>38.133333333333333</v>
      </c>
      <c r="R10" s="674">
        <f ca="1">SUM(C10:Q10)</f>
        <v>87495.89645474586</v>
      </c>
      <c r="S10" s="67"/>
    </row>
    <row r="11" spans="1:19" s="447" customFormat="1">
      <c r="A11" s="783" t="s">
        <v>224</v>
      </c>
      <c r="B11" s="788"/>
      <c r="C11" s="979">
        <f>huishoudens!B8</f>
        <v>42237.650555490312</v>
      </c>
      <c r="D11" s="979">
        <f>huishoudens!C8</f>
        <v>0</v>
      </c>
      <c r="E11" s="979">
        <f>huishoudens!D8</f>
        <v>121112.77397880623</v>
      </c>
      <c r="F11" s="979">
        <f>huishoudens!E8</f>
        <v>7943.7066546223232</v>
      </c>
      <c r="G11" s="979">
        <f>huishoudens!F8</f>
        <v>21403.965307193015</v>
      </c>
      <c r="H11" s="979">
        <f>huishoudens!G8</f>
        <v>0</v>
      </c>
      <c r="I11" s="979">
        <f>huishoudens!H8</f>
        <v>0</v>
      </c>
      <c r="J11" s="979">
        <f>huishoudens!I8</f>
        <v>0</v>
      </c>
      <c r="K11" s="979">
        <f>huishoudens!J8</f>
        <v>0</v>
      </c>
      <c r="L11" s="979">
        <f>huishoudens!K8</f>
        <v>0</v>
      </c>
      <c r="M11" s="979">
        <f>huishoudens!L8</f>
        <v>0</v>
      </c>
      <c r="N11" s="979">
        <f>huishoudens!M8</f>
        <v>0</v>
      </c>
      <c r="O11" s="979">
        <f>huishoudens!N8</f>
        <v>11741.998344472482</v>
      </c>
      <c r="P11" s="979">
        <f>huishoudens!O8</f>
        <v>207.92333333333335</v>
      </c>
      <c r="Q11" s="980">
        <f>huishoudens!P8</f>
        <v>705.4666666666667</v>
      </c>
      <c r="R11" s="674">
        <f>SUM(C11:Q11)</f>
        <v>205353.48484058442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19004.260062484289</v>
      </c>
      <c r="D13" s="979">
        <f>industrie!C18</f>
        <v>0</v>
      </c>
      <c r="E13" s="979">
        <f>industrie!D18</f>
        <v>26176.424373870454</v>
      </c>
      <c r="F13" s="979">
        <f>industrie!E18</f>
        <v>1233.022572531178</v>
      </c>
      <c r="G13" s="979">
        <f>industrie!F18</f>
        <v>4170.7204138504494</v>
      </c>
      <c r="H13" s="979">
        <f>industrie!G18</f>
        <v>0</v>
      </c>
      <c r="I13" s="979">
        <f>industrie!H18</f>
        <v>0</v>
      </c>
      <c r="J13" s="979">
        <f>industrie!I18</f>
        <v>0</v>
      </c>
      <c r="K13" s="979">
        <f>industrie!J18</f>
        <v>57.384855076472128</v>
      </c>
      <c r="L13" s="979">
        <f>industrie!K18</f>
        <v>0</v>
      </c>
      <c r="M13" s="979">
        <f>industrie!L18</f>
        <v>0</v>
      </c>
      <c r="N13" s="979">
        <f>industrie!M18</f>
        <v>0</v>
      </c>
      <c r="O13" s="979">
        <f>industrie!N18</f>
        <v>1928.4871990396118</v>
      </c>
      <c r="P13" s="979">
        <f>industrie!O18</f>
        <v>0</v>
      </c>
      <c r="Q13" s="980">
        <f>industrie!P18</f>
        <v>0</v>
      </c>
      <c r="R13" s="674">
        <f>SUM(C13:Q13)</f>
        <v>52570.299476852451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98871.958813099554</v>
      </c>
      <c r="D16" s="706">
        <f t="shared" ref="D16:R16" ca="1" si="0">SUM(D9:D15)</f>
        <v>0</v>
      </c>
      <c r="E16" s="706">
        <f t="shared" ca="1" si="0"/>
        <v>187311.86381185832</v>
      </c>
      <c r="F16" s="706">
        <f t="shared" si="0"/>
        <v>9688.6416800747629</v>
      </c>
      <c r="G16" s="706">
        <f t="shared" ca="1" si="0"/>
        <v>31715.978900208105</v>
      </c>
      <c r="H16" s="706">
        <f t="shared" si="0"/>
        <v>0</v>
      </c>
      <c r="I16" s="706">
        <f t="shared" si="0"/>
        <v>0</v>
      </c>
      <c r="J16" s="706">
        <f t="shared" si="0"/>
        <v>0</v>
      </c>
      <c r="K16" s="706">
        <f t="shared" si="0"/>
        <v>57.463375627254493</v>
      </c>
      <c r="L16" s="706">
        <f t="shared" si="0"/>
        <v>0</v>
      </c>
      <c r="M16" s="706">
        <f t="shared" ca="1" si="0"/>
        <v>0</v>
      </c>
      <c r="N16" s="706">
        <f t="shared" si="0"/>
        <v>0</v>
      </c>
      <c r="O16" s="706">
        <f t="shared" ca="1" si="0"/>
        <v>16820.687524648001</v>
      </c>
      <c r="P16" s="706">
        <f t="shared" si="0"/>
        <v>209.48666666666668</v>
      </c>
      <c r="Q16" s="706">
        <f t="shared" si="0"/>
        <v>743.6</v>
      </c>
      <c r="R16" s="706">
        <f t="shared" ca="1" si="0"/>
        <v>345419.68077218276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2658.1593585774735</v>
      </c>
      <c r="I19" s="979">
        <f>transport!H54</f>
        <v>0</v>
      </c>
      <c r="J19" s="979">
        <f>transport!I54</f>
        <v>0</v>
      </c>
      <c r="K19" s="979">
        <f>transport!J54</f>
        <v>0</v>
      </c>
      <c r="L19" s="979">
        <f>transport!K54</f>
        <v>0</v>
      </c>
      <c r="M19" s="979">
        <f>transport!L54</f>
        <v>0</v>
      </c>
      <c r="N19" s="979">
        <f>transport!M54</f>
        <v>150.96031264519806</v>
      </c>
      <c r="O19" s="979">
        <f>transport!N54</f>
        <v>0</v>
      </c>
      <c r="P19" s="979">
        <f>transport!O54</f>
        <v>0</v>
      </c>
      <c r="Q19" s="980">
        <f>transport!P54</f>
        <v>0</v>
      </c>
      <c r="R19" s="674">
        <f>SUM(C19:Q19)</f>
        <v>2809.1196712226715</v>
      </c>
      <c r="S19" s="67"/>
    </row>
    <row r="20" spans="1:19" s="447" customFormat="1">
      <c r="A20" s="783" t="s">
        <v>306</v>
      </c>
      <c r="B20" s="788"/>
      <c r="C20" s="979">
        <f>transport!B14</f>
        <v>96.367164011871807</v>
      </c>
      <c r="D20" s="979">
        <f>transport!C14</f>
        <v>0</v>
      </c>
      <c r="E20" s="979">
        <f>transport!D14</f>
        <v>304.29433177639271</v>
      </c>
      <c r="F20" s="979">
        <f>transport!E14</f>
        <v>569.40610883036766</v>
      </c>
      <c r="G20" s="979">
        <f>transport!F14</f>
        <v>0</v>
      </c>
      <c r="H20" s="979">
        <f>transport!G14</f>
        <v>208045.5226684777</v>
      </c>
      <c r="I20" s="979">
        <f>transport!H14</f>
        <v>52171.561710756643</v>
      </c>
      <c r="J20" s="979">
        <f>transport!I14</f>
        <v>0</v>
      </c>
      <c r="K20" s="979">
        <f>transport!J14</f>
        <v>0</v>
      </c>
      <c r="L20" s="979">
        <f>transport!K14</f>
        <v>0</v>
      </c>
      <c r="M20" s="979">
        <f>transport!L14</f>
        <v>0</v>
      </c>
      <c r="N20" s="979">
        <f>transport!M14</f>
        <v>13691.11020658272</v>
      </c>
      <c r="O20" s="979">
        <f>transport!N14</f>
        <v>0</v>
      </c>
      <c r="P20" s="979">
        <f>transport!O14</f>
        <v>0</v>
      </c>
      <c r="Q20" s="980">
        <f>transport!P14</f>
        <v>0</v>
      </c>
      <c r="R20" s="674">
        <f>SUM(C20:Q20)</f>
        <v>274878.26219043572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96.367164011871807</v>
      </c>
      <c r="D22" s="786">
        <f t="shared" ref="D22:R22" si="1">SUM(D18:D21)</f>
        <v>0</v>
      </c>
      <c r="E22" s="786">
        <f t="shared" si="1"/>
        <v>304.29433177639271</v>
      </c>
      <c r="F22" s="786">
        <f t="shared" si="1"/>
        <v>569.40610883036766</v>
      </c>
      <c r="G22" s="786">
        <f t="shared" si="1"/>
        <v>0</v>
      </c>
      <c r="H22" s="786">
        <f t="shared" si="1"/>
        <v>210703.68202705518</v>
      </c>
      <c r="I22" s="786">
        <f t="shared" si="1"/>
        <v>52171.561710756643</v>
      </c>
      <c r="J22" s="786">
        <f t="shared" si="1"/>
        <v>0</v>
      </c>
      <c r="K22" s="786">
        <f t="shared" si="1"/>
        <v>0</v>
      </c>
      <c r="L22" s="786">
        <f t="shared" si="1"/>
        <v>0</v>
      </c>
      <c r="M22" s="786">
        <f t="shared" si="1"/>
        <v>0</v>
      </c>
      <c r="N22" s="786">
        <f t="shared" si="1"/>
        <v>13842.070519227918</v>
      </c>
      <c r="O22" s="786">
        <f t="shared" si="1"/>
        <v>0</v>
      </c>
      <c r="P22" s="786">
        <f t="shared" si="1"/>
        <v>0</v>
      </c>
      <c r="Q22" s="786">
        <f t="shared" si="1"/>
        <v>0</v>
      </c>
      <c r="R22" s="786">
        <f t="shared" si="1"/>
        <v>277687.38186165842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194.99653954648389</v>
      </c>
      <c r="D24" s="979">
        <f>+landbouw!C8</f>
        <v>0</v>
      </c>
      <c r="E24" s="979">
        <f>+landbouw!D8</f>
        <v>122.64273096147448</v>
      </c>
      <c r="F24" s="979">
        <f>+landbouw!E8</f>
        <v>5.7315438854466176</v>
      </c>
      <c r="G24" s="979">
        <f>+landbouw!F8</f>
        <v>812.34504669072044</v>
      </c>
      <c r="H24" s="979">
        <f>+landbouw!G8</f>
        <v>0</v>
      </c>
      <c r="I24" s="979">
        <f>+landbouw!H8</f>
        <v>0</v>
      </c>
      <c r="J24" s="979">
        <f>+landbouw!I8</f>
        <v>0</v>
      </c>
      <c r="K24" s="979">
        <f>+landbouw!J8</f>
        <v>28.250810981663786</v>
      </c>
      <c r="L24" s="979">
        <f>+landbouw!K8</f>
        <v>0</v>
      </c>
      <c r="M24" s="979">
        <f>+landbouw!L8</f>
        <v>0</v>
      </c>
      <c r="N24" s="979">
        <f>+landbouw!M8</f>
        <v>0</v>
      </c>
      <c r="O24" s="979">
        <f>+landbouw!N8</f>
        <v>0</v>
      </c>
      <c r="P24" s="979">
        <f>+landbouw!O8</f>
        <v>0</v>
      </c>
      <c r="Q24" s="980">
        <f>+landbouw!P8</f>
        <v>0</v>
      </c>
      <c r="R24" s="674">
        <f>SUM(C24:Q24)</f>
        <v>1163.9666720657892</v>
      </c>
      <c r="S24" s="67"/>
    </row>
    <row r="25" spans="1:19" s="447" customFormat="1" ht="15" thickBot="1">
      <c r="A25" s="805" t="s">
        <v>823</v>
      </c>
      <c r="B25" s="982"/>
      <c r="C25" s="983">
        <f>IF(Onbekend_ele_kWh="---",0,Onbekend_ele_kWh)/1000+IF(REST_rest_ele_kWh="---",0,REST_rest_ele_kWh)/1000</f>
        <v>1361.8964396522999</v>
      </c>
      <c r="D25" s="983"/>
      <c r="E25" s="983">
        <f>IF(onbekend_gas_kWh="---",0,onbekend_gas_kWh)/1000+IF(REST_rest_gas_kWh="---",0,REST_rest_gas_kWh)/1000</f>
        <v>3215.26741075778</v>
      </c>
      <c r="F25" s="983"/>
      <c r="G25" s="983"/>
      <c r="H25" s="983"/>
      <c r="I25" s="983"/>
      <c r="J25" s="983"/>
      <c r="K25" s="983"/>
      <c r="L25" s="983"/>
      <c r="M25" s="983"/>
      <c r="N25" s="983"/>
      <c r="O25" s="983"/>
      <c r="P25" s="983"/>
      <c r="Q25" s="984"/>
      <c r="R25" s="674">
        <f>SUM(C25:Q25)</f>
        <v>4577.1638504100802</v>
      </c>
      <c r="S25" s="67"/>
    </row>
    <row r="26" spans="1:19" s="447" customFormat="1" ht="15.75" thickBot="1">
      <c r="A26" s="679" t="s">
        <v>824</v>
      </c>
      <c r="B26" s="791"/>
      <c r="C26" s="786">
        <f>SUM(C24:C25)</f>
        <v>1556.8929791987839</v>
      </c>
      <c r="D26" s="786">
        <f t="shared" ref="D26:R26" si="2">SUM(D24:D25)</f>
        <v>0</v>
      </c>
      <c r="E26" s="786">
        <f t="shared" si="2"/>
        <v>3337.9101417192546</v>
      </c>
      <c r="F26" s="786">
        <f t="shared" si="2"/>
        <v>5.7315438854466176</v>
      </c>
      <c r="G26" s="786">
        <f t="shared" si="2"/>
        <v>812.34504669072044</v>
      </c>
      <c r="H26" s="786">
        <f t="shared" si="2"/>
        <v>0</v>
      </c>
      <c r="I26" s="786">
        <f t="shared" si="2"/>
        <v>0</v>
      </c>
      <c r="J26" s="786">
        <f t="shared" si="2"/>
        <v>0</v>
      </c>
      <c r="K26" s="786">
        <f t="shared" si="2"/>
        <v>28.250810981663786</v>
      </c>
      <c r="L26" s="786">
        <f t="shared" si="2"/>
        <v>0</v>
      </c>
      <c r="M26" s="786">
        <f t="shared" si="2"/>
        <v>0</v>
      </c>
      <c r="N26" s="786">
        <f t="shared" si="2"/>
        <v>0</v>
      </c>
      <c r="O26" s="786">
        <f t="shared" si="2"/>
        <v>0</v>
      </c>
      <c r="P26" s="786">
        <f t="shared" si="2"/>
        <v>0</v>
      </c>
      <c r="Q26" s="786">
        <f t="shared" si="2"/>
        <v>0</v>
      </c>
      <c r="R26" s="786">
        <f t="shared" si="2"/>
        <v>5741.1305224758689</v>
      </c>
      <c r="S26" s="67"/>
    </row>
    <row r="27" spans="1:19" s="447" customFormat="1" ht="17.25" thickTop="1" thickBot="1">
      <c r="A27" s="680" t="s">
        <v>115</v>
      </c>
      <c r="B27" s="779"/>
      <c r="C27" s="681">
        <f ca="1">C22+C16+C26</f>
        <v>100525.21895631021</v>
      </c>
      <c r="D27" s="681">
        <f t="shared" ref="D27:R27" ca="1" si="3">D22+D16+D26</f>
        <v>0</v>
      </c>
      <c r="E27" s="681">
        <f t="shared" ca="1" si="3"/>
        <v>190954.06828535395</v>
      </c>
      <c r="F27" s="681">
        <f t="shared" si="3"/>
        <v>10263.779332790577</v>
      </c>
      <c r="G27" s="681">
        <f t="shared" ca="1" si="3"/>
        <v>32528.323946898825</v>
      </c>
      <c r="H27" s="681">
        <f t="shared" si="3"/>
        <v>210703.68202705518</v>
      </c>
      <c r="I27" s="681">
        <f t="shared" si="3"/>
        <v>52171.561710756643</v>
      </c>
      <c r="J27" s="681">
        <f t="shared" si="3"/>
        <v>0</v>
      </c>
      <c r="K27" s="681">
        <f t="shared" si="3"/>
        <v>85.714186608918283</v>
      </c>
      <c r="L27" s="681">
        <f t="shared" si="3"/>
        <v>0</v>
      </c>
      <c r="M27" s="681">
        <f t="shared" ca="1" si="3"/>
        <v>0</v>
      </c>
      <c r="N27" s="681">
        <f t="shared" si="3"/>
        <v>13842.070519227918</v>
      </c>
      <c r="O27" s="681">
        <f t="shared" ca="1" si="3"/>
        <v>16820.687524648001</v>
      </c>
      <c r="P27" s="681">
        <f t="shared" si="3"/>
        <v>209.48666666666668</v>
      </c>
      <c r="Q27" s="681">
        <f t="shared" si="3"/>
        <v>743.6</v>
      </c>
      <c r="R27" s="681">
        <f t="shared" ca="1" si="3"/>
        <v>628848.19315631711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7177.1241702882526</v>
      </c>
      <c r="D40" s="979">
        <f ca="1">tertiair!C20</f>
        <v>0</v>
      </c>
      <c r="E40" s="979">
        <f ca="1">tertiair!D20</f>
        <v>8084.5784227546937</v>
      </c>
      <c r="F40" s="979">
        <f>tertiair!E20</f>
        <v>116.20412681312671</v>
      </c>
      <c r="G40" s="979">
        <f ca="1">tertiair!F20</f>
        <v>1639.7252788369588</v>
      </c>
      <c r="H40" s="979">
        <f>tertiair!G20</f>
        <v>0</v>
      </c>
      <c r="I40" s="979">
        <f>tertiair!H20</f>
        <v>0</v>
      </c>
      <c r="J40" s="979">
        <f>tertiair!I20</f>
        <v>0</v>
      </c>
      <c r="K40" s="979">
        <f>tertiair!J20</f>
        <v>2.7796274976957008E-2</v>
      </c>
      <c r="L40" s="979">
        <f>tertiair!K20</f>
        <v>0</v>
      </c>
      <c r="M40" s="979">
        <f ca="1">tertiair!L20</f>
        <v>0</v>
      </c>
      <c r="N40" s="979">
        <f>tertiair!M20</f>
        <v>0</v>
      </c>
      <c r="O40" s="979">
        <f ca="1">tertiair!N20</f>
        <v>0</v>
      </c>
      <c r="P40" s="979">
        <f>tertiair!O20</f>
        <v>0</v>
      </c>
      <c r="Q40" s="748">
        <f>tertiair!P20</f>
        <v>0</v>
      </c>
      <c r="R40" s="824">
        <f t="shared" ca="1" si="4"/>
        <v>17017.659794968011</v>
      </c>
    </row>
    <row r="41" spans="1:18">
      <c r="A41" s="796" t="s">
        <v>224</v>
      </c>
      <c r="B41" s="803"/>
      <c r="C41" s="979">
        <f ca="1">huishoudens!B12</f>
        <v>8055.9254435733492</v>
      </c>
      <c r="D41" s="979">
        <f ca="1">huishoudens!C12</f>
        <v>0</v>
      </c>
      <c r="E41" s="979">
        <f>huishoudens!D12</f>
        <v>24464.78034371886</v>
      </c>
      <c r="F41" s="979">
        <f>huishoudens!E12</f>
        <v>1803.2214105992675</v>
      </c>
      <c r="G41" s="979">
        <f>huishoudens!F12</f>
        <v>5714.858737020535</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40038.785934912012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3624.6547845391829</v>
      </c>
      <c r="D43" s="979">
        <f ca="1">industrie!C22</f>
        <v>0</v>
      </c>
      <c r="E43" s="979">
        <f>industrie!D22</f>
        <v>5287.6377235218315</v>
      </c>
      <c r="F43" s="979">
        <f>industrie!E22</f>
        <v>279.89612396457738</v>
      </c>
      <c r="G43" s="979">
        <f>industrie!F22</f>
        <v>1113.5823504980701</v>
      </c>
      <c r="H43" s="979">
        <f>industrie!G22</f>
        <v>0</v>
      </c>
      <c r="I43" s="979">
        <f>industrie!H22</f>
        <v>0</v>
      </c>
      <c r="J43" s="979">
        <f>industrie!I22</f>
        <v>0</v>
      </c>
      <c r="K43" s="979">
        <f>industrie!J22</f>
        <v>20.314238697071133</v>
      </c>
      <c r="L43" s="979">
        <f>industrie!K22</f>
        <v>0</v>
      </c>
      <c r="M43" s="979">
        <f>industrie!L22</f>
        <v>0</v>
      </c>
      <c r="N43" s="979">
        <f>industrie!M22</f>
        <v>0</v>
      </c>
      <c r="O43" s="979">
        <f>industrie!N22</f>
        <v>0</v>
      </c>
      <c r="P43" s="979">
        <f>industrie!O22</f>
        <v>0</v>
      </c>
      <c r="Q43" s="748">
        <f>industrie!P22</f>
        <v>0</v>
      </c>
      <c r="R43" s="823">
        <f t="shared" ca="1" si="4"/>
        <v>10326.085221220734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18857.704398400783</v>
      </c>
      <c r="D46" s="706">
        <f t="shared" ref="D46:Q46" ca="1" si="5">SUM(D39:D45)</f>
        <v>0</v>
      </c>
      <c r="E46" s="706">
        <f t="shared" ca="1" si="5"/>
        <v>37836.996489995385</v>
      </c>
      <c r="F46" s="706">
        <f t="shared" si="5"/>
        <v>2199.3216613769719</v>
      </c>
      <c r="G46" s="706">
        <f t="shared" ca="1" si="5"/>
        <v>8468.1663663555646</v>
      </c>
      <c r="H46" s="706">
        <f t="shared" si="5"/>
        <v>0</v>
      </c>
      <c r="I46" s="706">
        <f t="shared" si="5"/>
        <v>0</v>
      </c>
      <c r="J46" s="706">
        <f t="shared" si="5"/>
        <v>0</v>
      </c>
      <c r="K46" s="706">
        <f t="shared" si="5"/>
        <v>20.34203497204809</v>
      </c>
      <c r="L46" s="706">
        <f t="shared" si="5"/>
        <v>0</v>
      </c>
      <c r="M46" s="706">
        <f t="shared" ca="1" si="5"/>
        <v>0</v>
      </c>
      <c r="N46" s="706">
        <f t="shared" si="5"/>
        <v>0</v>
      </c>
      <c r="O46" s="706">
        <f t="shared" ca="1" si="5"/>
        <v>0</v>
      </c>
      <c r="P46" s="706">
        <f t="shared" si="5"/>
        <v>0</v>
      </c>
      <c r="Q46" s="706">
        <f t="shared" si="5"/>
        <v>0</v>
      </c>
      <c r="R46" s="706">
        <f ca="1">SUM(R39:R45)</f>
        <v>67382.530951100765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709.72854874018549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709.72854874018549</v>
      </c>
    </row>
    <row r="50" spans="1:18">
      <c r="A50" s="799" t="s">
        <v>306</v>
      </c>
      <c r="B50" s="809"/>
      <c r="C50" s="677">
        <f ca="1">transport!B18</f>
        <v>18.379968541771373</v>
      </c>
      <c r="D50" s="677">
        <f>transport!C18</f>
        <v>0</v>
      </c>
      <c r="E50" s="677">
        <f>transport!D18</f>
        <v>61.46745501883133</v>
      </c>
      <c r="F50" s="677">
        <f>transport!E18</f>
        <v>129.25518670449347</v>
      </c>
      <c r="G50" s="677">
        <f>transport!F18</f>
        <v>0</v>
      </c>
      <c r="H50" s="677">
        <f>transport!G18</f>
        <v>55548.154552483553</v>
      </c>
      <c r="I50" s="677">
        <f>transport!H18</f>
        <v>12990.718865978404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68747.976028727047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18.379968541771373</v>
      </c>
      <c r="D52" s="706">
        <f t="shared" ref="D52:Q52" ca="1" si="6">SUM(D48:D51)</f>
        <v>0</v>
      </c>
      <c r="E52" s="706">
        <f t="shared" si="6"/>
        <v>61.46745501883133</v>
      </c>
      <c r="F52" s="706">
        <f t="shared" si="6"/>
        <v>129.25518670449347</v>
      </c>
      <c r="G52" s="706">
        <f t="shared" si="6"/>
        <v>0</v>
      </c>
      <c r="H52" s="706">
        <f t="shared" si="6"/>
        <v>56257.883101223735</v>
      </c>
      <c r="I52" s="706">
        <f t="shared" si="6"/>
        <v>12990.718865978404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69457.70457746723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37.191405385522415</v>
      </c>
      <c r="D54" s="677">
        <f ca="1">+landbouw!C12</f>
        <v>0</v>
      </c>
      <c r="E54" s="677">
        <f>+landbouw!D12</f>
        <v>24.773831654217847</v>
      </c>
      <c r="F54" s="677">
        <f>+landbouw!E12</f>
        <v>1.3010604619963821</v>
      </c>
      <c r="G54" s="677">
        <f>+landbouw!F12</f>
        <v>216.89612746642237</v>
      </c>
      <c r="H54" s="677">
        <f>+landbouw!G12</f>
        <v>0</v>
      </c>
      <c r="I54" s="677">
        <f>+landbouw!H12</f>
        <v>0</v>
      </c>
      <c r="J54" s="677">
        <f>+landbouw!I12</f>
        <v>0</v>
      </c>
      <c r="K54" s="677">
        <f>+landbouw!J12</f>
        <v>10.00078708750898</v>
      </c>
      <c r="L54" s="677">
        <f>+landbouw!K12</f>
        <v>0</v>
      </c>
      <c r="M54" s="677">
        <f>+landbouw!L12</f>
        <v>0</v>
      </c>
      <c r="N54" s="677">
        <f>+landbouw!M12</f>
        <v>0</v>
      </c>
      <c r="O54" s="677">
        <f>+landbouw!N12</f>
        <v>0</v>
      </c>
      <c r="P54" s="677">
        <f>+landbouw!O12</f>
        <v>0</v>
      </c>
      <c r="Q54" s="678">
        <f>+landbouw!P12</f>
        <v>0</v>
      </c>
      <c r="R54" s="705">
        <f ca="1">SUM(C54:Q54)</f>
        <v>290.163212055668</v>
      </c>
    </row>
    <row r="55" spans="1:18" ht="15" thickBot="1">
      <c r="A55" s="799" t="s">
        <v>823</v>
      </c>
      <c r="B55" s="809"/>
      <c r="C55" s="677">
        <f ca="1">C25*'EF ele_warmte'!B12</f>
        <v>259.75252021400127</v>
      </c>
      <c r="D55" s="677"/>
      <c r="E55" s="677">
        <f>E25*EF_CO2_aardgas</f>
        <v>649.48401697307156</v>
      </c>
      <c r="F55" s="677"/>
      <c r="G55" s="677"/>
      <c r="H55" s="677"/>
      <c r="I55" s="677"/>
      <c r="J55" s="677"/>
      <c r="K55" s="677"/>
      <c r="L55" s="677"/>
      <c r="M55" s="677"/>
      <c r="N55" s="677"/>
      <c r="O55" s="677"/>
      <c r="P55" s="677"/>
      <c r="Q55" s="678"/>
      <c r="R55" s="705">
        <f ca="1">SUM(C55:Q55)</f>
        <v>909.23653718707283</v>
      </c>
    </row>
    <row r="56" spans="1:18" ht="15.75" thickBot="1">
      <c r="A56" s="797" t="s">
        <v>824</v>
      </c>
      <c r="B56" s="810"/>
      <c r="C56" s="706">
        <f ca="1">SUM(C54:C55)</f>
        <v>296.94392559952371</v>
      </c>
      <c r="D56" s="706">
        <f t="shared" ref="D56:Q56" ca="1" si="7">SUM(D54:D55)</f>
        <v>0</v>
      </c>
      <c r="E56" s="706">
        <f t="shared" si="7"/>
        <v>674.25784862728938</v>
      </c>
      <c r="F56" s="706">
        <f t="shared" si="7"/>
        <v>1.3010604619963821</v>
      </c>
      <c r="G56" s="706">
        <f t="shared" si="7"/>
        <v>216.89612746642237</v>
      </c>
      <c r="H56" s="706">
        <f t="shared" si="7"/>
        <v>0</v>
      </c>
      <c r="I56" s="706">
        <f t="shared" si="7"/>
        <v>0</v>
      </c>
      <c r="J56" s="706">
        <f t="shared" si="7"/>
        <v>0</v>
      </c>
      <c r="K56" s="706">
        <f t="shared" si="7"/>
        <v>10.00078708750898</v>
      </c>
      <c r="L56" s="706">
        <f t="shared" si="7"/>
        <v>0</v>
      </c>
      <c r="M56" s="706">
        <f t="shared" si="7"/>
        <v>0</v>
      </c>
      <c r="N56" s="706">
        <f t="shared" si="7"/>
        <v>0</v>
      </c>
      <c r="O56" s="706">
        <f t="shared" si="7"/>
        <v>0</v>
      </c>
      <c r="P56" s="706">
        <f t="shared" si="7"/>
        <v>0</v>
      </c>
      <c r="Q56" s="707">
        <f t="shared" si="7"/>
        <v>0</v>
      </c>
      <c r="R56" s="708">
        <f ca="1">SUM(R54:R55)</f>
        <v>1199.3997492427409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19173.02829254208</v>
      </c>
      <c r="D61" s="714">
        <f t="shared" ref="D61:Q61" ca="1" si="8">D46+D52+D56</f>
        <v>0</v>
      </c>
      <c r="E61" s="714">
        <f t="shared" ca="1" si="8"/>
        <v>38572.721793641504</v>
      </c>
      <c r="F61" s="714">
        <f t="shared" si="8"/>
        <v>2329.8779085434617</v>
      </c>
      <c r="G61" s="714">
        <f t="shared" ca="1" si="8"/>
        <v>8685.0624938219862</v>
      </c>
      <c r="H61" s="714">
        <f t="shared" si="8"/>
        <v>56257.883101223735</v>
      </c>
      <c r="I61" s="714">
        <f t="shared" si="8"/>
        <v>12990.718865978404</v>
      </c>
      <c r="J61" s="714">
        <f t="shared" si="8"/>
        <v>0</v>
      </c>
      <c r="K61" s="714">
        <f t="shared" si="8"/>
        <v>30.342822059557072</v>
      </c>
      <c r="L61" s="714">
        <f t="shared" si="8"/>
        <v>0</v>
      </c>
      <c r="M61" s="714">
        <f t="shared" ca="1" si="8"/>
        <v>0</v>
      </c>
      <c r="N61" s="714">
        <f t="shared" si="8"/>
        <v>0</v>
      </c>
      <c r="O61" s="714">
        <f t="shared" ca="1" si="8"/>
        <v>0</v>
      </c>
      <c r="P61" s="714">
        <f t="shared" si="8"/>
        <v>0</v>
      </c>
      <c r="Q61" s="714">
        <f t="shared" si="8"/>
        <v>0</v>
      </c>
      <c r="R61" s="714">
        <f ca="1">R46+R52+R56</f>
        <v>138039.63527781071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0.19072854047574836</v>
      </c>
      <c r="D63" s="755">
        <f t="shared" ca="1" si="9"/>
        <v>0</v>
      </c>
      <c r="E63" s="990">
        <f t="shared" ca="1" si="9"/>
        <v>0.20200000000000004</v>
      </c>
      <c r="F63" s="755">
        <f t="shared" si="9"/>
        <v>0.22700000000000009</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6889.7925010185299</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6879.6423261419932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13769.434827160523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42237.650555490312</v>
      </c>
      <c r="C4" s="451">
        <f>huishoudens!C8</f>
        <v>0</v>
      </c>
      <c r="D4" s="451">
        <f>huishoudens!D8</f>
        <v>121112.77397880623</v>
      </c>
      <c r="E4" s="451">
        <f>huishoudens!E8</f>
        <v>7943.7066546223232</v>
      </c>
      <c r="F4" s="451">
        <f>huishoudens!F8</f>
        <v>21403.965307193015</v>
      </c>
      <c r="G4" s="451">
        <f>huishoudens!G8</f>
        <v>0</v>
      </c>
      <c r="H4" s="451">
        <f>huishoudens!H8</f>
        <v>0</v>
      </c>
      <c r="I4" s="451">
        <f>huishoudens!I8</f>
        <v>0</v>
      </c>
      <c r="J4" s="451">
        <f>huishoudens!J8</f>
        <v>0</v>
      </c>
      <c r="K4" s="451">
        <f>huishoudens!K8</f>
        <v>0</v>
      </c>
      <c r="L4" s="451">
        <f>huishoudens!L8</f>
        <v>0</v>
      </c>
      <c r="M4" s="451">
        <f>huishoudens!M8</f>
        <v>0</v>
      </c>
      <c r="N4" s="451">
        <f>huishoudens!N8</f>
        <v>11741.998344472482</v>
      </c>
      <c r="O4" s="451">
        <f>huishoudens!O8</f>
        <v>207.92333333333335</v>
      </c>
      <c r="P4" s="452">
        <f>huishoudens!P8</f>
        <v>705.4666666666667</v>
      </c>
      <c r="Q4" s="453">
        <f>SUM(B4:P4)</f>
        <v>205353.48484058442</v>
      </c>
    </row>
    <row r="5" spans="1:17">
      <c r="A5" s="450" t="s">
        <v>155</v>
      </c>
      <c r="B5" s="451">
        <f ca="1">tertiair!B16</f>
        <v>35561.275195124959</v>
      </c>
      <c r="C5" s="451">
        <f ca="1">tertiair!C16</f>
        <v>0</v>
      </c>
      <c r="D5" s="451">
        <f ca="1">tertiair!D16</f>
        <v>40022.665459181648</v>
      </c>
      <c r="E5" s="451">
        <f>tertiair!E16</f>
        <v>511.91245292126303</v>
      </c>
      <c r="F5" s="451">
        <f ca="1">tertiair!F16</f>
        <v>6141.2931791646388</v>
      </c>
      <c r="G5" s="451">
        <f>tertiair!G16</f>
        <v>0</v>
      </c>
      <c r="H5" s="451">
        <f>tertiair!H16</f>
        <v>0</v>
      </c>
      <c r="I5" s="451">
        <f>tertiair!I16</f>
        <v>0</v>
      </c>
      <c r="J5" s="451">
        <f>tertiair!J16</f>
        <v>7.8520550782364432E-2</v>
      </c>
      <c r="K5" s="451">
        <f>tertiair!K16</f>
        <v>0</v>
      </c>
      <c r="L5" s="451">
        <f ca="1">tertiair!L16</f>
        <v>0</v>
      </c>
      <c r="M5" s="451">
        <f>tertiair!M16</f>
        <v>0</v>
      </c>
      <c r="N5" s="451">
        <f ca="1">tertiair!N16</f>
        <v>3150.2019811359064</v>
      </c>
      <c r="O5" s="451">
        <f>tertiair!O16</f>
        <v>1.5633333333333335</v>
      </c>
      <c r="P5" s="452">
        <f>tertiair!P16</f>
        <v>38.133333333333333</v>
      </c>
      <c r="Q5" s="450">
        <f t="shared" ref="Q5:Q14" ca="1" si="0">SUM(B5:P5)</f>
        <v>85427.123454745873</v>
      </c>
    </row>
    <row r="6" spans="1:17">
      <c r="A6" s="450" t="s">
        <v>193</v>
      </c>
      <c r="B6" s="451">
        <f>'openbare verlichting'!B8</f>
        <v>2068.7730000000001</v>
      </c>
      <c r="C6" s="451"/>
      <c r="D6" s="451"/>
      <c r="E6" s="451"/>
      <c r="F6" s="451"/>
      <c r="G6" s="451"/>
      <c r="H6" s="451"/>
      <c r="I6" s="451"/>
      <c r="J6" s="451"/>
      <c r="K6" s="451"/>
      <c r="L6" s="451"/>
      <c r="M6" s="451"/>
      <c r="N6" s="451"/>
      <c r="O6" s="451"/>
      <c r="P6" s="452"/>
      <c r="Q6" s="450">
        <f t="shared" si="0"/>
        <v>2068.7730000000001</v>
      </c>
    </row>
    <row r="7" spans="1:17">
      <c r="A7" s="450" t="s">
        <v>111</v>
      </c>
      <c r="B7" s="451">
        <f>landbouw!B8</f>
        <v>194.99653954648389</v>
      </c>
      <c r="C7" s="451">
        <f>landbouw!C8</f>
        <v>0</v>
      </c>
      <c r="D7" s="451">
        <f>landbouw!D8</f>
        <v>122.64273096147448</v>
      </c>
      <c r="E7" s="451">
        <f>landbouw!E8</f>
        <v>5.7315438854466176</v>
      </c>
      <c r="F7" s="451">
        <f>landbouw!F8</f>
        <v>812.34504669072044</v>
      </c>
      <c r="G7" s="451">
        <f>landbouw!G8</f>
        <v>0</v>
      </c>
      <c r="H7" s="451">
        <f>landbouw!H8</f>
        <v>0</v>
      </c>
      <c r="I7" s="451">
        <f>landbouw!I8</f>
        <v>0</v>
      </c>
      <c r="J7" s="451">
        <f>landbouw!J8</f>
        <v>28.250810981663786</v>
      </c>
      <c r="K7" s="451">
        <f>landbouw!K8</f>
        <v>0</v>
      </c>
      <c r="L7" s="451">
        <f>landbouw!L8</f>
        <v>0</v>
      </c>
      <c r="M7" s="451">
        <f>landbouw!M8</f>
        <v>0</v>
      </c>
      <c r="N7" s="451">
        <f>landbouw!N8</f>
        <v>0</v>
      </c>
      <c r="O7" s="451">
        <f>landbouw!O8</f>
        <v>0</v>
      </c>
      <c r="P7" s="452">
        <f>landbouw!P8</f>
        <v>0</v>
      </c>
      <c r="Q7" s="450">
        <f t="shared" si="0"/>
        <v>1163.9666720657892</v>
      </c>
    </row>
    <row r="8" spans="1:17">
      <c r="A8" s="450" t="s">
        <v>634</v>
      </c>
      <c r="B8" s="451">
        <f>industrie!B18</f>
        <v>19004.260062484289</v>
      </c>
      <c r="C8" s="451">
        <f>industrie!C18</f>
        <v>0</v>
      </c>
      <c r="D8" s="451">
        <f>industrie!D18</f>
        <v>26176.424373870454</v>
      </c>
      <c r="E8" s="451">
        <f>industrie!E18</f>
        <v>1233.022572531178</v>
      </c>
      <c r="F8" s="451">
        <f>industrie!F18</f>
        <v>4170.7204138504494</v>
      </c>
      <c r="G8" s="451">
        <f>industrie!G18</f>
        <v>0</v>
      </c>
      <c r="H8" s="451">
        <f>industrie!H18</f>
        <v>0</v>
      </c>
      <c r="I8" s="451">
        <f>industrie!I18</f>
        <v>0</v>
      </c>
      <c r="J8" s="451">
        <f>industrie!J18</f>
        <v>57.384855076472128</v>
      </c>
      <c r="K8" s="451">
        <f>industrie!K18</f>
        <v>0</v>
      </c>
      <c r="L8" s="451">
        <f>industrie!L18</f>
        <v>0</v>
      </c>
      <c r="M8" s="451">
        <f>industrie!M18</f>
        <v>0</v>
      </c>
      <c r="N8" s="451">
        <f>industrie!N18</f>
        <v>1928.4871990396118</v>
      </c>
      <c r="O8" s="451">
        <f>industrie!O18</f>
        <v>0</v>
      </c>
      <c r="P8" s="452">
        <f>industrie!P18</f>
        <v>0</v>
      </c>
      <c r="Q8" s="450">
        <f t="shared" si="0"/>
        <v>52570.299476852451</v>
      </c>
    </row>
    <row r="9" spans="1:17" s="456" customFormat="1">
      <c r="A9" s="454" t="s">
        <v>560</v>
      </c>
      <c r="B9" s="455">
        <f>transport!B14</f>
        <v>96.367164011871807</v>
      </c>
      <c r="C9" s="455">
        <f>transport!C14</f>
        <v>0</v>
      </c>
      <c r="D9" s="455">
        <f>transport!D14</f>
        <v>304.29433177639271</v>
      </c>
      <c r="E9" s="455">
        <f>transport!E14</f>
        <v>569.40610883036766</v>
      </c>
      <c r="F9" s="455">
        <f>transport!F14</f>
        <v>0</v>
      </c>
      <c r="G9" s="455">
        <f>transport!G14</f>
        <v>208045.5226684777</v>
      </c>
      <c r="H9" s="455">
        <f>transport!H14</f>
        <v>52171.561710756643</v>
      </c>
      <c r="I9" s="455">
        <f>transport!I14</f>
        <v>0</v>
      </c>
      <c r="J9" s="455">
        <f>transport!J14</f>
        <v>0</v>
      </c>
      <c r="K9" s="455">
        <f>transport!K14</f>
        <v>0</v>
      </c>
      <c r="L9" s="455">
        <f>transport!L14</f>
        <v>0</v>
      </c>
      <c r="M9" s="455">
        <f>transport!M14</f>
        <v>13691.11020658272</v>
      </c>
      <c r="N9" s="455">
        <f>transport!N14</f>
        <v>0</v>
      </c>
      <c r="O9" s="455">
        <f>transport!O14</f>
        <v>0</v>
      </c>
      <c r="P9" s="455">
        <f>transport!P14</f>
        <v>0</v>
      </c>
      <c r="Q9" s="454">
        <f>SUM(B9:P9)</f>
        <v>274878.26219043572</v>
      </c>
    </row>
    <row r="10" spans="1:17">
      <c r="A10" s="450" t="s">
        <v>550</v>
      </c>
      <c r="B10" s="451">
        <f>transport!B54</f>
        <v>0</v>
      </c>
      <c r="C10" s="451">
        <f>transport!C54</f>
        <v>0</v>
      </c>
      <c r="D10" s="451">
        <f>transport!D54</f>
        <v>0</v>
      </c>
      <c r="E10" s="451">
        <f>transport!E54</f>
        <v>0</v>
      </c>
      <c r="F10" s="451">
        <f>transport!F54</f>
        <v>0</v>
      </c>
      <c r="G10" s="451">
        <f>transport!G54</f>
        <v>2658.1593585774735</v>
      </c>
      <c r="H10" s="451">
        <f>transport!H54</f>
        <v>0</v>
      </c>
      <c r="I10" s="451">
        <f>transport!I54</f>
        <v>0</v>
      </c>
      <c r="J10" s="451">
        <f>transport!J54</f>
        <v>0</v>
      </c>
      <c r="K10" s="451">
        <f>transport!K54</f>
        <v>0</v>
      </c>
      <c r="L10" s="451">
        <f>transport!L54</f>
        <v>0</v>
      </c>
      <c r="M10" s="451">
        <f>transport!M54</f>
        <v>150.96031264519806</v>
      </c>
      <c r="N10" s="451">
        <f>transport!N54</f>
        <v>0</v>
      </c>
      <c r="O10" s="451">
        <f>transport!O54</f>
        <v>0</v>
      </c>
      <c r="P10" s="452">
        <f>transport!P54</f>
        <v>0</v>
      </c>
      <c r="Q10" s="450">
        <f t="shared" si="0"/>
        <v>2809.1196712226715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1361.8964396522999</v>
      </c>
      <c r="C14" s="458"/>
      <c r="D14" s="458">
        <f>'SEAP template'!E25</f>
        <v>3215.26741075778</v>
      </c>
      <c r="E14" s="458"/>
      <c r="F14" s="458"/>
      <c r="G14" s="458"/>
      <c r="H14" s="458"/>
      <c r="I14" s="458"/>
      <c r="J14" s="458"/>
      <c r="K14" s="458"/>
      <c r="L14" s="458"/>
      <c r="M14" s="458"/>
      <c r="N14" s="458"/>
      <c r="O14" s="458"/>
      <c r="P14" s="459"/>
      <c r="Q14" s="450">
        <f t="shared" si="0"/>
        <v>4577.1638504100802</v>
      </c>
    </row>
    <row r="15" spans="1:17" s="460" customFormat="1">
      <c r="A15" s="1005" t="s">
        <v>554</v>
      </c>
      <c r="B15" s="953">
        <f ca="1">SUM(B4:B14)</f>
        <v>100525.21895631021</v>
      </c>
      <c r="C15" s="953">
        <f t="shared" ref="C15:Q15" ca="1" si="1">SUM(C4:C14)</f>
        <v>0</v>
      </c>
      <c r="D15" s="953">
        <f t="shared" ca="1" si="1"/>
        <v>190954.06828535395</v>
      </c>
      <c r="E15" s="953">
        <f t="shared" si="1"/>
        <v>10263.779332790577</v>
      </c>
      <c r="F15" s="953">
        <f t="shared" ca="1" si="1"/>
        <v>32528.323946898825</v>
      </c>
      <c r="G15" s="953">
        <f t="shared" si="1"/>
        <v>210703.68202705518</v>
      </c>
      <c r="H15" s="953">
        <f t="shared" si="1"/>
        <v>52171.561710756643</v>
      </c>
      <c r="I15" s="953">
        <f t="shared" si="1"/>
        <v>0</v>
      </c>
      <c r="J15" s="953">
        <f t="shared" si="1"/>
        <v>85.714186608918283</v>
      </c>
      <c r="K15" s="953">
        <f t="shared" si="1"/>
        <v>0</v>
      </c>
      <c r="L15" s="953">
        <f t="shared" ca="1" si="1"/>
        <v>0</v>
      </c>
      <c r="M15" s="953">
        <f t="shared" si="1"/>
        <v>13842.070519227918</v>
      </c>
      <c r="N15" s="953">
        <f t="shared" ca="1" si="1"/>
        <v>16820.687524648001</v>
      </c>
      <c r="O15" s="953">
        <f t="shared" si="1"/>
        <v>209.48666666666668</v>
      </c>
      <c r="P15" s="953">
        <f t="shared" si="1"/>
        <v>743.6</v>
      </c>
      <c r="Q15" s="953">
        <f t="shared" ca="1" si="1"/>
        <v>628848.19315631688</v>
      </c>
    </row>
    <row r="17" spans="1:17">
      <c r="A17" s="461" t="s">
        <v>555</v>
      </c>
      <c r="B17" s="760">
        <f ca="1">huishoudens!B10</f>
        <v>0.19072854047574836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8055.9254435733492</v>
      </c>
      <c r="C22" s="451">
        <f t="shared" ref="C22:C32" ca="1" si="3">C4*$C$17</f>
        <v>0</v>
      </c>
      <c r="D22" s="451">
        <f t="shared" ref="D22:D32" si="4">D4*$D$17</f>
        <v>24464.78034371886</v>
      </c>
      <c r="E22" s="451">
        <f t="shared" ref="E22:E32" si="5">E4*$E$17</f>
        <v>1803.2214105992675</v>
      </c>
      <c r="F22" s="451">
        <f t="shared" ref="F22:F32" si="6">F4*$F$17</f>
        <v>5714.858737020535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40038.785934912012</v>
      </c>
    </row>
    <row r="23" spans="1:17">
      <c r="A23" s="450" t="s">
        <v>155</v>
      </c>
      <c r="B23" s="451">
        <f t="shared" ca="1" si="2"/>
        <v>6782.5501154226167</v>
      </c>
      <c r="C23" s="451">
        <f t="shared" ca="1" si="3"/>
        <v>0</v>
      </c>
      <c r="D23" s="451">
        <f t="shared" ca="1" si="4"/>
        <v>8084.5784227546937</v>
      </c>
      <c r="E23" s="451">
        <f t="shared" si="5"/>
        <v>116.20412681312671</v>
      </c>
      <c r="F23" s="451">
        <f t="shared" ca="1" si="6"/>
        <v>1639.7252788369588</v>
      </c>
      <c r="G23" s="451">
        <f t="shared" si="7"/>
        <v>0</v>
      </c>
      <c r="H23" s="451">
        <f t="shared" si="8"/>
        <v>0</v>
      </c>
      <c r="I23" s="451">
        <f t="shared" si="9"/>
        <v>0</v>
      </c>
      <c r="J23" s="451">
        <f t="shared" si="10"/>
        <v>2.7796274976957008E-2</v>
      </c>
      <c r="K23" s="451">
        <f t="shared" si="11"/>
        <v>0</v>
      </c>
      <c r="L23" s="451">
        <f t="shared" ca="1" si="12"/>
        <v>0</v>
      </c>
      <c r="M23" s="451">
        <f t="shared" si="13"/>
        <v>0</v>
      </c>
      <c r="N23" s="451">
        <f t="shared" ca="1" si="14"/>
        <v>0</v>
      </c>
      <c r="O23" s="451">
        <f t="shared" si="15"/>
        <v>0</v>
      </c>
      <c r="P23" s="452">
        <f t="shared" si="16"/>
        <v>0</v>
      </c>
      <c r="Q23" s="450">
        <f t="shared" ref="Q23:Q32" ca="1" si="17">SUM(B23:P23)</f>
        <v>16623.085740102375</v>
      </c>
    </row>
    <row r="24" spans="1:17">
      <c r="A24" s="450" t="s">
        <v>193</v>
      </c>
      <c r="B24" s="451">
        <f t="shared" ca="1" si="2"/>
        <v>394.57405486563539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394.57405486563539</v>
      </c>
    </row>
    <row r="25" spans="1:17">
      <c r="A25" s="450" t="s">
        <v>111</v>
      </c>
      <c r="B25" s="451">
        <f t="shared" ca="1" si="2"/>
        <v>37.191405385522415</v>
      </c>
      <c r="C25" s="451">
        <f t="shared" ca="1" si="3"/>
        <v>0</v>
      </c>
      <c r="D25" s="451">
        <f t="shared" si="4"/>
        <v>24.773831654217847</v>
      </c>
      <c r="E25" s="451">
        <f t="shared" si="5"/>
        <v>1.3010604619963821</v>
      </c>
      <c r="F25" s="451">
        <f t="shared" si="6"/>
        <v>216.89612746642237</v>
      </c>
      <c r="G25" s="451">
        <f t="shared" si="7"/>
        <v>0</v>
      </c>
      <c r="H25" s="451">
        <f t="shared" si="8"/>
        <v>0</v>
      </c>
      <c r="I25" s="451">
        <f t="shared" si="9"/>
        <v>0</v>
      </c>
      <c r="J25" s="451">
        <f t="shared" si="10"/>
        <v>10.00078708750898</v>
      </c>
      <c r="K25" s="451">
        <f t="shared" si="11"/>
        <v>0</v>
      </c>
      <c r="L25" s="451">
        <f t="shared" si="12"/>
        <v>0</v>
      </c>
      <c r="M25" s="451">
        <f t="shared" si="13"/>
        <v>0</v>
      </c>
      <c r="N25" s="451">
        <f t="shared" si="14"/>
        <v>0</v>
      </c>
      <c r="O25" s="451">
        <f t="shared" si="15"/>
        <v>0</v>
      </c>
      <c r="P25" s="452">
        <f t="shared" si="16"/>
        <v>0</v>
      </c>
      <c r="Q25" s="450">
        <f t="shared" ca="1" si="17"/>
        <v>290.163212055668</v>
      </c>
    </row>
    <row r="26" spans="1:17">
      <c r="A26" s="450" t="s">
        <v>634</v>
      </c>
      <c r="B26" s="451">
        <f t="shared" ca="1" si="2"/>
        <v>3624.6547845391829</v>
      </c>
      <c r="C26" s="451">
        <f t="shared" ca="1" si="3"/>
        <v>0</v>
      </c>
      <c r="D26" s="451">
        <f t="shared" si="4"/>
        <v>5287.6377235218315</v>
      </c>
      <c r="E26" s="451">
        <f t="shared" si="5"/>
        <v>279.89612396457738</v>
      </c>
      <c r="F26" s="451">
        <f t="shared" si="6"/>
        <v>1113.5823504980701</v>
      </c>
      <c r="G26" s="451">
        <f t="shared" si="7"/>
        <v>0</v>
      </c>
      <c r="H26" s="451">
        <f t="shared" si="8"/>
        <v>0</v>
      </c>
      <c r="I26" s="451">
        <f t="shared" si="9"/>
        <v>0</v>
      </c>
      <c r="J26" s="451">
        <f t="shared" si="10"/>
        <v>20.314238697071133</v>
      </c>
      <c r="K26" s="451">
        <f t="shared" si="11"/>
        <v>0</v>
      </c>
      <c r="L26" s="451">
        <f t="shared" si="12"/>
        <v>0</v>
      </c>
      <c r="M26" s="451">
        <f t="shared" si="13"/>
        <v>0</v>
      </c>
      <c r="N26" s="451">
        <f t="shared" si="14"/>
        <v>0</v>
      </c>
      <c r="O26" s="451">
        <f t="shared" si="15"/>
        <v>0</v>
      </c>
      <c r="P26" s="452">
        <f t="shared" si="16"/>
        <v>0</v>
      </c>
      <c r="Q26" s="450">
        <f t="shared" ca="1" si="17"/>
        <v>10326.085221220734</v>
      </c>
    </row>
    <row r="27" spans="1:17" s="456" customFormat="1">
      <c r="A27" s="454" t="s">
        <v>560</v>
      </c>
      <c r="B27" s="754">
        <f t="shared" ca="1" si="2"/>
        <v>18.379968541771373</v>
      </c>
      <c r="C27" s="455">
        <f t="shared" ca="1" si="3"/>
        <v>0</v>
      </c>
      <c r="D27" s="455">
        <f t="shared" si="4"/>
        <v>61.46745501883133</v>
      </c>
      <c r="E27" s="455">
        <f t="shared" si="5"/>
        <v>129.25518670449347</v>
      </c>
      <c r="F27" s="455">
        <f t="shared" si="6"/>
        <v>0</v>
      </c>
      <c r="G27" s="455">
        <f t="shared" si="7"/>
        <v>55548.154552483553</v>
      </c>
      <c r="H27" s="455">
        <f t="shared" si="8"/>
        <v>12990.718865978404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68747.976028727047</v>
      </c>
    </row>
    <row r="28" spans="1:17">
      <c r="A28" s="450" t="s">
        <v>550</v>
      </c>
      <c r="B28" s="451">
        <f t="shared" ca="1" si="2"/>
        <v>0</v>
      </c>
      <c r="C28" s="451">
        <f t="shared" ca="1" si="3"/>
        <v>0</v>
      </c>
      <c r="D28" s="451">
        <f t="shared" si="4"/>
        <v>0</v>
      </c>
      <c r="E28" s="451">
        <f t="shared" si="5"/>
        <v>0</v>
      </c>
      <c r="F28" s="451">
        <f t="shared" si="6"/>
        <v>0</v>
      </c>
      <c r="G28" s="451">
        <f t="shared" si="7"/>
        <v>709.72854874018549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709.72854874018549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259.75252021400127</v>
      </c>
      <c r="C32" s="451">
        <f t="shared" ca="1" si="3"/>
        <v>0</v>
      </c>
      <c r="D32" s="451">
        <f t="shared" si="4"/>
        <v>649.48401697307156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909.23653718707283</v>
      </c>
    </row>
    <row r="33" spans="1:17" s="460" customFormat="1">
      <c r="A33" s="1005" t="s">
        <v>554</v>
      </c>
      <c r="B33" s="953">
        <f ca="1">SUM(B22:B32)</f>
        <v>19173.02829254208</v>
      </c>
      <c r="C33" s="953">
        <f t="shared" ref="C33:Q33" ca="1" si="18">SUM(C22:C32)</f>
        <v>0</v>
      </c>
      <c r="D33" s="953">
        <f t="shared" ca="1" si="18"/>
        <v>38572.721793641504</v>
      </c>
      <c r="E33" s="953">
        <f t="shared" si="18"/>
        <v>2329.8779085434617</v>
      </c>
      <c r="F33" s="953">
        <f t="shared" ca="1" si="18"/>
        <v>8685.0624938219862</v>
      </c>
      <c r="G33" s="953">
        <f t="shared" si="18"/>
        <v>56257.883101223735</v>
      </c>
      <c r="H33" s="953">
        <f t="shared" si="18"/>
        <v>12990.718865978404</v>
      </c>
      <c r="I33" s="953">
        <f t="shared" si="18"/>
        <v>0</v>
      </c>
      <c r="J33" s="953">
        <f t="shared" si="18"/>
        <v>30.342822059557072</v>
      </c>
      <c r="K33" s="953">
        <f t="shared" si="18"/>
        <v>0</v>
      </c>
      <c r="L33" s="953">
        <f t="shared" ca="1" si="18"/>
        <v>0</v>
      </c>
      <c r="M33" s="953">
        <f t="shared" si="18"/>
        <v>0</v>
      </c>
      <c r="N33" s="953">
        <f t="shared" ca="1" si="18"/>
        <v>0</v>
      </c>
      <c r="O33" s="953">
        <f t="shared" si="18"/>
        <v>0</v>
      </c>
      <c r="P33" s="953">
        <f t="shared" si="18"/>
        <v>0</v>
      </c>
      <c r="Q33" s="953">
        <f t="shared" ca="1" si="18"/>
        <v>138039.63527781071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6889.7925010185299</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6879.6423261419932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13769.434827160523</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0.19072854047574836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0.19072854047574836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0.19072854047574836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0.19072854047574836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9511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863.72</v>
      </c>
      <c r="C14" s="330"/>
      <c r="D14" s="330"/>
      <c r="E14" s="330"/>
      <c r="F14" s="330"/>
    </row>
    <row r="15" spans="1:6">
      <c r="A15" s="1293" t="s">
        <v>183</v>
      </c>
      <c r="B15" s="1294">
        <v>4</v>
      </c>
      <c r="C15" s="330"/>
      <c r="D15" s="330"/>
      <c r="E15" s="330"/>
      <c r="F15" s="330"/>
    </row>
    <row r="16" spans="1:6">
      <c r="A16" s="1293" t="s">
        <v>6</v>
      </c>
      <c r="B16" s="1294">
        <v>93</v>
      </c>
      <c r="C16" s="330"/>
      <c r="D16" s="330"/>
      <c r="E16" s="330"/>
      <c r="F16" s="330"/>
    </row>
    <row r="17" spans="1:6">
      <c r="A17" s="1293" t="s">
        <v>7</v>
      </c>
      <c r="B17" s="1294">
        <v>319</v>
      </c>
      <c r="C17" s="330"/>
      <c r="D17" s="330"/>
      <c r="E17" s="330"/>
      <c r="F17" s="330"/>
    </row>
    <row r="18" spans="1:6">
      <c r="A18" s="1293" t="s">
        <v>8</v>
      </c>
      <c r="B18" s="1294">
        <v>289</v>
      </c>
      <c r="C18" s="330"/>
      <c r="D18" s="330"/>
      <c r="E18" s="330"/>
      <c r="F18" s="330"/>
    </row>
    <row r="19" spans="1:6">
      <c r="A19" s="1293" t="s">
        <v>9</v>
      </c>
      <c r="B19" s="1294">
        <v>258</v>
      </c>
      <c r="C19" s="330"/>
      <c r="D19" s="330"/>
      <c r="E19" s="330"/>
      <c r="F19" s="330"/>
    </row>
    <row r="20" spans="1:6">
      <c r="A20" s="1293" t="s">
        <v>10</v>
      </c>
      <c r="B20" s="1294">
        <v>243</v>
      </c>
      <c r="C20" s="330"/>
      <c r="D20" s="330"/>
      <c r="E20" s="330"/>
      <c r="F20" s="330"/>
    </row>
    <row r="21" spans="1:6">
      <c r="A21" s="1293" t="s">
        <v>11</v>
      </c>
      <c r="B21" s="1294">
        <v>117</v>
      </c>
      <c r="C21" s="330"/>
      <c r="D21" s="330"/>
      <c r="E21" s="330"/>
      <c r="F21" s="330"/>
    </row>
    <row r="22" spans="1:6">
      <c r="A22" s="1293" t="s">
        <v>12</v>
      </c>
      <c r="B22" s="1294">
        <v>369</v>
      </c>
      <c r="C22" s="330"/>
      <c r="D22" s="330"/>
      <c r="E22" s="330"/>
      <c r="F22" s="330"/>
    </row>
    <row r="23" spans="1:6">
      <c r="A23" s="1293" t="s">
        <v>13</v>
      </c>
      <c r="B23" s="1294">
        <v>4</v>
      </c>
      <c r="C23" s="330"/>
      <c r="D23" s="330"/>
      <c r="E23" s="330"/>
      <c r="F23" s="330"/>
    </row>
    <row r="24" spans="1:6">
      <c r="A24" s="1293" t="s">
        <v>14</v>
      </c>
      <c r="B24" s="1294">
        <v>0</v>
      </c>
      <c r="C24" s="330"/>
      <c r="D24" s="330"/>
      <c r="E24" s="330"/>
      <c r="F24" s="330"/>
    </row>
    <row r="25" spans="1:6">
      <c r="A25" s="1293" t="s">
        <v>15</v>
      </c>
      <c r="B25" s="1294">
        <v>71</v>
      </c>
      <c r="C25" s="330"/>
      <c r="D25" s="330"/>
      <c r="E25" s="330"/>
      <c r="F25" s="330"/>
    </row>
    <row r="26" spans="1:6">
      <c r="A26" s="1293" t="s">
        <v>16</v>
      </c>
      <c r="B26" s="1294">
        <v>35</v>
      </c>
      <c r="C26" s="330"/>
      <c r="D26" s="330"/>
      <c r="E26" s="330"/>
      <c r="F26" s="330"/>
    </row>
    <row r="27" spans="1:6">
      <c r="A27" s="1293" t="s">
        <v>17</v>
      </c>
      <c r="B27" s="1294">
        <v>7</v>
      </c>
      <c r="C27" s="330"/>
      <c r="D27" s="330"/>
      <c r="E27" s="330"/>
      <c r="F27" s="330"/>
    </row>
    <row r="28" spans="1:6" s="43" customFormat="1">
      <c r="A28" s="1295" t="s">
        <v>18</v>
      </c>
      <c r="B28" s="1296">
        <v>26</v>
      </c>
      <c r="C28" s="336"/>
      <c r="D28" s="336"/>
      <c r="E28" s="336"/>
      <c r="F28" s="336"/>
    </row>
    <row r="29" spans="1:6">
      <c r="A29" s="1295" t="s">
        <v>734</v>
      </c>
      <c r="B29" s="1296">
        <v>44</v>
      </c>
      <c r="C29" s="336"/>
      <c r="D29" s="336"/>
      <c r="E29" s="336"/>
      <c r="F29" s="336"/>
    </row>
    <row r="30" spans="1:6">
      <c r="A30" s="1288" t="s">
        <v>735</v>
      </c>
      <c r="B30" s="1297">
        <v>10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6</v>
      </c>
      <c r="F38" s="1294">
        <v>28976</v>
      </c>
    </row>
    <row r="39" spans="1:6">
      <c r="A39" s="1293" t="s">
        <v>29</v>
      </c>
      <c r="B39" s="1293" t="s">
        <v>30</v>
      </c>
      <c r="C39" s="1294">
        <v>6619</v>
      </c>
      <c r="D39" s="1294">
        <v>134271368.04745701</v>
      </c>
      <c r="E39" s="1294">
        <v>9470</v>
      </c>
      <c r="F39" s="1294">
        <v>39523415.9636802</v>
      </c>
    </row>
    <row r="40" spans="1:6">
      <c r="A40" s="1293" t="s">
        <v>29</v>
      </c>
      <c r="B40" s="1293" t="s">
        <v>28</v>
      </c>
      <c r="C40" s="1294">
        <v>0</v>
      </c>
      <c r="D40" s="1294">
        <v>0</v>
      </c>
      <c r="E40" s="1294">
        <v>0</v>
      </c>
      <c r="F40" s="1294">
        <v>0</v>
      </c>
    </row>
    <row r="41" spans="1:6">
      <c r="A41" s="1293" t="s">
        <v>31</v>
      </c>
      <c r="B41" s="1293" t="s">
        <v>32</v>
      </c>
      <c r="C41" s="1294">
        <v>17</v>
      </c>
      <c r="D41" s="1294">
        <v>598109.17504389805</v>
      </c>
      <c r="E41" s="1294">
        <v>88</v>
      </c>
      <c r="F41" s="1294">
        <v>1195092.6302517301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1728143.6977542299</v>
      </c>
    </row>
    <row r="48" spans="1:6">
      <c r="A48" s="1293" t="s">
        <v>31</v>
      </c>
      <c r="B48" s="1293" t="s">
        <v>28</v>
      </c>
      <c r="C48" s="1294">
        <v>79</v>
      </c>
      <c r="D48" s="1294">
        <v>28367498.48429</v>
      </c>
      <c r="E48" s="1294">
        <v>112</v>
      </c>
      <c r="F48" s="1294">
        <v>15954716.429542299</v>
      </c>
    </row>
    <row r="49" spans="1:6">
      <c r="A49" s="1293" t="s">
        <v>31</v>
      </c>
      <c r="B49" s="1293" t="s">
        <v>39</v>
      </c>
      <c r="C49" s="1294">
        <v>0</v>
      </c>
      <c r="D49" s="1294">
        <v>0</v>
      </c>
      <c r="E49" s="1294">
        <v>0</v>
      </c>
      <c r="F49" s="1294">
        <v>0</v>
      </c>
    </row>
    <row r="50" spans="1:6">
      <c r="A50" s="1293" t="s">
        <v>31</v>
      </c>
      <c r="B50" s="1293" t="s">
        <v>40</v>
      </c>
      <c r="C50" s="1294">
        <v>3</v>
      </c>
      <c r="D50" s="1294">
        <v>54818.4757774682</v>
      </c>
      <c r="E50" s="1294">
        <v>3</v>
      </c>
      <c r="F50" s="1294">
        <v>126307.304936031</v>
      </c>
    </row>
    <row r="51" spans="1:6">
      <c r="A51" s="1293" t="s">
        <v>41</v>
      </c>
      <c r="B51" s="1293" t="s">
        <v>42</v>
      </c>
      <c r="C51" s="1294">
        <v>3</v>
      </c>
      <c r="D51" s="1294">
        <v>35162.438404705499</v>
      </c>
      <c r="E51" s="1294">
        <v>22</v>
      </c>
      <c r="F51" s="1294">
        <v>172855.75468462601</v>
      </c>
    </row>
    <row r="52" spans="1:6">
      <c r="A52" s="1293" t="s">
        <v>41</v>
      </c>
      <c r="B52" s="1293" t="s">
        <v>28</v>
      </c>
      <c r="C52" s="1294">
        <v>8</v>
      </c>
      <c r="D52" s="1294">
        <v>100805.112550366</v>
      </c>
      <c r="E52" s="1294">
        <v>7</v>
      </c>
      <c r="F52" s="1294">
        <v>22140.784861857901</v>
      </c>
    </row>
    <row r="53" spans="1:6">
      <c r="A53" s="1293" t="s">
        <v>43</v>
      </c>
      <c r="B53" s="1293" t="s">
        <v>44</v>
      </c>
      <c r="C53" s="1294">
        <v>159</v>
      </c>
      <c r="D53" s="1294">
        <v>3215267.4107577801</v>
      </c>
      <c r="E53" s="1294">
        <v>283</v>
      </c>
      <c r="F53" s="1294">
        <v>1361896.4396523</v>
      </c>
    </row>
    <row r="54" spans="1:6">
      <c r="A54" s="1293" t="s">
        <v>45</v>
      </c>
      <c r="B54" s="1293" t="s">
        <v>46</v>
      </c>
      <c r="C54" s="1294">
        <v>0</v>
      </c>
      <c r="D54" s="1294">
        <v>0</v>
      </c>
      <c r="E54" s="1294">
        <v>1</v>
      </c>
      <c r="F54" s="1294">
        <v>2068773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28</v>
      </c>
      <c r="D57" s="1294">
        <v>1083453.26158444</v>
      </c>
      <c r="E57" s="1294">
        <v>81</v>
      </c>
      <c r="F57" s="1294">
        <v>1298770.45858784</v>
      </c>
    </row>
    <row r="58" spans="1:6">
      <c r="A58" s="1293" t="s">
        <v>48</v>
      </c>
      <c r="B58" s="1293" t="s">
        <v>50</v>
      </c>
      <c r="C58" s="1294">
        <v>50</v>
      </c>
      <c r="D58" s="1294">
        <v>7308849.2526775897</v>
      </c>
      <c r="E58" s="1294">
        <v>126</v>
      </c>
      <c r="F58" s="1294">
        <v>1440626.1684366099</v>
      </c>
    </row>
    <row r="59" spans="1:6">
      <c r="A59" s="1293" t="s">
        <v>48</v>
      </c>
      <c r="B59" s="1293" t="s">
        <v>51</v>
      </c>
      <c r="C59" s="1294">
        <v>27</v>
      </c>
      <c r="D59" s="1294">
        <v>2463700.4504822399</v>
      </c>
      <c r="E59" s="1294">
        <v>91</v>
      </c>
      <c r="F59" s="1294">
        <v>5787404.2203469202</v>
      </c>
    </row>
    <row r="60" spans="1:6">
      <c r="A60" s="1293" t="s">
        <v>48</v>
      </c>
      <c r="B60" s="1293" t="s">
        <v>52</v>
      </c>
      <c r="C60" s="1294">
        <v>71</v>
      </c>
      <c r="D60" s="1294">
        <v>3116430.4996254998</v>
      </c>
      <c r="E60" s="1294">
        <v>99</v>
      </c>
      <c r="F60" s="1294">
        <v>2756788.3780502202</v>
      </c>
    </row>
    <row r="61" spans="1:6">
      <c r="A61" s="1293" t="s">
        <v>48</v>
      </c>
      <c r="B61" s="1293" t="s">
        <v>53</v>
      </c>
      <c r="C61" s="1294">
        <v>163</v>
      </c>
      <c r="D61" s="1294">
        <v>5854677.5469000796</v>
      </c>
      <c r="E61" s="1294">
        <v>352</v>
      </c>
      <c r="F61" s="1294">
        <v>3309883.70351208</v>
      </c>
    </row>
    <row r="62" spans="1:6">
      <c r="A62" s="1293" t="s">
        <v>48</v>
      </c>
      <c r="B62" s="1293" t="s">
        <v>54</v>
      </c>
      <c r="C62" s="1294">
        <v>3</v>
      </c>
      <c r="D62" s="1294">
        <v>2036774.6975843599</v>
      </c>
      <c r="E62" s="1294">
        <v>3</v>
      </c>
      <c r="F62" s="1294">
        <v>183655.808806388</v>
      </c>
    </row>
    <row r="63" spans="1:6">
      <c r="A63" s="1293" t="s">
        <v>48</v>
      </c>
      <c r="B63" s="1293" t="s">
        <v>28</v>
      </c>
      <c r="C63" s="1294">
        <v>296</v>
      </c>
      <c r="D63" s="1294">
        <v>22507140.299107701</v>
      </c>
      <c r="E63" s="1294">
        <v>371</v>
      </c>
      <c r="F63" s="1294">
        <v>20784146.457384899</v>
      </c>
    </row>
    <row r="64" spans="1:6">
      <c r="A64" s="1293" t="s">
        <v>55</v>
      </c>
      <c r="B64" s="1293" t="s">
        <v>56</v>
      </c>
      <c r="C64" s="1294">
        <v>0</v>
      </c>
      <c r="D64" s="1294">
        <v>0</v>
      </c>
      <c r="E64" s="1294">
        <v>0</v>
      </c>
      <c r="F64" s="1294">
        <v>0</v>
      </c>
    </row>
    <row r="65" spans="1:6">
      <c r="A65" s="1293" t="s">
        <v>55</v>
      </c>
      <c r="B65" s="1293" t="s">
        <v>28</v>
      </c>
      <c r="C65" s="1294">
        <v>4</v>
      </c>
      <c r="D65" s="1294">
        <v>106349.944779005</v>
      </c>
      <c r="E65" s="1294">
        <v>12</v>
      </c>
      <c r="F65" s="1294">
        <v>710483.65500899102</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41267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116882</v>
      </c>
      <c r="E73" s="449"/>
      <c r="F73" s="330"/>
    </row>
    <row r="74" spans="1:6">
      <c r="A74" s="1293" t="s">
        <v>63</v>
      </c>
      <c r="B74" s="1293" t="s">
        <v>656</v>
      </c>
      <c r="C74" s="1307" t="s">
        <v>658</v>
      </c>
      <c r="D74" s="1308">
        <v>3162</v>
      </c>
      <c r="E74" s="449"/>
      <c r="F74" s="330"/>
    </row>
    <row r="75" spans="1:6">
      <c r="A75" s="1293" t="s">
        <v>64</v>
      </c>
      <c r="B75" s="1293" t="s">
        <v>655</v>
      </c>
      <c r="C75" s="1307" t="s">
        <v>659</v>
      </c>
      <c r="D75" s="1308">
        <v>114581936</v>
      </c>
      <c r="E75" s="449"/>
      <c r="F75" s="330"/>
    </row>
    <row r="76" spans="1:6">
      <c r="A76" s="1293" t="s">
        <v>64</v>
      </c>
      <c r="B76" s="1293" t="s">
        <v>656</v>
      </c>
      <c r="C76" s="1307" t="s">
        <v>660</v>
      </c>
      <c r="D76" s="1308">
        <v>3659106</v>
      </c>
      <c r="E76" s="449"/>
      <c r="F76" s="330"/>
    </row>
    <row r="77" spans="1:6">
      <c r="A77" s="1293" t="s">
        <v>65</v>
      </c>
      <c r="B77" s="1293" t="s">
        <v>655</v>
      </c>
      <c r="C77" s="1307" t="s">
        <v>661</v>
      </c>
      <c r="D77" s="1308">
        <v>173449647</v>
      </c>
      <c r="E77" s="449"/>
      <c r="F77" s="330"/>
    </row>
    <row r="78" spans="1:6">
      <c r="A78" s="1288" t="s">
        <v>65</v>
      </c>
      <c r="B78" s="1288" t="s">
        <v>656</v>
      </c>
      <c r="C78" s="1288" t="s">
        <v>662</v>
      </c>
      <c r="D78" s="1309">
        <v>14461816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766136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6889.7925010185299</v>
      </c>
      <c r="C90" s="330"/>
      <c r="D90" s="330"/>
      <c r="E90" s="330"/>
      <c r="F90" s="330"/>
    </row>
    <row r="91" spans="1:6">
      <c r="A91" s="1293" t="s">
        <v>67</v>
      </c>
      <c r="B91" s="1294">
        <v>2714.2345918101128</v>
      </c>
      <c r="C91" s="330"/>
      <c r="D91" s="330"/>
      <c r="E91" s="330"/>
      <c r="F91" s="330"/>
    </row>
    <row r="92" spans="1:6">
      <c r="A92" s="1288" t="s">
        <v>68</v>
      </c>
      <c r="B92" s="1289">
        <v>4165.4077343318804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4478</v>
      </c>
      <c r="C97" s="330"/>
      <c r="D97" s="330"/>
      <c r="E97" s="330"/>
      <c r="F97" s="330"/>
    </row>
    <row r="98" spans="1:6">
      <c r="A98" s="1293" t="s">
        <v>71</v>
      </c>
      <c r="B98" s="1294">
        <v>4</v>
      </c>
      <c r="C98" s="330"/>
      <c r="D98" s="330"/>
      <c r="E98" s="330"/>
      <c r="F98" s="330"/>
    </row>
    <row r="99" spans="1:6">
      <c r="A99" s="1293" t="s">
        <v>72</v>
      </c>
      <c r="B99" s="1294">
        <v>69</v>
      </c>
      <c r="C99" s="330"/>
      <c r="D99" s="330"/>
      <c r="E99" s="330"/>
      <c r="F99" s="330"/>
    </row>
    <row r="100" spans="1:6">
      <c r="A100" s="1293" t="s">
        <v>73</v>
      </c>
      <c r="B100" s="1294">
        <v>697</v>
      </c>
      <c r="C100" s="330"/>
      <c r="D100" s="330"/>
      <c r="E100" s="330"/>
      <c r="F100" s="330"/>
    </row>
    <row r="101" spans="1:6">
      <c r="A101" s="1293" t="s">
        <v>74</v>
      </c>
      <c r="B101" s="1294">
        <v>74</v>
      </c>
      <c r="C101" s="330"/>
      <c r="D101" s="330"/>
      <c r="E101" s="330"/>
      <c r="F101" s="330"/>
    </row>
    <row r="102" spans="1:6">
      <c r="A102" s="1293" t="s">
        <v>75</v>
      </c>
      <c r="B102" s="1294">
        <v>108</v>
      </c>
      <c r="C102" s="330"/>
      <c r="D102" s="330"/>
      <c r="E102" s="330"/>
      <c r="F102" s="330"/>
    </row>
    <row r="103" spans="1:6">
      <c r="A103" s="1293" t="s">
        <v>76</v>
      </c>
      <c r="B103" s="1294">
        <v>166</v>
      </c>
      <c r="C103" s="330"/>
      <c r="D103" s="330"/>
      <c r="E103" s="330"/>
      <c r="F103" s="330"/>
    </row>
    <row r="104" spans="1:6">
      <c r="A104" s="1293" t="s">
        <v>77</v>
      </c>
      <c r="B104" s="1294">
        <v>2953</v>
      </c>
      <c r="C104" s="330"/>
      <c r="D104" s="330"/>
      <c r="E104" s="330"/>
      <c r="F104" s="330"/>
    </row>
    <row r="105" spans="1:6">
      <c r="A105" s="1288" t="s">
        <v>78</v>
      </c>
      <c r="B105" s="1297">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1</v>
      </c>
      <c r="C122" s="1294">
        <v>0</v>
      </c>
      <c r="D122" s="330"/>
      <c r="E122" s="330"/>
      <c r="F122" s="330"/>
    </row>
    <row r="123" spans="1:6">
      <c r="A123" s="1293" t="s">
        <v>87</v>
      </c>
      <c r="B123" s="1294">
        <v>20</v>
      </c>
      <c r="C123" s="1294">
        <v>24</v>
      </c>
      <c r="D123" s="330"/>
      <c r="E123" s="330"/>
      <c r="F123" s="330"/>
    </row>
    <row r="124" spans="1:6" s="43" customFormat="1">
      <c r="A124" s="1295" t="s">
        <v>88</v>
      </c>
      <c r="B124" s="1316">
        <v>0</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107</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17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100525.21895631021</v>
      </c>
      <c r="C3" s="43" t="s">
        <v>169</v>
      </c>
      <c r="D3" s="43"/>
      <c r="E3" s="154"/>
      <c r="F3" s="43"/>
      <c r="G3" s="43"/>
      <c r="H3" s="43"/>
      <c r="I3" s="43"/>
      <c r="J3" s="43"/>
      <c r="K3" s="96"/>
    </row>
    <row r="4" spans="1:11">
      <c r="A4" s="358" t="s">
        <v>170</v>
      </c>
      <c r="B4" s="49">
        <f>IF(ISERROR('SEAP template'!B78+'SEAP template'!C78),0,'SEAP template'!B78+'SEAP template'!C78)</f>
        <v>13769.434827160523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0.19072854047574836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2068.7730000000001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2068.7730000000001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0.19072854047574836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394.57405486563539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39523.4159636802</v>
      </c>
      <c r="C5" s="17">
        <f>IF(ISERROR('Eigen informatie GS &amp; warmtenet'!B57),0,'Eigen informatie GS &amp; warmtenet'!B57)</f>
        <v>0</v>
      </c>
      <c r="D5" s="30">
        <f>(SUM(HH_hh_gas_kWh,HH_rest_gas_kWh)/1000)*0.902</f>
        <v>121112.77397880623</v>
      </c>
      <c r="E5" s="17">
        <f>B46*B57</f>
        <v>7943.7066546223232</v>
      </c>
      <c r="F5" s="17">
        <f>B51*B62</f>
        <v>21403.965307193015</v>
      </c>
      <c r="G5" s="18"/>
      <c r="H5" s="17"/>
      <c r="I5" s="17"/>
      <c r="J5" s="17">
        <f>B50*B61+C50*C61</f>
        <v>0</v>
      </c>
      <c r="K5" s="17"/>
      <c r="L5" s="17"/>
      <c r="M5" s="17"/>
      <c r="N5" s="17">
        <f>B48*B59+C48*C59</f>
        <v>11741.998344472482</v>
      </c>
      <c r="O5" s="17">
        <f>B69*B70*B71</f>
        <v>207.92333333333335</v>
      </c>
      <c r="P5" s="17">
        <f>B77*B78*B79/1000-B77*B78*B79/1000/B80</f>
        <v>705.4666666666667</v>
      </c>
    </row>
    <row r="6" spans="1:16">
      <c r="A6" s="16" t="s">
        <v>620</v>
      </c>
      <c r="B6" s="762">
        <f>kWh_PV_kleiner_dan_10kW</f>
        <v>2714.2345918101128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42237.650555490312</v>
      </c>
      <c r="C8" s="21">
        <f>C5</f>
        <v>0</v>
      </c>
      <c r="D8" s="21">
        <f>D5</f>
        <v>121112.77397880623</v>
      </c>
      <c r="E8" s="21">
        <f>E5</f>
        <v>7943.7066546223232</v>
      </c>
      <c r="F8" s="21">
        <f>F5</f>
        <v>21403.965307193015</v>
      </c>
      <c r="G8" s="21"/>
      <c r="H8" s="21"/>
      <c r="I8" s="21"/>
      <c r="J8" s="21">
        <f>J5</f>
        <v>0</v>
      </c>
      <c r="K8" s="21"/>
      <c r="L8" s="21">
        <f>L5</f>
        <v>0</v>
      </c>
      <c r="M8" s="21">
        <f>M5</f>
        <v>0</v>
      </c>
      <c r="N8" s="21">
        <f>N5</f>
        <v>11741.998344472482</v>
      </c>
      <c r="O8" s="21">
        <f>O5</f>
        <v>207.92333333333335</v>
      </c>
      <c r="P8" s="21">
        <f>P5</f>
        <v>705.4666666666667</v>
      </c>
    </row>
    <row r="9" spans="1:16">
      <c r="B9" s="19"/>
      <c r="C9" s="19"/>
      <c r="D9" s="258"/>
      <c r="E9" s="19"/>
      <c r="F9" s="19"/>
      <c r="G9" s="19"/>
      <c r="H9" s="19"/>
      <c r="I9" s="19"/>
      <c r="J9" s="19"/>
      <c r="K9" s="19"/>
      <c r="L9" s="19"/>
      <c r="M9" s="19"/>
      <c r="N9" s="19"/>
      <c r="O9" s="19"/>
      <c r="P9" s="19"/>
    </row>
    <row r="10" spans="1:16">
      <c r="A10" s="24" t="s">
        <v>213</v>
      </c>
      <c r="B10" s="25">
        <f ca="1">'EF ele_warmte'!B12</f>
        <v>0.19072854047574836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8055.9254435733492</v>
      </c>
      <c r="C12" s="23">
        <f ca="1">C10*C8</f>
        <v>0</v>
      </c>
      <c r="D12" s="23">
        <f>D8*D10</f>
        <v>24464.78034371886</v>
      </c>
      <c r="E12" s="23">
        <f>E10*E8</f>
        <v>1803.2214105992675</v>
      </c>
      <c r="F12" s="23">
        <f>F10*F8</f>
        <v>5714.858737020535</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4478</v>
      </c>
      <c r="C18" s="166" t="s">
        <v>110</v>
      </c>
      <c r="D18" s="228"/>
      <c r="E18" s="15"/>
    </row>
    <row r="19" spans="1:7">
      <c r="A19" s="171" t="s">
        <v>71</v>
      </c>
      <c r="B19" s="37">
        <f>aantalw2001_ander</f>
        <v>4</v>
      </c>
      <c r="C19" s="166" t="s">
        <v>110</v>
      </c>
      <c r="D19" s="229"/>
      <c r="E19" s="15"/>
    </row>
    <row r="20" spans="1:7">
      <c r="A20" s="171" t="s">
        <v>72</v>
      </c>
      <c r="B20" s="37">
        <f>aantalw2001_propaan</f>
        <v>69</v>
      </c>
      <c r="C20" s="167">
        <f>IF(ISERROR(B20/SUM($B$20,$B$21,$B$22)*100),0,B20/SUM($B$20,$B$21,$B$22)*100)</f>
        <v>8.2142857142857135</v>
      </c>
      <c r="D20" s="229"/>
      <c r="E20" s="15"/>
    </row>
    <row r="21" spans="1:7">
      <c r="A21" s="171" t="s">
        <v>73</v>
      </c>
      <c r="B21" s="37">
        <f>aantalw2001_elektriciteit</f>
        <v>697</v>
      </c>
      <c r="C21" s="167">
        <f>IF(ISERROR(B21/SUM($B$20,$B$21,$B$22)*100),0,B21/SUM($B$20,$B$21,$B$22)*100)</f>
        <v>82.976190476190482</v>
      </c>
      <c r="D21" s="229"/>
      <c r="E21" s="15"/>
    </row>
    <row r="22" spans="1:7">
      <c r="A22" s="171" t="s">
        <v>74</v>
      </c>
      <c r="B22" s="37">
        <f>aantalw2001_hout</f>
        <v>74</v>
      </c>
      <c r="C22" s="167">
        <f>IF(ISERROR(B22/SUM($B$20,$B$21,$B$22)*100),0,B22/SUM($B$20,$B$21,$B$22)*100)</f>
        <v>8.8095238095238102</v>
      </c>
      <c r="D22" s="229"/>
      <c r="E22" s="15"/>
    </row>
    <row r="23" spans="1:7">
      <c r="A23" s="171" t="s">
        <v>75</v>
      </c>
      <c r="B23" s="37">
        <f>aantalw2001_niet_gespec</f>
        <v>108</v>
      </c>
      <c r="C23" s="166" t="s">
        <v>110</v>
      </c>
      <c r="D23" s="228"/>
      <c r="E23" s="15"/>
    </row>
    <row r="24" spans="1:7">
      <c r="A24" s="171" t="s">
        <v>76</v>
      </c>
      <c r="B24" s="37">
        <f>aantalw2001_steenkool</f>
        <v>166</v>
      </c>
      <c r="C24" s="166" t="s">
        <v>110</v>
      </c>
      <c r="D24" s="229"/>
      <c r="E24" s="15"/>
    </row>
    <row r="25" spans="1:7">
      <c r="A25" s="171" t="s">
        <v>77</v>
      </c>
      <c r="B25" s="37">
        <f>aantalw2001_stookolie</f>
        <v>2953</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780</v>
      </c>
      <c r="B28" s="37">
        <f>aantalHuishoudens</f>
        <v>9511</v>
      </c>
      <c r="C28" s="36"/>
      <c r="D28" s="228"/>
    </row>
    <row r="29" spans="1:7" s="15" customFormat="1">
      <c r="A29" s="230" t="s">
        <v>781</v>
      </c>
      <c r="B29" s="37">
        <f>SUM(HH_hh_gas_aantal,HH_rest_gas_aantal)</f>
        <v>6619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6619</v>
      </c>
      <c r="C32" s="167">
        <f>IF(ISERROR(B32/SUM($B$32,$B$34,$B$35,$B$36,$B$38,$B$39)*100),0,B32/SUM($B$32,$B$34,$B$35,$B$36,$B$38,$B$39)*100)</f>
        <v>69.864893392442468</v>
      </c>
      <c r="D32" s="233"/>
      <c r="G32" s="15"/>
    </row>
    <row r="33" spans="1:7">
      <c r="A33" s="171" t="s">
        <v>71</v>
      </c>
      <c r="B33" s="34" t="s">
        <v>110</v>
      </c>
      <c r="C33" s="167"/>
      <c r="D33" s="233"/>
      <c r="G33" s="15"/>
    </row>
    <row r="34" spans="1:7">
      <c r="A34" s="171" t="s">
        <v>72</v>
      </c>
      <c r="B34" s="33">
        <f>IF((($B$28-$B$32-$B$39-$B$77-$B$38)*C20/100)&lt;0,0,($B$28-$B$32-$B$39-$B$77-$B$38)*C20/100)</f>
        <v>150.23107142857143</v>
      </c>
      <c r="C34" s="167">
        <f>IF(ISERROR(B34/SUM($B$32,$B$34,$B$35,$B$36,$B$38,$B$39)*100),0,B34/SUM($B$32,$B$34,$B$35,$B$36,$B$38,$B$39)*100)</f>
        <v>1.5857195633161434</v>
      </c>
      <c r="D34" s="233"/>
      <c r="G34" s="15"/>
    </row>
    <row r="35" spans="1:7">
      <c r="A35" s="171" t="s">
        <v>73</v>
      </c>
      <c r="B35" s="33">
        <f>IF((($B$28-$B$32-$B$39-$B$77-$B$38)*C21/100)&lt;0,0,($B$28-$B$32-$B$39-$B$77-$B$38)*C21/100)</f>
        <v>1517.5515476190478</v>
      </c>
      <c r="C35" s="167">
        <f>IF(ISERROR(B35/SUM($B$32,$B$34,$B$35,$B$36,$B$38,$B$39)*100),0,B35/SUM($B$32,$B$34,$B$35,$B$36,$B$38,$B$39)*100)</f>
        <v>16.018065733787711</v>
      </c>
      <c r="D35" s="233"/>
      <c r="G35" s="15"/>
    </row>
    <row r="36" spans="1:7">
      <c r="A36" s="171" t="s">
        <v>74</v>
      </c>
      <c r="B36" s="33">
        <f>IF((($B$28-$B$32-$B$39-$B$77-$B$38)*C22/100)&lt;0,0,($B$28-$B$32-$B$39-$B$77-$B$38)*C22/100)</f>
        <v>161.11738095238098</v>
      </c>
      <c r="C36" s="167">
        <f>IF(ISERROR(B36/SUM($B$32,$B$34,$B$35,$B$36,$B$38,$B$39)*100),0,B36/SUM($B$32,$B$34,$B$35,$B$36,$B$38,$B$39)*100)</f>
        <v>1.7006267780491975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1026.0999999999999</v>
      </c>
      <c r="C39" s="167">
        <f>IF(ISERROR(B39/SUM($B$32,$B$34,$B$35,$B$36,$B$38,$B$39)*100),0,B39/SUM($B$32,$B$34,$B$35,$B$36,$B$38,$B$39)*100)</f>
        <v>10.830694532404475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6619</v>
      </c>
      <c r="C44" s="34" t="s">
        <v>110</v>
      </c>
      <c r="D44" s="174"/>
    </row>
    <row r="45" spans="1:7">
      <c r="A45" s="171" t="s">
        <v>71</v>
      </c>
      <c r="B45" s="33" t="str">
        <f t="shared" si="0"/>
        <v>-</v>
      </c>
      <c r="C45" s="34" t="s">
        <v>110</v>
      </c>
      <c r="D45" s="174"/>
    </row>
    <row r="46" spans="1:7">
      <c r="A46" s="171" t="s">
        <v>72</v>
      </c>
      <c r="B46" s="33">
        <f t="shared" si="0"/>
        <v>150.23107142857143</v>
      </c>
      <c r="C46" s="34" t="s">
        <v>110</v>
      </c>
      <c r="D46" s="174"/>
    </row>
    <row r="47" spans="1:7">
      <c r="A47" s="171" t="s">
        <v>73</v>
      </c>
      <c r="B47" s="33">
        <f t="shared" si="0"/>
        <v>1517.5515476190478</v>
      </c>
      <c r="C47" s="34" t="s">
        <v>110</v>
      </c>
      <c r="D47" s="174"/>
    </row>
    <row r="48" spans="1:7">
      <c r="A48" s="171" t="s">
        <v>74</v>
      </c>
      <c r="B48" s="33">
        <f t="shared" si="0"/>
        <v>161.11738095238098</v>
      </c>
      <c r="C48" s="33">
        <f>B48*10</f>
        <v>1611.1738095238097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1026.0999999999999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35561.275195124959</v>
      </c>
      <c r="C5" s="17">
        <f>IF(ISERROR('Eigen informatie GS &amp; warmtenet'!B58),0,'Eigen informatie GS &amp; warmtenet'!B58)</f>
        <v>0</v>
      </c>
      <c r="D5" s="30">
        <f>SUM(D6:D12)</f>
        <v>40022.665459181648</v>
      </c>
      <c r="E5" s="17">
        <f>SUM(E6:E12)</f>
        <v>511.91245292126303</v>
      </c>
      <c r="F5" s="17">
        <f>SUM(F6:F12)</f>
        <v>6141.2931791646388</v>
      </c>
      <c r="G5" s="18"/>
      <c r="H5" s="17"/>
      <c r="I5" s="17"/>
      <c r="J5" s="17">
        <f>SUM(J6:J12)</f>
        <v>7.8520550782364432E-2</v>
      </c>
      <c r="K5" s="17"/>
      <c r="L5" s="17"/>
      <c r="M5" s="17"/>
      <c r="N5" s="17">
        <f>SUM(N6:N12)</f>
        <v>3150.2019811359064</v>
      </c>
      <c r="O5" s="17">
        <f>B38*B39*B40</f>
        <v>1.5633333333333335</v>
      </c>
      <c r="P5" s="17">
        <f>B46*B47*B48/1000-B46*B47*B48/1000/B49</f>
        <v>38.133333333333333</v>
      </c>
      <c r="R5" s="32"/>
    </row>
    <row r="6" spans="1:18">
      <c r="A6" s="32" t="s">
        <v>53</v>
      </c>
      <c r="B6" s="37">
        <f>B26</f>
        <v>3309.88370351208</v>
      </c>
      <c r="C6" s="33"/>
      <c r="D6" s="37">
        <f>IF(ISERROR(TER_kantoor_gas_kWh/1000),0,TER_kantoor_gas_kWh/1000)*0.902</f>
        <v>5280.9191473038718</v>
      </c>
      <c r="E6" s="33">
        <f>$C$26*'E Balans VL '!I12/100/3.6*1000000</f>
        <v>2.0745250203540302E-2</v>
      </c>
      <c r="F6" s="33">
        <f>$C$26*('E Balans VL '!L12+'E Balans VL '!N12)/100/3.6*1000000</f>
        <v>497.3830336663591</v>
      </c>
      <c r="G6" s="34"/>
      <c r="H6" s="33"/>
      <c r="I6" s="33"/>
      <c r="J6" s="33">
        <f>$C$26*('E Balans VL '!D12+'E Balans VL '!E12)/100/3.6*1000000</f>
        <v>0</v>
      </c>
      <c r="K6" s="33"/>
      <c r="L6" s="33"/>
      <c r="M6" s="33"/>
      <c r="N6" s="33">
        <f>$C$26*'E Balans VL '!Y12/100/3.6*1000000</f>
        <v>3.1654130182939557</v>
      </c>
      <c r="O6" s="33"/>
      <c r="P6" s="33"/>
      <c r="R6" s="32"/>
    </row>
    <row r="7" spans="1:18">
      <c r="A7" s="32" t="s">
        <v>52</v>
      </c>
      <c r="B7" s="37">
        <f t="shared" ref="B7:B12" si="0">B27</f>
        <v>2756.7883780502202</v>
      </c>
      <c r="C7" s="33"/>
      <c r="D7" s="37">
        <f>IF(ISERROR(TER_horeca_gas_kWh/1000),0,TER_horeca_gas_kWh/1000)*0.902</f>
        <v>2811.0203106622012</v>
      </c>
      <c r="E7" s="33">
        <f>$C$27*'E Balans VL '!I9/100/3.6*1000000</f>
        <v>39.476750380394506</v>
      </c>
      <c r="F7" s="33">
        <f>$C$27*('E Balans VL '!L9+'E Balans VL '!N9)/100/3.6*1000000</f>
        <v>349.10033104472944</v>
      </c>
      <c r="G7" s="34"/>
      <c r="H7" s="33"/>
      <c r="I7" s="33"/>
      <c r="J7" s="33">
        <f>$C$27*('E Balans VL '!D9+'E Balans VL '!E9)/100/3.6*1000000</f>
        <v>0</v>
      </c>
      <c r="K7" s="33"/>
      <c r="L7" s="33"/>
      <c r="M7" s="33"/>
      <c r="N7" s="33">
        <f>$C$27*'E Balans VL '!Y9/100/3.6*1000000</f>
        <v>0.79251587672320611</v>
      </c>
      <c r="O7" s="33"/>
      <c r="P7" s="33"/>
      <c r="R7" s="32"/>
    </row>
    <row r="8" spans="1:18">
      <c r="A8" s="6" t="s">
        <v>51</v>
      </c>
      <c r="B8" s="37">
        <f t="shared" si="0"/>
        <v>5787.4042203469198</v>
      </c>
      <c r="C8" s="33"/>
      <c r="D8" s="37">
        <f>IF(ISERROR(TER_handel_gas_kWh/1000),0,TER_handel_gas_kWh/1000)*0.902</f>
        <v>2222.2578063349802</v>
      </c>
      <c r="E8" s="33">
        <f>$C$28*'E Balans VL '!I13/100/3.6*1000000</f>
        <v>209.90843740126789</v>
      </c>
      <c r="F8" s="33">
        <f>$C$28*('E Balans VL '!L13+'E Balans VL '!N13)/100/3.6*1000000</f>
        <v>1114.7126540322952</v>
      </c>
      <c r="G8" s="34"/>
      <c r="H8" s="33"/>
      <c r="I8" s="33"/>
      <c r="J8" s="33">
        <f>$C$28*('E Balans VL '!D13+'E Balans VL '!E13)/100/3.6*1000000</f>
        <v>0</v>
      </c>
      <c r="K8" s="33"/>
      <c r="L8" s="33"/>
      <c r="M8" s="33"/>
      <c r="N8" s="33">
        <f>$C$28*'E Balans VL '!Y13/100/3.6*1000000</f>
        <v>8.0168864675030118</v>
      </c>
      <c r="O8" s="33"/>
      <c r="P8" s="33"/>
      <c r="R8" s="32"/>
    </row>
    <row r="9" spans="1:18">
      <c r="A9" s="32" t="s">
        <v>50</v>
      </c>
      <c r="B9" s="37">
        <f t="shared" si="0"/>
        <v>1440.62616843661</v>
      </c>
      <c r="C9" s="33"/>
      <c r="D9" s="37">
        <f>IF(ISERROR(TER_gezond_gas_kWh/1000),0,TER_gezond_gas_kWh/1000)*0.902</f>
        <v>6592.582025915186</v>
      </c>
      <c r="E9" s="33">
        <f>$C$29*'E Balans VL '!I10/100/3.6*1000000</f>
        <v>9.01974217579007E-2</v>
      </c>
      <c r="F9" s="33">
        <f>$C$29*('E Balans VL '!L10+'E Balans VL '!N10)/100/3.6*1000000</f>
        <v>214.00940361021327</v>
      </c>
      <c r="G9" s="34"/>
      <c r="H9" s="33"/>
      <c r="I9" s="33"/>
      <c r="J9" s="33">
        <f>$C$29*('E Balans VL '!D10+'E Balans VL '!E10)/100/3.6*1000000</f>
        <v>0</v>
      </c>
      <c r="K9" s="33"/>
      <c r="L9" s="33"/>
      <c r="M9" s="33"/>
      <c r="N9" s="33">
        <f>$C$29*'E Balans VL '!Y10/100/3.6*1000000</f>
        <v>22.283744581920267</v>
      </c>
      <c r="O9" s="33"/>
      <c r="P9" s="33"/>
      <c r="R9" s="32"/>
    </row>
    <row r="10" spans="1:18">
      <c r="A10" s="32" t="s">
        <v>49</v>
      </c>
      <c r="B10" s="37">
        <f t="shared" si="0"/>
        <v>1298.77045858784</v>
      </c>
      <c r="C10" s="33"/>
      <c r="D10" s="37">
        <f>IF(ISERROR(TER_ander_gas_kWh/1000),0,TER_ander_gas_kWh/1000)*0.902</f>
        <v>977.27484194916497</v>
      </c>
      <c r="E10" s="33">
        <f>$C$30*'E Balans VL '!I14/100/3.6*1000000</f>
        <v>1.5480879764224638</v>
      </c>
      <c r="F10" s="33">
        <f>$C$30*('E Balans VL '!L14+'E Balans VL '!N14)/100/3.6*1000000</f>
        <v>339.81609076618105</v>
      </c>
      <c r="G10" s="34"/>
      <c r="H10" s="33"/>
      <c r="I10" s="33"/>
      <c r="J10" s="33">
        <f>$C$30*('E Balans VL '!D14+'E Balans VL '!E14)/100/3.6*1000000</f>
        <v>2.8191215616317926E-2</v>
      </c>
      <c r="K10" s="33"/>
      <c r="L10" s="33"/>
      <c r="M10" s="33"/>
      <c r="N10" s="33">
        <f>$C$30*'E Balans VL '!Y14/100/3.6*1000000</f>
        <v>1102.8840929670141</v>
      </c>
      <c r="O10" s="33"/>
      <c r="P10" s="33"/>
      <c r="R10" s="32"/>
    </row>
    <row r="11" spans="1:18">
      <c r="A11" s="32" t="s">
        <v>54</v>
      </c>
      <c r="B11" s="37">
        <f t="shared" si="0"/>
        <v>183.65580880638799</v>
      </c>
      <c r="C11" s="33"/>
      <c r="D11" s="37">
        <f>IF(ISERROR(TER_onderwijs_gas_kWh/1000),0,TER_onderwijs_gas_kWh/1000)*0.902</f>
        <v>1837.1707772210927</v>
      </c>
      <c r="E11" s="33">
        <f>$C$31*'E Balans VL '!I11/100/3.6*1000000</f>
        <v>2.7710703490802278</v>
      </c>
      <c r="F11" s="33">
        <f>$C$31*('E Balans VL '!L11+'E Balans VL '!N11)/100/3.6*1000000</f>
        <v>32.179431691710043</v>
      </c>
      <c r="G11" s="34"/>
      <c r="H11" s="33"/>
      <c r="I11" s="33"/>
      <c r="J11" s="33">
        <f>$C$31*('E Balans VL '!D11+'E Balans VL '!E11)/100/3.6*1000000</f>
        <v>0</v>
      </c>
      <c r="K11" s="33"/>
      <c r="L11" s="33"/>
      <c r="M11" s="33"/>
      <c r="N11" s="33">
        <f>$C$31*'E Balans VL '!Y11/100/3.6*1000000</f>
        <v>0.51682140802746224</v>
      </c>
      <c r="O11" s="33"/>
      <c r="P11" s="33"/>
      <c r="R11" s="32"/>
    </row>
    <row r="12" spans="1:18">
      <c r="A12" s="32" t="s">
        <v>259</v>
      </c>
      <c r="B12" s="37">
        <f t="shared" si="0"/>
        <v>20784.146457384901</v>
      </c>
      <c r="C12" s="33"/>
      <c r="D12" s="37">
        <f>IF(ISERROR(TER_rest_gas_kWh/1000),0,TER_rest_gas_kWh/1000)*0.902</f>
        <v>20301.440549795148</v>
      </c>
      <c r="E12" s="33">
        <f>$C$32*'E Balans VL '!I8/100/3.6*1000000</f>
        <v>258.09716414213653</v>
      </c>
      <c r="F12" s="33">
        <f>$C$32*('E Balans VL '!L8+'E Balans VL '!N8)/100/3.6*1000000</f>
        <v>3594.0922343531511</v>
      </c>
      <c r="G12" s="34"/>
      <c r="H12" s="33"/>
      <c r="I12" s="33"/>
      <c r="J12" s="33">
        <f>$C$32*('E Balans VL '!D8+'E Balans VL '!E8)/100/3.6*1000000</f>
        <v>5.0329335166046506E-2</v>
      </c>
      <c r="K12" s="33"/>
      <c r="L12" s="33"/>
      <c r="M12" s="33"/>
      <c r="N12" s="33">
        <f>$C$32*'E Balans VL '!Y8/100/3.6*1000000</f>
        <v>2012.5425068164243</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35561.275195124959</v>
      </c>
      <c r="C16" s="21">
        <f t="shared" ca="1" si="1"/>
        <v>0</v>
      </c>
      <c r="D16" s="21">
        <f t="shared" ca="1" si="1"/>
        <v>40022.665459181648</v>
      </c>
      <c r="E16" s="21">
        <f t="shared" si="1"/>
        <v>511.91245292126303</v>
      </c>
      <c r="F16" s="21">
        <f t="shared" ca="1" si="1"/>
        <v>6141.2931791646388</v>
      </c>
      <c r="G16" s="21">
        <f t="shared" si="1"/>
        <v>0</v>
      </c>
      <c r="H16" s="21">
        <f t="shared" si="1"/>
        <v>0</v>
      </c>
      <c r="I16" s="21">
        <f t="shared" si="1"/>
        <v>0</v>
      </c>
      <c r="J16" s="21">
        <f t="shared" si="1"/>
        <v>7.8520550782364432E-2</v>
      </c>
      <c r="K16" s="21">
        <f t="shared" si="1"/>
        <v>0</v>
      </c>
      <c r="L16" s="21">
        <f t="shared" ca="1" si="1"/>
        <v>0</v>
      </c>
      <c r="M16" s="21">
        <f t="shared" si="1"/>
        <v>0</v>
      </c>
      <c r="N16" s="21">
        <f t="shared" ca="1" si="1"/>
        <v>3150.2019811359064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0.19072854047574836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6782.5501154226167</v>
      </c>
      <c r="C20" s="23">
        <f t="shared" ref="C20:P20" ca="1" si="2">C16*C18</f>
        <v>0</v>
      </c>
      <c r="D20" s="23">
        <f t="shared" ca="1" si="2"/>
        <v>8084.5784227546937</v>
      </c>
      <c r="E20" s="23">
        <f t="shared" si="2"/>
        <v>116.20412681312671</v>
      </c>
      <c r="F20" s="23">
        <f t="shared" ca="1" si="2"/>
        <v>1639.7252788369588</v>
      </c>
      <c r="G20" s="23">
        <f t="shared" si="2"/>
        <v>0</v>
      </c>
      <c r="H20" s="23">
        <f t="shared" si="2"/>
        <v>0</v>
      </c>
      <c r="I20" s="23">
        <f t="shared" si="2"/>
        <v>0</v>
      </c>
      <c r="J20" s="23">
        <f t="shared" si="2"/>
        <v>2.7796274976957008E-2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3309.88370351208</v>
      </c>
      <c r="C26" s="39">
        <f>IF(ISERROR(B26*3.6/1000000/'E Balans VL '!Z12*100),0,B26*3.6/1000000/'E Balans VL '!Z12*100)</f>
        <v>6.9965698212932761E-2</v>
      </c>
      <c r="D26" s="237" t="s">
        <v>744</v>
      </c>
      <c r="F26" s="6"/>
    </row>
    <row r="27" spans="1:18">
      <c r="A27" s="231" t="s">
        <v>52</v>
      </c>
      <c r="B27" s="33">
        <f>IF(ISERROR(TER_horeca_ele_kWh/1000),0,TER_horeca_ele_kWh/1000)</f>
        <v>2756.7883780502202</v>
      </c>
      <c r="C27" s="39">
        <f>IF(ISERROR(B27*3.6/1000000/'E Balans VL '!Z9*100),0,B27*3.6/1000000/'E Balans VL '!Z9*100)</f>
        <v>0.21731660033421424</v>
      </c>
      <c r="D27" s="237" t="s">
        <v>744</v>
      </c>
      <c r="F27" s="6"/>
    </row>
    <row r="28" spans="1:18">
      <c r="A28" s="171" t="s">
        <v>51</v>
      </c>
      <c r="B28" s="33">
        <f>IF(ISERROR(TER_handel_ele_kWh/1000),0,TER_handel_ele_kWh/1000)</f>
        <v>5787.4042203469198</v>
      </c>
      <c r="C28" s="39">
        <f>IF(ISERROR(B28*3.6/1000000/'E Balans VL '!Z13*100),0,B28*3.6/1000000/'E Balans VL '!Z13*100)</f>
        <v>0.16797385420780789</v>
      </c>
      <c r="D28" s="237" t="s">
        <v>744</v>
      </c>
      <c r="F28" s="6"/>
    </row>
    <row r="29" spans="1:18">
      <c r="A29" s="231" t="s">
        <v>50</v>
      </c>
      <c r="B29" s="33">
        <f>IF(ISERROR(TER_gezond_ele_kWh/1000),0,TER_gezond_ele_kWh/1000)</f>
        <v>1440.62616843661</v>
      </c>
      <c r="C29" s="39">
        <f>IF(ISERROR(B29*3.6/1000000/'E Balans VL '!Z10*100),0,B29*3.6/1000000/'E Balans VL '!Z10*100)</f>
        <v>0.15172159124248</v>
      </c>
      <c r="D29" s="237" t="s">
        <v>744</v>
      </c>
      <c r="F29" s="6"/>
    </row>
    <row r="30" spans="1:18">
      <c r="A30" s="231" t="s">
        <v>49</v>
      </c>
      <c r="B30" s="33">
        <f>IF(ISERROR(TER_ander_ele_kWh/1000),0,TER_ander_ele_kWh/1000)</f>
        <v>1298.77045858784</v>
      </c>
      <c r="C30" s="39">
        <f>IF(ISERROR(B30*3.6/1000000/'E Balans VL '!Z14*100),0,B30*3.6/1000000/'E Balans VL '!Z14*100)</f>
        <v>9.5797591116979455E-2</v>
      </c>
      <c r="D30" s="237" t="s">
        <v>744</v>
      </c>
      <c r="F30" s="6"/>
    </row>
    <row r="31" spans="1:18">
      <c r="A31" s="231" t="s">
        <v>54</v>
      </c>
      <c r="B31" s="33">
        <f>IF(ISERROR(TER_onderwijs_ele_kWh/1000),0,TER_onderwijs_ele_kWh/1000)</f>
        <v>183.65580880638799</v>
      </c>
      <c r="C31" s="39">
        <f>IF(ISERROR(B31*3.6/1000000/'E Balans VL '!Z11*100),0,B31*3.6/1000000/'E Balans VL '!Z11*100)</f>
        <v>4.5610340271355763E-2</v>
      </c>
      <c r="D31" s="237" t="s">
        <v>744</v>
      </c>
    </row>
    <row r="32" spans="1:18">
      <c r="A32" s="231" t="s">
        <v>259</v>
      </c>
      <c r="B32" s="33">
        <f>IF(ISERROR(TER_rest_ele_kWh/1000),0,TER_rest_ele_kWh/1000)</f>
        <v>20784.146457384901</v>
      </c>
      <c r="C32" s="39">
        <f>IF(ISERROR(B32*3.6/1000000/'E Balans VL '!Z8*100),0,B32*3.6/1000000/'E Balans VL '!Z8*100)</f>
        <v>0.17102593719426382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19004.260062484289</v>
      </c>
      <c r="C5" s="17">
        <f>IF(ISERROR('Eigen informatie GS &amp; warmtenet'!B59),0,'Eigen informatie GS &amp; warmtenet'!B59)</f>
        <v>0</v>
      </c>
      <c r="D5" s="30">
        <f>SUM(D6:D15)</f>
        <v>26176.424373870454</v>
      </c>
      <c r="E5" s="17">
        <f>SUM(E6:E15)</f>
        <v>1233.022572531178</v>
      </c>
      <c r="F5" s="17">
        <f>SUM(F6:F15)</f>
        <v>4170.7204138504494</v>
      </c>
      <c r="G5" s="18"/>
      <c r="H5" s="17"/>
      <c r="I5" s="17"/>
      <c r="J5" s="17">
        <f>SUM(J6:J15)</f>
        <v>57.384855076472128</v>
      </c>
      <c r="K5" s="17"/>
      <c r="L5" s="17"/>
      <c r="M5" s="17"/>
      <c r="N5" s="17">
        <f>SUM(N6:N15)</f>
        <v>1928.4871990396118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1195.09263025173</v>
      </c>
      <c r="C9" s="33"/>
      <c r="D9" s="37">
        <f>IF( ISERROR(IND_andere_gas_kWh/1000),0,IND_andere_gas_kWh/1000)*0.902</f>
        <v>539.49447588959606</v>
      </c>
      <c r="E9" s="33">
        <f>C31*'E Balans VL '!I19/100/3.6*1000000</f>
        <v>349.34884153191717</v>
      </c>
      <c r="F9" s="33">
        <f>C31*'E Balans VL '!L19/100/3.6*1000000+C31*'E Balans VL '!N19/100/3.6*1000000</f>
        <v>960.34738860735627</v>
      </c>
      <c r="G9" s="34"/>
      <c r="H9" s="33"/>
      <c r="I9" s="33"/>
      <c r="J9" s="40">
        <f>C31*'E Balans VL '!D19/100/3.6*1000000+C31*'E Balans VL '!E19/100/3.6*1000000</f>
        <v>0</v>
      </c>
      <c r="K9" s="33"/>
      <c r="L9" s="33"/>
      <c r="M9" s="33"/>
      <c r="N9" s="33">
        <f>C31*'E Balans VL '!Y19/100/3.6*1000000</f>
        <v>93.741442779338357</v>
      </c>
      <c r="O9" s="33"/>
      <c r="P9" s="33"/>
      <c r="R9" s="32"/>
    </row>
    <row r="10" spans="1:18">
      <c r="A10" s="6" t="s">
        <v>40</v>
      </c>
      <c r="B10" s="37">
        <f t="shared" si="0"/>
        <v>126.307304936031</v>
      </c>
      <c r="C10" s="33"/>
      <c r="D10" s="37">
        <f>IF( ISERROR(IND_voed_gas_kWh/1000),0,IND_voed_gas_kWh/1000)*0.902</f>
        <v>49.446265151276322</v>
      </c>
      <c r="E10" s="33">
        <f>C32*'E Balans VL '!I20/100/3.6*1000000</f>
        <v>0.26720506201013189</v>
      </c>
      <c r="F10" s="33">
        <f>C32*'E Balans VL '!L20/100/3.6*1000000+C32*'E Balans VL '!N20/100/3.6*1000000</f>
        <v>8.0307474669614152</v>
      </c>
      <c r="G10" s="34"/>
      <c r="H10" s="33"/>
      <c r="I10" s="33"/>
      <c r="J10" s="40">
        <f>C32*'E Balans VL '!D20/100/3.6*1000000+C32*'E Balans VL '!E20/100/3.6*1000000</f>
        <v>0</v>
      </c>
      <c r="K10" s="33"/>
      <c r="L10" s="33"/>
      <c r="M10" s="33"/>
      <c r="N10" s="33">
        <f>C32*'E Balans VL '!Y20/100/3.6*1000000</f>
        <v>8.7164504715272688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1728.1436977542298</v>
      </c>
      <c r="C13" s="33"/>
      <c r="D13" s="37">
        <f>IF( ISERROR(IND_papier_gas_kWh/1000),0,IND_papier_gas_kWh/1000)*0.902</f>
        <v>0</v>
      </c>
      <c r="E13" s="33">
        <f>C35*'E Balans VL '!I23/100/3.6*1000000</f>
        <v>2.4518406837176872</v>
      </c>
      <c r="F13" s="33">
        <f>C35*'E Balans VL '!L23/100/3.6*1000000+C35*'E Balans VL '!N23/100/3.6*1000000</f>
        <v>42.190485901454451</v>
      </c>
      <c r="G13" s="34"/>
      <c r="H13" s="33"/>
      <c r="I13" s="33"/>
      <c r="J13" s="40">
        <f>C35*'E Balans VL '!D23/100/3.6*1000000+C35*'E Balans VL '!E23/100/3.6*1000000</f>
        <v>0.26727364765942424</v>
      </c>
      <c r="K13" s="33"/>
      <c r="L13" s="33"/>
      <c r="M13" s="33"/>
      <c r="N13" s="33">
        <f>C35*'E Balans VL '!Y23/100/3.6*1000000</f>
        <v>706.09445849919439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15954.716429542299</v>
      </c>
      <c r="C15" s="33"/>
      <c r="D15" s="37">
        <f>IF( ISERROR(IND_rest_gas_kWh/1000),0,IND_rest_gas_kWh/1000)*0.902</f>
        <v>25587.483632829582</v>
      </c>
      <c r="E15" s="33">
        <f>C37*'E Balans VL '!I15/100/3.6*1000000</f>
        <v>880.95468525353283</v>
      </c>
      <c r="F15" s="33">
        <f>C37*'E Balans VL '!L15/100/3.6*1000000+C37*'E Balans VL '!N15/100/3.6*1000000</f>
        <v>3160.1517918746777</v>
      </c>
      <c r="G15" s="34"/>
      <c r="H15" s="33"/>
      <c r="I15" s="33"/>
      <c r="J15" s="40">
        <f>C37*'E Balans VL '!D15/100/3.6*1000000+C37*'E Balans VL '!E15/100/3.6*1000000</f>
        <v>57.117581428812706</v>
      </c>
      <c r="K15" s="33"/>
      <c r="L15" s="33"/>
      <c r="M15" s="33"/>
      <c r="N15" s="33">
        <f>C37*'E Balans VL '!Y15/100/3.6*1000000</f>
        <v>1119.9348472895517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19004.260062484289</v>
      </c>
      <c r="C18" s="21">
        <f>C5+C16</f>
        <v>0</v>
      </c>
      <c r="D18" s="21">
        <f>MAX((D5+D16),0)</f>
        <v>26176.424373870454</v>
      </c>
      <c r="E18" s="21">
        <f>MAX((E5+E16),0)</f>
        <v>1233.022572531178</v>
      </c>
      <c r="F18" s="21">
        <f>MAX((F5+F16),0)</f>
        <v>4170.7204138504494</v>
      </c>
      <c r="G18" s="21"/>
      <c r="H18" s="21"/>
      <c r="I18" s="21"/>
      <c r="J18" s="21">
        <f>MAX((J5+J16),0)</f>
        <v>57.384855076472128</v>
      </c>
      <c r="K18" s="21"/>
      <c r="L18" s="21">
        <f>MAX((L5+L16),0)</f>
        <v>0</v>
      </c>
      <c r="M18" s="21"/>
      <c r="N18" s="21">
        <f>MAX((N5+N16),0)</f>
        <v>1928.4871990396118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0.19072854047574836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3624.6547845391829</v>
      </c>
      <c r="C22" s="23">
        <f ca="1">C18*C20</f>
        <v>0</v>
      </c>
      <c r="D22" s="23">
        <f>D18*D20</f>
        <v>5287.6377235218315</v>
      </c>
      <c r="E22" s="23">
        <f>E18*E20</f>
        <v>279.89612396457738</v>
      </c>
      <c r="F22" s="23">
        <f>F18*F20</f>
        <v>1113.5823504980701</v>
      </c>
      <c r="G22" s="23"/>
      <c r="H22" s="23"/>
      <c r="I22" s="23"/>
      <c r="J22" s="23">
        <f>J18*J20</f>
        <v>20.314238697071133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1195.09263025173</v>
      </c>
      <c r="C31" s="39">
        <f>IF(ISERROR(B31*3.6/1000000/'E Balans VL '!Z19*100),0,B31*3.6/1000000/'E Balans VL '!Z19*100)</f>
        <v>5.4204425429116722E-2</v>
      </c>
      <c r="D31" s="237" t="s">
        <v>744</v>
      </c>
    </row>
    <row r="32" spans="1:18">
      <c r="A32" s="171" t="s">
        <v>40</v>
      </c>
      <c r="B32" s="37">
        <f>IF( ISERROR(IND_voed_ele_kWh/1000),0,IND_voed_ele_kWh/1000)</f>
        <v>126.307304936031</v>
      </c>
      <c r="C32" s="39">
        <f>IF(ISERROR(B32*3.6/1000000/'E Balans VL '!Z20*100),0,B32*3.6/1000000/'E Balans VL '!Z20*100)</f>
        <v>3.9072583284216556E-3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1728.1436977542298</v>
      </c>
      <c r="C35" s="39">
        <f>IF(ISERROR(B35*3.6/1000000/'E Balans VL '!Z22*100),0,B35*3.6/1000000/'E Balans VL '!Z22*100)</f>
        <v>0.31083913376357891</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15954.716429542299</v>
      </c>
      <c r="C37" s="39">
        <f>IF(ISERROR(B37*3.6/1000000/'E Balans VL '!Z15*100),0,B37*3.6/1000000/'E Balans VL '!Z15*100)</f>
        <v>0.12646072195940619</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194.99653954648389</v>
      </c>
      <c r="C5" s="17">
        <f>'Eigen informatie GS &amp; warmtenet'!B60</f>
        <v>0</v>
      </c>
      <c r="D5" s="30">
        <f>IF(ISERROR(SUM(LB_lb_gas_kWh,LB_rest_gas_kWh)/1000),0,SUM(LB_lb_gas_kWh,LB_rest_gas_kWh)/1000)*0.902</f>
        <v>122.64273096147448</v>
      </c>
      <c r="E5" s="17">
        <f>B17*'E Balans VL '!I25/3.6*1000000/100</f>
        <v>5.7315438854466176</v>
      </c>
      <c r="F5" s="17">
        <f>B17*('E Balans VL '!L25/3.6*1000000+'E Balans VL '!N25/3.6*1000000)/100</f>
        <v>812.34504669072044</v>
      </c>
      <c r="G5" s="18"/>
      <c r="H5" s="17"/>
      <c r="I5" s="17"/>
      <c r="J5" s="17">
        <f>('E Balans VL '!D25+'E Balans VL '!E25)/3.6*1000000*landbouw!B17/100</f>
        <v>28.250810981663786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194.99653954648389</v>
      </c>
      <c r="C8" s="21">
        <f>C5+C6</f>
        <v>0</v>
      </c>
      <c r="D8" s="21">
        <f>MAX((D5+D6),0)</f>
        <v>122.64273096147448</v>
      </c>
      <c r="E8" s="21">
        <f>MAX((E5+E6),0)</f>
        <v>5.7315438854466176</v>
      </c>
      <c r="F8" s="21">
        <f>MAX((F5+F6),0)</f>
        <v>812.34504669072044</v>
      </c>
      <c r="G8" s="21"/>
      <c r="H8" s="21"/>
      <c r="I8" s="21"/>
      <c r="J8" s="21">
        <f>MAX((J5+J6),0)</f>
        <v>28.250810981663786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0.19072854047574836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37.191405385522415</v>
      </c>
      <c r="C12" s="23">
        <f ca="1">C8*C10</f>
        <v>0</v>
      </c>
      <c r="D12" s="23">
        <f>D8*D10</f>
        <v>24.773831654217847</v>
      </c>
      <c r="E12" s="23">
        <f>E8*E10</f>
        <v>1.3010604619963821</v>
      </c>
      <c r="F12" s="23">
        <f>F8*F10</f>
        <v>216.89612746642237</v>
      </c>
      <c r="G12" s="23"/>
      <c r="H12" s="23"/>
      <c r="I12" s="23"/>
      <c r="J12" s="23">
        <f>J8*J10</f>
        <v>10.00078708750898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2.7670620744631412E-2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79.197331097619767</v>
      </c>
      <c r="C26" s="247">
        <f>B26*'GWP N2O_CH4'!B5</f>
        <v>1663.1439530500152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9.8568012556723907</v>
      </c>
      <c r="C27" s="247">
        <f>B27*'GWP N2O_CH4'!B5</f>
        <v>206.99282636912019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1.094629903616595</v>
      </c>
      <c r="C28" s="247">
        <f>B28*'GWP N2O_CH4'!B4</f>
        <v>339.33527012114445</v>
      </c>
      <c r="D28" s="50"/>
    </row>
    <row r="29" spans="1:4">
      <c r="A29" s="41" t="s">
        <v>276</v>
      </c>
      <c r="B29" s="247">
        <f>B34*'ha_N2O bodem landbouw'!B4</f>
        <v>5.6195699453488279</v>
      </c>
      <c r="C29" s="247">
        <f>B29*'GWP N2O_CH4'!B4</f>
        <v>1742.0666830581367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1.2823664956290385E-3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3.4692179044273853E-4</v>
      </c>
      <c r="C5" s="437" t="s">
        <v>210</v>
      </c>
      <c r="D5" s="422">
        <f>SUM(D6:D11)</f>
        <v>1.0954595943950137E-3</v>
      </c>
      <c r="E5" s="422">
        <f>SUM(E6:E11)</f>
        <v>2.0498619917893235E-3</v>
      </c>
      <c r="F5" s="435" t="s">
        <v>210</v>
      </c>
      <c r="G5" s="422">
        <f>SUM(G6:G11)</f>
        <v>0.74896388160651972</v>
      </c>
      <c r="H5" s="422">
        <f>SUM(H6:H11)</f>
        <v>0.18781762215872391</v>
      </c>
      <c r="I5" s="437" t="s">
        <v>210</v>
      </c>
      <c r="J5" s="437" t="s">
        <v>210</v>
      </c>
      <c r="K5" s="437" t="s">
        <v>210</v>
      </c>
      <c r="L5" s="437" t="s">
        <v>210</v>
      </c>
      <c r="M5" s="422">
        <f>SUM(M6:M11)</f>
        <v>4.9287996743697791E-2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1.407222929698E-7</v>
      </c>
      <c r="C6" s="423"/>
      <c r="D6" s="865">
        <f>vkm_GW_PW*SUMIFS(TableVerdeelsleutelVkm[CNG],TableVerdeelsleutelVkm[Voertuigtype],"Lichte voertuigen")*SUMIFS(TableECFTransport[EnergieConsumptieFactor (PJ per km)],TableECFTransport[Index],CONCATENATE($A6,"_CNG_CNG"))</f>
        <v>3.4874420192665201E-7</v>
      </c>
      <c r="E6" s="865">
        <f>vkm_GW_PW*SUMIFS(TableVerdeelsleutelVkm[LPG],TableVerdeelsleutelVkm[Voertuigtype],"Lichte voertuigen")*SUMIFS(TableECFTransport[EnergieConsumptieFactor (PJ per km)],TableECFTransport[Index],CONCATENATE($A6,"_LPG_LPG"))</f>
        <v>5.9870670846261124E-7</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1.834524298666883E-4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5.9253096758421679E-5</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1.2462752053064013E-5</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2.970660382471E-5</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4.9693744639127781E-10</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1.7356248458448975E-6</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1.3795308744579042E-4</v>
      </c>
      <c r="C8" s="423"/>
      <c r="D8" s="425">
        <f>vkm_NGW_PW*SUMIFS(TableVerdeelsleutelVkm[CNG],TableVerdeelsleutelVkm[Voertuigtype],"Lichte voertuigen")*SUMIFS(TableECFTransport[EnergieConsumptieFactor (PJ per km)],TableECFTransport[Index],CONCATENATE($A8,"_CNG_CNG"))</f>
        <v>5.7785379973010703E-4</v>
      </c>
      <c r="E8" s="425">
        <f>vkm_NGW_PW*SUMIFS(TableVerdeelsleutelVkm[LPG],TableVerdeelsleutelVkm[Voertuigtype],"Lichte voertuigen")*SUMIFS(TableECFTransport[EnergieConsumptieFactor (PJ per km)],TableECFTransport[Index],CONCATENATE($A8,"_LPG_LPG"))</f>
        <v>9.4208886851607752E-4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0.27153237142902442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9.6020354187537502E-2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1.8691331385042729E-2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4.4228543079061496E-2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9.1141501397677352E-7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2.5840822720695762E-3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2.0882798070397831E-4</v>
      </c>
      <c r="C10" s="423"/>
      <c r="D10" s="425">
        <f>vkm_SW_PW*SUMIFS(TableVerdeelsleutelVkm[CNG],TableVerdeelsleutelVkm[Voertuigtype],"Lichte voertuigen")*SUMIFS(TableECFTransport[EnergieConsumptieFactor (PJ per km)],TableECFTransport[Index],CONCATENATE($A10,"_CNG_CNG"))</f>
        <v>5.1725705046298007E-4</v>
      </c>
      <c r="E10" s="425">
        <f>vkm_SW_PW*SUMIFS(TableVerdeelsleutelVkm[LPG],TableVerdeelsleutelVkm[Voertuigtype],"Lichte voertuigen")*SUMIFS(TableECFTransport[EnergieConsumptieFactor (PJ per km)],TableECFTransport[Index],CONCATENATE($A10,"_LPG_LPG"))</f>
        <v>1.1071744165647836E-3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0.30350821076521267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9.1734795623881288E-2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2.04333462319067E-2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0.12948159729952968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2.3073385952565238E-6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7.5650384777798752E-3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96.367164011871807</v>
      </c>
      <c r="C14" s="21"/>
      <c r="D14" s="21">
        <f t="shared" ref="D14:M14" si="0">((D5)*10^9/3600)+D12</f>
        <v>304.29433177639271</v>
      </c>
      <c r="E14" s="21">
        <f t="shared" si="0"/>
        <v>569.40610883036766</v>
      </c>
      <c r="F14" s="21"/>
      <c r="G14" s="21">
        <f t="shared" si="0"/>
        <v>208045.5226684777</v>
      </c>
      <c r="H14" s="21">
        <f t="shared" si="0"/>
        <v>52171.561710756643</v>
      </c>
      <c r="I14" s="21"/>
      <c r="J14" s="21"/>
      <c r="K14" s="21"/>
      <c r="L14" s="21"/>
      <c r="M14" s="21">
        <f t="shared" si="0"/>
        <v>13691.11020658272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0.19072854047574836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18.379968541771373</v>
      </c>
      <c r="C18" s="23"/>
      <c r="D18" s="23">
        <f t="shared" ref="D18:M18" si="1">D14*D16</f>
        <v>61.46745501883133</v>
      </c>
      <c r="E18" s="23">
        <f t="shared" si="1"/>
        <v>129.25518670449347</v>
      </c>
      <c r="F18" s="23"/>
      <c r="G18" s="23">
        <f t="shared" si="1"/>
        <v>55548.154552483553</v>
      </c>
      <c r="H18" s="23">
        <f t="shared" si="1"/>
        <v>12990.718865978404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9.5693736908789052E-3</v>
      </c>
      <c r="H50" s="319">
        <f t="shared" si="2"/>
        <v>0</v>
      </c>
      <c r="I50" s="319">
        <f t="shared" si="2"/>
        <v>0</v>
      </c>
      <c r="J50" s="319">
        <f t="shared" si="2"/>
        <v>0</v>
      </c>
      <c r="K50" s="319">
        <f t="shared" si="2"/>
        <v>0</v>
      </c>
      <c r="L50" s="319">
        <f t="shared" si="2"/>
        <v>0</v>
      </c>
      <c r="M50" s="319">
        <f t="shared" si="2"/>
        <v>5.43457125522713E-4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9.5693736908789052E-3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5.43457125522713E-4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2658.1593585774735</v>
      </c>
      <c r="H54" s="21">
        <f t="shared" si="3"/>
        <v>0</v>
      </c>
      <c r="I54" s="21">
        <f t="shared" si="3"/>
        <v>0</v>
      </c>
      <c r="J54" s="21">
        <f t="shared" si="3"/>
        <v>0</v>
      </c>
      <c r="K54" s="21">
        <f t="shared" si="3"/>
        <v>0</v>
      </c>
      <c r="L54" s="21">
        <f t="shared" si="3"/>
        <v>0</v>
      </c>
      <c r="M54" s="21">
        <f t="shared" si="3"/>
        <v>150.96031264519806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0.19072854047574836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709.72854874018549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6889.7925010185299</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6879.6423261419932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13769.434827160523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2020-06-20T15:41:04Z</dcterms:modified>
</cp:coreProperties>
</file>