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K10" i="14"/>
  <c r="J5" i="48"/>
  <c r="J23" i="48" s="1"/>
  <c r="E5" i="48"/>
  <c r="E23" i="48" s="1"/>
  <c r="F10" i="14"/>
  <c r="N52" i="14"/>
  <c r="N61" i="14" s="1"/>
  <c r="N63"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F13" i="14"/>
  <c r="F16" i="14" s="1"/>
  <c r="F27" i="14" s="1"/>
  <c r="E33" i="48"/>
  <c r="K13" i="14"/>
  <c r="K16" i="14" s="1"/>
  <c r="K27" i="14" s="1"/>
  <c r="J8" i="48"/>
  <c r="J26" i="48" s="1"/>
  <c r="J33" i="48" s="1"/>
  <c r="I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<sst xmlns="http://schemas.openxmlformats.org/spreadsheetml/2006/main" count="2398" uniqueCount="887">
  <si>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</si>
  <si>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</si>
  <si>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</si>
  <si>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</si>
  <si>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</si>
  <si>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</si>
  <si>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</si>
  <si>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</si>
  <si>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</si>
  <si>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</si>
  <si>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</si>
  <si>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</si>
  <si>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</si>
  <si>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</si>
  <si>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</si>
  <si>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</si>
  <si>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</si>
  <si>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</si>
  <si>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</si>
  <si>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</si>
  <si>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</si>
  <si>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</si>
  <si>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</si>
  <si>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</si>
  <si>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</si>
  <si>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</si>
  <si>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</si>
  <si>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</si>
  <si>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</si>
  <si>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</si>
  <si>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</si>
  <si>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</si>
  <si>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</si>
  <si>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</si>
  <si>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</si>
  <si>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</si>
  <si>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</si>
  <si>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</si>
  <si>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</si>
  <si>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</si>
  <si>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</si>
  <si>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</si>
  <si>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</si>
  <si>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</si>
  <si>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</si>
  <si>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</si>
  <si>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</si>
  <si>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</si>
  <si>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</si>
  <si>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</si>
  <si>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</si>
  <si>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</si>
  <si>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</si>
  <si>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</si>
  <si>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</si>
  <si>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</si>
  <si>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</si>
  <si>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</si>
  <si>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</si>
  <si>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</si>
  <si>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</si>
  <si>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</si>
  <si>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</si>
  <si>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</si>
  <si>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</si>
  <si>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</si>
  <si>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</si>
  <si>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</si>
  <si>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</si>
  <si>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</si>
  <si>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</si>
  <si>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</si>
  <si>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</si>
  <si>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</si>
  <si>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</si>
  <si>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</si>
  <si>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</si>
  <si>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</si>
  <si>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</si>
  <si>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</si>
  <si>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</si>
  <si>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</si>
  <si>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</si>
  <si>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</si>
  <si>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</si>
  <si>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</si>
  <si>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</si>
  <si>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</si>
  <si>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</si>
  <si>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</si>
  <si>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</si>
  <si>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</si>
  <si>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</si>
  <si>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</si>
  <si>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</si>
  <si>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</si>
  <si>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</si>
  <si>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</si>
  <si>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</si>
  <si>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</si>
  <si>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</si>
  <si>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</si>
  <si>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</si>
  <si>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</si>
  <si>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</si>
  <si>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</si>
  <si>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</si>
  <si>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</si>
  <si>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</si>
  <si>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</si>
  <si>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</si>
  <si>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</si>
  <si>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</si>
  <si>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</si>
  <si>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</si>
  <si>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</si>
  <si>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</si>
  <si>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</si>
  <si>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</si>
  <si>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</si>
  <si>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</si>
  <si>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</si>
  <si>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</si>
  <si>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</si>
  <si>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</si>
  <si>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</si>
  <si>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</si>
  <si>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</si>
  <si>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</si>
  <si>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</si>
  <si>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</si>
  <si>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</si>
  <si>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</si>
  <si>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</si>
  <si>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</si>
  <si>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</si>
  <si>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</si>
  <si>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</si>
  <si>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</si>
  <si>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</si>
  <si>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</si>
  <si>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</si>
  <si>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</si>
  <si>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</si>
  <si>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</si>
  <si>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</si>
  <si>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</si>
  <si>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</si>
  <si>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</si>
  <si>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</si>
  <si>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</si>
  <si>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</si>
  <si>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</si>
  <si>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</si>
  <si>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</si>
  <si>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</si>
  <si>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</si>
  <si>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</si>
  <si>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</si>
  <si>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</si>
  <si>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</si>
  <si>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</si>
  <si>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</si>
  <si>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</si>
  <si>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</si>
  <si>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</si>
  <si>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</si>
  <si>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</si>
  <si>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</si>
  <si>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</si>
  <si>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</si>
  <si>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</si>
  <si>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</si>
  <si>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</si>
  <si>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</si>
  <si>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</si>
  <si>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</si>
  <si>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</si>
  <si>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</si>
  <si>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</si>
  <si>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</si>
  <si>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</si>
  <si>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</si>
  <si>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</si>
  <si>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</si>
  <si>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</si>
  <si>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</si>
  <si>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</si>
  <si>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</si>
  <si>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</si>
  <si>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</si>
  <si>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</si>
  <si>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</si>
  <si>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</si>
  <si>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</si>
  <si>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</si>
  <si>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</si>
  <si>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</si>
  <si>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</si>
  <si>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</si>
  <si>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</si>
  <si>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</si>
  <si>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</si>
  <si>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</si>
  <si>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</si>
  <si>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</si>
  <si>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</si>
  <si>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</si>
  <si>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</si>
  <si>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</si>
  <si>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</si>
  <si>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</si>
  <si>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</si>
  <si>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</si>
  <si>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</si>
  <si>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</si>
  <si>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</si>
  <si>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</si>
  <si>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</si>
  <si>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</si>
  <si>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</si>
  <si>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</si>
  <si>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</si>
  <si>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</si>
  <si>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</si>
  <si>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</si>
  <si>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</si>
  <si>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</si>
  <si>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</si>
  <si>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</si>
  <si>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</si>
  <si>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</si>
  <si>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</si>
  <si>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</si>
  <si>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</si>
  <si>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</si>
  <si>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</si>
  <si>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</si>
  <si>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</si>
  <si>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</si>
  <si>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</si>
  <si>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</si>
  <si>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</si>
  <si>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</si>
  <si>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</si>
  <si>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</si>
  <si>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</si>
  <si>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</si>
  <si>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</si>
  <si>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</si>
  <si>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</si>
  <si>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</si>
  <si>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</si>
  <si>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</si>
  <si>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</si>
  <si>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</si>
  <si>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</si>
  <si>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</si>
  <si>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</si>
  <si>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</si>
  <si>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</si>
  <si>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</si>
  <si>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</si>
  <si>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</si>
  <si>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</si>
  <si>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</si>
  <si>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</si>
  <si>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</si>
  <si>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</si>
  <si>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</si>
  <si>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</si>
  <si>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</si>
  <si>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</si>
  <si>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</si>
  <si>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</si>
  <si>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</si>
  <si>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</si>
  <si>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</si>
  <si>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</si>
  <si>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</si>
  <si>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</si>
  <si>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</si>
  <si>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</si>
  <si>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</si>
  <si>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</si>
  <si>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</si>
  <si>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</si>
  <si>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</si>
  <si>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</si>
  <si>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</si>
  <si>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</si>
  <si>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</si>
  <si>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</si>
  <si>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</si>
  <si>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</si>
  <si>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</si>
  <si>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</si>
  <si>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</si>
  <si>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</si>
  <si>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</si>
  <si>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</si>
  <si>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</si>
  <si>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</si>
  <si>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</si>
  <si>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</si>
  <si>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</si>
  <si>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</si>
  <si>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</si>
  <si>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</si>
  <si>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</si>
  <si>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</si>
  <si>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</si>
  <si>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</si>
  <si>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</si>
  <si>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</si>
  <si>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</si>
  <si>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</si>
  <si>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</si>
  <si>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</si>
  <si>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</si>
  <si>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</si>
  <si>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</si>
  <si>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</si>
  <si>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</si>
  <si>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</si>
  <si>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</si>
  <si>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</si>
  <si>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</si>
  <si>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</si>
  <si>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</si>
  <si>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</si>
  <si>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</si>
  <si>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</si>
  <si>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</si>
  <si>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</si>
  <si>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</si>
  <si>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</si>
  <si>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</si>
  <si>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</si>
  <si>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</si>
  <si>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</si>
  <si>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</si>
  <si>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</si>
  <si>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</si>
  <si>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</si>
  <si>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</si>
  <si>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</si>
  <si>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</si>
  <si>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</si>
  <si>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</si>
  <si>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</si>
  <si>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</si>
  <si>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</si>
  <si>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</si>
  <si>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</si>
  <si>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</si>
  <si>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</si>
  <si>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</si>
  <si>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</si>
  <si>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</si>
  <si>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</si>
  <si>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</si>
  <si>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</si>
  <si>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</si>
  <si>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</si>
  <si>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</si>
  <si>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</si>
  <si>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</si>
  <si>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</si>
  <si>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</si>
  <si>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</si>
  <si>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</si>
  <si>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</si>
  <si>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</si>
  <si>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</si>
  <si>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</si>
  <si>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</si>
  <si>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</si>
  <si>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</si>
  <si>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</si>
  <si>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</si>
  <si>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</si>
  <si>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</si>
  <si>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</si>
  <si>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</si>
  <si>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</si>
  <si>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</si>
  <si>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</si>
  <si>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</si>
  <si>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</si>
  <si>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</si>
  <si>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</si>
  <si>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</si>
  <si>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</si>
  <si>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</si>
  <si>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</si>
  <si>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</si>
  <si>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</si>
  <si>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</si>
  <si>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</si>
  <si>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</si>
  <si>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</si>
  <si>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</si>
  <si>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</si>
  <si>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</si>
  <si>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</si>
  <si>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</si>
  <si>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</si>
  <si>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</si>
  <si>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</si>
  <si>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</si>
  <si>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</si>
  <si>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</si>
  <si>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</si>
  <si>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</si>
  <si>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</si>
  <si>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</si>
  <si>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</si>
  <si>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</si>
  <si>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</si>
  <si>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</si>
  <si>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</si>
  <si>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</si>
  <si>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</si>
  <si>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</si>
  <si>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</si>
  <si>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</si>
  <si>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</si>
  <si>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</si>
  <si>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</si>
  <si>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</si>
  <si>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</si>
  <si>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</si>
  <si>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</si>
  <si>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</si>
  <si>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</si>
  <si>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</si>
  <si>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</si>
  <si>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</si>
  <si>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</si>
  <si>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</si>
  <si>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</si>
  <si>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</si>
  <si>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</si>
  <si>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</si>
  <si>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</si>
  <si>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</si>
  <si>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</si>
  <si>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</si>
  <si>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</si>
  <si>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</si>
  <si>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</si>
  <si>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</si>
  <si>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</si>
  <si>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</si>
  <si>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</si>
  <si>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</si>
  <si>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</si>
  <si>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</si>
  <si>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</si>
  <si>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</si>
  <si>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</si>
  <si>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</si>
  <si>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</si>
  <si>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</si>
  <si>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</si>
  <si>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</si>
  <si>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</si>
  <si>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</si>
  <si>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</si>
  <si>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</si>
  <si>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</si>
  <si>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</si>
  <si>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</si>
  <si>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</si>
  <si>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</si>
  <si>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</si>
  <si>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</si>
  <si>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</si>
  <si>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</si>
  <si>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</si>
  <si>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</si>
  <si>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</si>
  <si>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</si>
  <si>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</si>
  <si>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</si>
  <si>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</si>
  <si>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</si>
  <si>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</si>
  <si>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</si>
  <si>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</si>
  <si>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</si>
  <si>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</si>
  <si>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</si>
  <si>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</si>
  <si>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</si>
  <si>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</si>
  <si>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</si>
  <si>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</si>
  <si>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</si>
  <si>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</si>
  <si>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</si>
  <si>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</si>
  <si>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</si>
  <si>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</si>
  <si>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</si>
  <si>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</si>
  <si>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</si>
  <si>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</si>
  <si>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</si>
  <si>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</si>
  <si>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</si>
  <si>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</si>
  <si>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</si>
  <si>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</si>
  <si>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</si>
  <si>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</si>
  <si>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</si>
  <si>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</si>
  <si>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</si>
  <si>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</si>
  <si>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</si>
  <si>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</si>
  <si>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</si>
  <si>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</si>
  <si>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</si>
  <si>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</si>
  <si>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</si>
  <si>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</si>
  <si>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</si>
  <si>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</si>
  <si>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</si>
  <si>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</si>
  <si>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</si>
  <si>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</si>
  <si>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</si>
  <si>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</si>
  <si>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</si>
  <si>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</si>
  <si>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</si>
  <si>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</si>
  <si>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</si>
  <si>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</si>
  <si>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</si>
  <si>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</si>
  <si>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</si>
  <si>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</si>
  <si>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</si>
  <si>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</si>
  <si>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</si>
  <si>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</si>
  <si>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</si>
  <si>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</si>
  <si>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</si>
  <si>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</si>
  <si>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</si>
  <si>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</si>
  <si>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</si>
  <si>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</si>
  <si>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</si>
  <si>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</si>
  <si>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</si>
  <si>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</si>
  <si>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</si>
  <si>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</si>
  <si>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</si>
  <si>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</si>
  <si>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</si>
  <si>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</si>
  <si>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</si>
  <si>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</si>
  <si>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</si>
  <si>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</si>
  <si>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</si>
  <si>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</si>
  <si>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</si>
  <si>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</si>
  <si>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</si>
  <si>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</si>
  <si>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</si>
  <si>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</si>
  <si>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</si>
  <si>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</si>
  <si>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</si>
  <si>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</si>
  <si>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</si>
  <si>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</si>
  <si>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</si>
  <si>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</si>
  <si>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</si>
  <si>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</si>
  <si>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</si>
  <si>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</si>
  <si>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</si>
  <si>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</si>
  <si>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</si>
  <si>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</si>
  <si>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</si>
  <si>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</si>
  <si>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</si>
  <si>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</si>
  <si>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</si>
  <si>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</si>
  <si>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</si>
  <si>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</si>
  <si>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</si>
  <si>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</si>
  <si>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</si>
  <si>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</si>
  <si>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</si>
  <si>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</si>
  <si>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</si>
  <si>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</si>
  <si>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</si>
  <si>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</si>
  <si>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</si>
  <si>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</si>
  <si>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</si>
  <si>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</si>
  <si>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</si>
  <si>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</si>
  <si>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</si>
  <si>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</si>
  <si>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</si>
  <si>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</si>
  <si>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</si>
  <si>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</si>
  <si>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</si>
  <si>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</si>
  <si>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</si>
  <si>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</si>
  <si>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</si>
  <si>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</si>
  <si>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</si>
  <si>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</si>
  <si>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</si>
  <si>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</si>
  <si>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</si>
  <si>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</si>
  <si>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</si>
  <si>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</si>
  <si>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</si>
  <si>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</si>
  <si>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</si>
  <si>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</si>
  <si>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</si>
  <si>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</si>
  <si>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</si>
  <si>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</si>
  <si>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</si>
  <si>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</si>
  <si>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</si>
  <si>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</si>
  <si>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</si>
  <si>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</si>
  <si>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</si>
  <si>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</si>
  <si>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</si>
  <si>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</si>
  <si>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</si>
  <si>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</si>
  <si>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</si>
  <si>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</si>
  <si>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</si>
  <si>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</si>
  <si>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</si>
  <si>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</si>
  <si>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</si>
  <si>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</si>
  <si>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</si>
  <si>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</si>
  <si>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</si>
  <si>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</si>
  <si>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</si>
  <si>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</si>
  <si>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</si>
  <si>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</si>
  <si>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</si>
  <si>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</si>
  <si>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</si>
  <si>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</si>
  <si>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</si>
  <si>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</si>
  <si>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</si>
  <si>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</si>
  <si>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</si>
  <si>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</si>
  <si>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</si>
  <si>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</si>
  <si>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</si>
  <si>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</si>
  <si>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</si>
  <si>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</si>
  <si>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</si>
  <si>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</si>
  <si>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</si>
  <si>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</si>
  <si>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</si>
  <si>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</si>
  <si>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</si>
  <si>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</si>
  <si>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</si>
  <si>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</si>
  <si>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</si>
  <si>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</si>
  <si>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</si>
  <si>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</si>
  <si>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</si>
  <si>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</si>
  <si>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</si>
  <si>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</si>
  <si>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</si>
  <si>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</si>
  <si>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</si>
  <si>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</si>
  <si>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</si>
  <si>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</si>
  <si>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</si>
  <si>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</si>
  <si>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</si>
  <si>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</si>
  <si>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</si>
  <si>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</si>
  <si>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</si>
  <si>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</si>
  <si>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</si>
  <si>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</si>
  <si>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</si>
  <si>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</si>
  <si>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</si>
  <si>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</si>
  <si>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</si>
  <si>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</si>
  <si>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</si>
  <si>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</si>
  <si>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</si>
  <si>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</si>
  <si>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</si>
  <si>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</si>
  <si>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</si>
  <si>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</si>
  <si>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</si>
  <si>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</si>
  <si>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</si>
  <si>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</si>
  <si>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</si>
  <si>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</si>
  <si>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</si>
  <si>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</si>
  <si>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</si>
  <si>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</si>
  <si>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</si>
  <si>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</si>
  <si>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</si>
  <si>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</si>
  <si>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</si>
  <si>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</si>
  <si>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</si>
  <si>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</si>
  <si>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</si>
  <si>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</si>
  <si>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</si>
  <si>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</si>
  <si>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</si>
  <si>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</si>
  <si>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</si>
  <si>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</si>
  <si>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</si>
  <si>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</si>
  <si>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</si>
  <si>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</si>
  <si>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</si>
  <si>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</si>
  <si>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</si>
  <si>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</si>
  <si>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</si>
  <si>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</si>
  <si>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</si>
  <si>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</si>
  <si>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</si>
  <si>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</si>
  <si>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</si>
  <si>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</si>
  <si>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</si>
  <si>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</si>
  <si>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</si>
  <si>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</si>
  <si>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</si>
  <si>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</si>
  <si>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</si>
  <si>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</si>
  <si>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</si>
  <si>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</si>
  <si>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</si>
  <si>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</si>
  <si>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</si>
  <si>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</si>
  <si>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</si>
  <si>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</si>
  <si>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</si>
  <si>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</si>
  <si>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</si>
  <si>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</si>
  <si>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</si>
  <si>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</si>
  <si>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</si>
  <si>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</si>
  <si>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</si>
  <si>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</si>
  <si>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</si>
  <si>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</si>
  <si>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</si>
  <si>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</si>
  <si>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</si>
  <si>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</si>
  <si>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</si>
  <si>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</si>
  <si>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</si>
  <si>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</si>
  <si>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</si>
  <si>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</si>
  <si>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</si>
  <si>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</si>
  <si>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</si>
  <si>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</si>
  <si>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</si>
  <si>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</si>
  <si>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</si>
  <si>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</si>
  <si>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</si>
  <si>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</si>
  <si>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</si>
  <si>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</si>
  <si>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</si>
  <si>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</si>
  <si>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</si>
  <si>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</si>
  <si>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</si>
  <si>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</si>
  <si>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</si>
  <si>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</si>
  <si>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</si>
  <si>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</si>
  <si>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</si>
  <si>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</si>
  <si>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</si>
  <si>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</si>
  <si>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</si>
  <si>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</si>
  <si>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</si>
  <si>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</si>
  <si>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</si>
  <si>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</si>
  <si>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</si>
  <si>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</si>
  <si>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</si>
  <si>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</si>
  <si>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</si>
  <si>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</si>
  <si>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</si>
  <si>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</si>
  <si>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</si>
  <si>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</si>
  <si>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</si>
  <si>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</si>
  <si>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</si>
  <si>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</si>
  <si>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</si>
  <si>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</si>
  <si>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</si>
  <si>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</si>
  <si>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</si>
  <si>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</si>
  <si>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</si>
  <si>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</si>
  <si>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</si>
  <si>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</si>
  <si>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</si>
  <si>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</si>
  <si>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</si>
  <si>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</si>
  <si>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</si>
  <si>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</si>
  <si>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23002</t>
  </si>
  <si>
    <t>ASSE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</si>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</sst>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248784.36056461636</c:v>
                </c:pt>
                <c:pt idx="1">
                  <c:v>207127.81404696262</c:v>
                </c:pt>
                <c:pt idx="2">
                  <c:v>2045.1420000000001</c:v>
                </c:pt>
                <c:pt idx="3">
                  <c:v>14610.353774489455</c:v>
                </c:pt>
                <c:pt idx="4">
                  <c:v>30132.616933915484</c:v>
                </c:pt>
                <c:pt idx="5">
                  <c:v>339470.25833384815</c:v>
                </c:pt>
                <c:pt idx="6">
                  <c:v>4860.1573317001221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248784.36056461636</c:v>
                </c:pt>
                <c:pt idx="1">
                  <c:v>207127.81404696262</c:v>
                </c:pt>
                <c:pt idx="2">
                  <c:v>2045.1420000000001</c:v>
                </c:pt>
                <c:pt idx="3">
                  <c:v>14610.353774489455</c:v>
                </c:pt>
                <c:pt idx="4">
                  <c:v>30132.616933915484</c:v>
                </c:pt>
                <c:pt idx="5">
                  <c:v>339470.25833384815</c:v>
                </c:pt>
                <c:pt idx="6">
                  <c:v>4860.1573317001221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49390.435661309464</c:v>
                </c:pt>
                <c:pt idx="2">
                  <c:v>40610.585737342459</c:v>
                </c:pt>
                <c:pt idx="3">
                  <c:v>385.15482069058532</c:v>
                </c:pt>
                <c:pt idx="4">
                  <c:v>3676.0679860042869</c:v>
                </c:pt>
                <c:pt idx="5">
                  <c:v>5819.9233682176691</c:v>
                </c:pt>
                <c:pt idx="6">
                  <c:v>84986.901786504823</c:v>
                </c:pt>
                <c:pt idx="7">
                  <c:v>1227.9264728423441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49390.435661309464</c:v>
                </c:pt>
                <c:pt idx="2">
                  <c:v>40610.585737342459</c:v>
                </c:pt>
                <c:pt idx="3">
                  <c:v>385.15482069058532</c:v>
                </c:pt>
                <c:pt idx="4">
                  <c:v>3676.0679860042869</c:v>
                </c:pt>
                <c:pt idx="5">
                  <c:v>5819.9233682176691</c:v>
                </c:pt>
                <c:pt idx="6">
                  <c:v>84986.901786504823</c:v>
                </c:pt>
                <c:pt idx="7">
                  <c:v>1227.9264728423441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23002</v>
      </c>
      <c r="B6" s="390"/>
      <c r="C6" s="391"/>
    </row>
    <row r="7" spans="1:7" s="388" customFormat="1" ht="15.75" customHeight="1">
      <c r="A7" s="392" t="str">
        <f>txtMunicipality</f>
        <v>ASSE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0.18832668865564606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0.18832668865564606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13061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2432.52</v>
      </c>
      <c r="C14" s="330"/>
      <c r="D14" s="330"/>
      <c r="E14" s="330"/>
      <c r="F14" s="330"/>
    </row>
    <row r="15" spans="1:6">
      <c r="A15" s="1293" t="s">
        <v>183</v>
      </c>
      <c r="B15" s="1294">
        <v>894</v>
      </c>
      <c r="C15" s="330"/>
      <c r="D15" s="330"/>
      <c r="E15" s="330"/>
      <c r="F15" s="330"/>
    </row>
    <row r="16" spans="1:6">
      <c r="A16" s="1293" t="s">
        <v>6</v>
      </c>
      <c r="B16" s="1294">
        <v>272</v>
      </c>
      <c r="C16" s="330"/>
      <c r="D16" s="330"/>
      <c r="E16" s="330"/>
      <c r="F16" s="330"/>
    </row>
    <row r="17" spans="1:6">
      <c r="A17" s="1293" t="s">
        <v>7</v>
      </c>
      <c r="B17" s="1294">
        <v>440</v>
      </c>
      <c r="C17" s="330"/>
      <c r="D17" s="330"/>
      <c r="E17" s="330"/>
      <c r="F17" s="330"/>
    </row>
    <row r="18" spans="1:6">
      <c r="A18" s="1293" t="s">
        <v>8</v>
      </c>
      <c r="B18" s="1294">
        <v>528</v>
      </c>
      <c r="C18" s="330"/>
      <c r="D18" s="330"/>
      <c r="E18" s="330"/>
      <c r="F18" s="330"/>
    </row>
    <row r="19" spans="1:6">
      <c r="A19" s="1293" t="s">
        <v>9</v>
      </c>
      <c r="B19" s="1294">
        <v>510</v>
      </c>
      <c r="C19" s="330"/>
      <c r="D19" s="330"/>
      <c r="E19" s="330"/>
      <c r="F19" s="330"/>
    </row>
    <row r="20" spans="1:6">
      <c r="A20" s="1293" t="s">
        <v>10</v>
      </c>
      <c r="B20" s="1294">
        <v>466</v>
      </c>
      <c r="C20" s="330"/>
      <c r="D20" s="330"/>
      <c r="E20" s="330"/>
      <c r="F20" s="330"/>
    </row>
    <row r="21" spans="1:6">
      <c r="A21" s="1293" t="s">
        <v>11</v>
      </c>
      <c r="B21" s="1294">
        <v>483</v>
      </c>
      <c r="C21" s="330"/>
      <c r="D21" s="330"/>
      <c r="E21" s="330"/>
      <c r="F21" s="330"/>
    </row>
    <row r="22" spans="1:6">
      <c r="A22" s="1293" t="s">
        <v>12</v>
      </c>
      <c r="B22" s="1294">
        <v>4300</v>
      </c>
      <c r="C22" s="330"/>
      <c r="D22" s="330"/>
      <c r="E22" s="330"/>
      <c r="F22" s="330"/>
    </row>
    <row r="23" spans="1:6">
      <c r="A23" s="1293" t="s">
        <v>13</v>
      </c>
      <c r="B23" s="1294">
        <v>19</v>
      </c>
      <c r="C23" s="330"/>
      <c r="D23" s="330"/>
      <c r="E23" s="330"/>
      <c r="F23" s="330"/>
    </row>
    <row r="24" spans="1:6">
      <c r="A24" s="1293" t="s">
        <v>14</v>
      </c>
      <c r="B24" s="1294">
        <v>1</v>
      </c>
      <c r="C24" s="330"/>
      <c r="D24" s="330"/>
      <c r="E24" s="330"/>
      <c r="F24" s="330"/>
    </row>
    <row r="25" spans="1:6">
      <c r="A25" s="1293" t="s">
        <v>15</v>
      </c>
      <c r="B25" s="1294">
        <v>201</v>
      </c>
      <c r="C25" s="330"/>
      <c r="D25" s="330"/>
      <c r="E25" s="330"/>
      <c r="F25" s="330"/>
    </row>
    <row r="26" spans="1:6">
      <c r="A26" s="1293" t="s">
        <v>16</v>
      </c>
      <c r="B26" s="1294">
        <v>275</v>
      </c>
      <c r="C26" s="330"/>
      <c r="D26" s="330"/>
      <c r="E26" s="330"/>
      <c r="F26" s="330"/>
    </row>
    <row r="27" spans="1:6">
      <c r="A27" s="1293" t="s">
        <v>17</v>
      </c>
      <c r="B27" s="1294">
        <v>0</v>
      </c>
      <c r="C27" s="330"/>
      <c r="D27" s="330"/>
      <c r="E27" s="330"/>
      <c r="F27" s="330"/>
    </row>
    <row r="28" spans="1:6" s="43" customFormat="1">
      <c r="A28" s="1295" t="s">
        <v>18</v>
      </c>
      <c r="B28" s="1296">
        <v>63172</v>
      </c>
      <c r="C28" s="336"/>
      <c r="D28" s="336"/>
      <c r="E28" s="336"/>
      <c r="F28" s="336"/>
    </row>
    <row r="29" spans="1:6">
      <c r="A29" s="1295" t="s">
        <v>734</v>
      </c>
      <c r="B29" s="1296">
        <v>378</v>
      </c>
      <c r="C29" s="336"/>
      <c r="D29" s="336"/>
      <c r="E29" s="336"/>
      <c r="F29" s="336"/>
    </row>
    <row r="30" spans="1:6">
      <c r="A30" s="1288" t="s">
        <v>735</v>
      </c>
      <c r="B30" s="1297">
        <v>75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5</v>
      </c>
      <c r="F38" s="1294">
        <v>21020.201675949</v>
      </c>
    </row>
    <row r="39" spans="1:6">
      <c r="A39" s="1293" t="s">
        <v>29</v>
      </c>
      <c r="B39" s="1293" t="s">
        <v>30</v>
      </c>
      <c r="C39" s="1294">
        <v>7907</v>
      </c>
      <c r="D39" s="1294">
        <v>132382385.567996</v>
      </c>
      <c r="E39" s="1294">
        <v>13022</v>
      </c>
      <c r="F39" s="1294">
        <v>47002694.959449448</v>
      </c>
    </row>
    <row r="40" spans="1:6">
      <c r="A40" s="1293" t="s">
        <v>29</v>
      </c>
      <c r="B40" s="1293" t="s">
        <v>28</v>
      </c>
      <c r="C40" s="1294">
        <v>0</v>
      </c>
      <c r="D40" s="1294">
        <v>0</v>
      </c>
      <c r="E40" s="1294">
        <v>0</v>
      </c>
      <c r="F40" s="1294">
        <v>0</v>
      </c>
    </row>
    <row r="41" spans="1:6">
      <c r="A41" s="1293" t="s">
        <v>31</v>
      </c>
      <c r="B41" s="1293" t="s">
        <v>32</v>
      </c>
      <c r="C41" s="1294">
        <v>91</v>
      </c>
      <c r="D41" s="1294">
        <v>2704122.3134201099</v>
      </c>
      <c r="E41" s="1294">
        <v>221</v>
      </c>
      <c r="F41" s="1294">
        <v>1792813.4070818401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14</v>
      </c>
      <c r="F44" s="1294">
        <v>298907.62479341798</v>
      </c>
    </row>
    <row r="45" spans="1:6">
      <c r="A45" s="1293" t="s">
        <v>31</v>
      </c>
      <c r="B45" s="1293" t="s">
        <v>36</v>
      </c>
      <c r="C45" s="1294">
        <v>5</v>
      </c>
      <c r="D45" s="1294">
        <v>53061.579453351398</v>
      </c>
      <c r="E45" s="1294">
        <v>4</v>
      </c>
      <c r="F45" s="1294">
        <v>13471.538855287001</v>
      </c>
    </row>
    <row r="46" spans="1:6">
      <c r="A46" s="1293" t="s">
        <v>31</v>
      </c>
      <c r="B46" s="1293" t="s">
        <v>37</v>
      </c>
      <c r="C46" s="1294">
        <v>0</v>
      </c>
      <c r="D46" s="1294">
        <v>0</v>
      </c>
      <c r="E46" s="1294">
        <v>0</v>
      </c>
      <c r="F46" s="1294">
        <v>0</v>
      </c>
    </row>
    <row r="47" spans="1:6">
      <c r="A47" s="1293" t="s">
        <v>31</v>
      </c>
      <c r="B47" s="1293" t="s">
        <v>38</v>
      </c>
      <c r="C47" s="1294">
        <v>3</v>
      </c>
      <c r="D47" s="1294">
        <v>983190.289278107</v>
      </c>
      <c r="E47" s="1294">
        <v>6</v>
      </c>
      <c r="F47" s="1294">
        <v>1767467.9875914799</v>
      </c>
    </row>
    <row r="48" spans="1:6">
      <c r="A48" s="1293" t="s">
        <v>31</v>
      </c>
      <c r="B48" s="1293" t="s">
        <v>28</v>
      </c>
      <c r="C48" s="1294">
        <v>40</v>
      </c>
      <c r="D48" s="1294">
        <v>5593730.9139332501</v>
      </c>
      <c r="E48" s="1294">
        <v>55</v>
      </c>
      <c r="F48" s="1294">
        <v>4441996.5428567696</v>
      </c>
    </row>
    <row r="49" spans="1:6">
      <c r="A49" s="1293" t="s">
        <v>31</v>
      </c>
      <c r="B49" s="1293" t="s">
        <v>39</v>
      </c>
      <c r="C49" s="1294">
        <v>0</v>
      </c>
      <c r="D49" s="1294">
        <v>0</v>
      </c>
      <c r="E49" s="1294">
        <v>0</v>
      </c>
      <c r="F49" s="1294">
        <v>0</v>
      </c>
    </row>
    <row r="50" spans="1:6">
      <c r="A50" s="1293" t="s">
        <v>31</v>
      </c>
      <c r="B50" s="1293" t="s">
        <v>40</v>
      </c>
      <c r="C50" s="1294">
        <v>5</v>
      </c>
      <c r="D50" s="1294">
        <v>5067646.3297837097</v>
      </c>
      <c r="E50" s="1294">
        <v>8</v>
      </c>
      <c r="F50" s="1294">
        <v>3929024.9302972201</v>
      </c>
    </row>
    <row r="51" spans="1:6">
      <c r="A51" s="1293" t="s">
        <v>41</v>
      </c>
      <c r="B51" s="1293" t="s">
        <v>42</v>
      </c>
      <c r="C51" s="1294">
        <v>12</v>
      </c>
      <c r="D51" s="1294">
        <v>591190.63663221197</v>
      </c>
      <c r="E51" s="1294">
        <v>85</v>
      </c>
      <c r="F51" s="1294">
        <v>2386399.5036110501</v>
      </c>
    </row>
    <row r="52" spans="1:6">
      <c r="A52" s="1293" t="s">
        <v>41</v>
      </c>
      <c r="B52" s="1293" t="s">
        <v>28</v>
      </c>
      <c r="C52" s="1294">
        <v>6</v>
      </c>
      <c r="D52" s="1294">
        <v>274467.14196832199</v>
      </c>
      <c r="E52" s="1294">
        <v>10</v>
      </c>
      <c r="F52" s="1294">
        <v>203294.70820190199</v>
      </c>
    </row>
    <row r="53" spans="1:6">
      <c r="A53" s="1293" t="s">
        <v>43</v>
      </c>
      <c r="B53" s="1293" t="s">
        <v>44</v>
      </c>
      <c r="C53" s="1294">
        <v>233</v>
      </c>
      <c r="D53" s="1294">
        <v>4397553.4164460897</v>
      </c>
      <c r="E53" s="1294">
        <v>589</v>
      </c>
      <c r="F53" s="1294">
        <v>2223112.29033991</v>
      </c>
    </row>
    <row r="54" spans="1:6">
      <c r="A54" s="1293" t="s">
        <v>45</v>
      </c>
      <c r="B54" s="1293" t="s">
        <v>46</v>
      </c>
      <c r="C54" s="1294">
        <v>0</v>
      </c>
      <c r="D54" s="1294">
        <v>0</v>
      </c>
      <c r="E54" s="1294">
        <v>1</v>
      </c>
      <c r="F54" s="1294">
        <v>2045142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87</v>
      </c>
      <c r="D57" s="1294">
        <v>7564239.0099743903</v>
      </c>
      <c r="E57" s="1294">
        <v>211</v>
      </c>
      <c r="F57" s="1294">
        <v>3862665.81394755</v>
      </c>
    </row>
    <row r="58" spans="1:6">
      <c r="A58" s="1293" t="s">
        <v>48</v>
      </c>
      <c r="B58" s="1293" t="s">
        <v>50</v>
      </c>
      <c r="C58" s="1294">
        <v>44</v>
      </c>
      <c r="D58" s="1294">
        <v>1480185.5002208599</v>
      </c>
      <c r="E58" s="1294">
        <v>82</v>
      </c>
      <c r="F58" s="1294">
        <v>1124103.3326137001</v>
      </c>
    </row>
    <row r="59" spans="1:6">
      <c r="A59" s="1293" t="s">
        <v>48</v>
      </c>
      <c r="B59" s="1293" t="s">
        <v>51</v>
      </c>
      <c r="C59" s="1294">
        <v>164</v>
      </c>
      <c r="D59" s="1294">
        <v>23424675.035273999</v>
      </c>
      <c r="E59" s="1294">
        <v>404</v>
      </c>
      <c r="F59" s="1294">
        <v>45224928.967850998</v>
      </c>
    </row>
    <row r="60" spans="1:6">
      <c r="A60" s="1293" t="s">
        <v>48</v>
      </c>
      <c r="B60" s="1293" t="s">
        <v>52</v>
      </c>
      <c r="C60" s="1294">
        <v>91</v>
      </c>
      <c r="D60" s="1294">
        <v>3811569.3304903801</v>
      </c>
      <c r="E60" s="1294">
        <v>127</v>
      </c>
      <c r="F60" s="1294">
        <v>2302173.1624645302</v>
      </c>
    </row>
    <row r="61" spans="1:6">
      <c r="A61" s="1293" t="s">
        <v>48</v>
      </c>
      <c r="B61" s="1293" t="s">
        <v>53</v>
      </c>
      <c r="C61" s="1294">
        <v>288</v>
      </c>
      <c r="D61" s="1294">
        <v>23586392.124276798</v>
      </c>
      <c r="E61" s="1294">
        <v>809</v>
      </c>
      <c r="F61" s="1294">
        <v>23624778.668395001</v>
      </c>
    </row>
    <row r="62" spans="1:6">
      <c r="A62" s="1293" t="s">
        <v>48</v>
      </c>
      <c r="B62" s="1293" t="s">
        <v>54</v>
      </c>
      <c r="C62" s="1294">
        <v>18</v>
      </c>
      <c r="D62" s="1294">
        <v>3892104.6641779002</v>
      </c>
      <c r="E62" s="1294">
        <v>23</v>
      </c>
      <c r="F62" s="1294">
        <v>579212.47558177402</v>
      </c>
    </row>
    <row r="63" spans="1:6">
      <c r="A63" s="1293" t="s">
        <v>48</v>
      </c>
      <c r="B63" s="1293" t="s">
        <v>28</v>
      </c>
      <c r="C63" s="1294">
        <v>212</v>
      </c>
      <c r="D63" s="1294">
        <v>31435204.251913302</v>
      </c>
      <c r="E63" s="1294">
        <v>198</v>
      </c>
      <c r="F63" s="1294">
        <v>19980836.6861743</v>
      </c>
    </row>
    <row r="64" spans="1:6">
      <c r="A64" s="1293" t="s">
        <v>55</v>
      </c>
      <c r="B64" s="1293" t="s">
        <v>56</v>
      </c>
      <c r="C64" s="1294">
        <v>0</v>
      </c>
      <c r="D64" s="1294">
        <v>0</v>
      </c>
      <c r="E64" s="1294">
        <v>0</v>
      </c>
      <c r="F64" s="1294">
        <v>0</v>
      </c>
    </row>
    <row r="65" spans="1:6">
      <c r="A65" s="1293" t="s">
        <v>55</v>
      </c>
      <c r="B65" s="1293" t="s">
        <v>28</v>
      </c>
      <c r="C65" s="1294">
        <v>8</v>
      </c>
      <c r="D65" s="1294">
        <v>233408.365924777</v>
      </c>
      <c r="E65" s="1294">
        <v>8</v>
      </c>
      <c r="F65" s="1294">
        <v>83460.168658559007</v>
      </c>
    </row>
    <row r="66" spans="1:6">
      <c r="A66" s="1293" t="s">
        <v>55</v>
      </c>
      <c r="B66" s="1293" t="s">
        <v>57</v>
      </c>
      <c r="C66" s="1294">
        <v>4</v>
      </c>
      <c r="D66" s="1294">
        <v>158390.86669384001</v>
      </c>
      <c r="E66" s="1294">
        <v>32</v>
      </c>
      <c r="F66" s="1294">
        <v>751412</v>
      </c>
    </row>
    <row r="67" spans="1:6">
      <c r="A67" s="1295" t="s">
        <v>55</v>
      </c>
      <c r="B67" s="1295" t="s">
        <v>58</v>
      </c>
      <c r="C67" s="1294">
        <v>0</v>
      </c>
      <c r="D67" s="1294">
        <v>0</v>
      </c>
      <c r="E67" s="1294">
        <v>0</v>
      </c>
      <c r="F67" s="1294">
        <v>0</v>
      </c>
    </row>
    <row r="68" spans="1:6">
      <c r="A68" s="1288" t="s">
        <v>55</v>
      </c>
      <c r="B68" s="1288" t="s">
        <v>59</v>
      </c>
      <c r="C68" s="1297">
        <v>13</v>
      </c>
      <c r="D68" s="1297">
        <v>753921.306864743</v>
      </c>
      <c r="E68" s="1297">
        <v>42</v>
      </c>
      <c r="F68" s="1297">
        <v>2270602.27314498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147522268</v>
      </c>
      <c r="E73" s="449"/>
      <c r="F73" s="330"/>
    </row>
    <row r="74" spans="1:6">
      <c r="A74" s="1293" t="s">
        <v>63</v>
      </c>
      <c r="B74" s="1293" t="s">
        <v>656</v>
      </c>
      <c r="C74" s="1307" t="s">
        <v>658</v>
      </c>
      <c r="D74" s="1308">
        <v>12404129.5</v>
      </c>
      <c r="E74" s="449"/>
      <c r="F74" s="330"/>
    </row>
    <row r="75" spans="1:6">
      <c r="A75" s="1293" t="s">
        <v>64</v>
      </c>
      <c r="B75" s="1293" t="s">
        <v>655</v>
      </c>
      <c r="C75" s="1307" t="s">
        <v>659</v>
      </c>
      <c r="D75" s="1308">
        <v>62461986</v>
      </c>
      <c r="E75" s="449"/>
      <c r="F75" s="330"/>
    </row>
    <row r="76" spans="1:6">
      <c r="A76" s="1293" t="s">
        <v>64</v>
      </c>
      <c r="B76" s="1293" t="s">
        <v>656</v>
      </c>
      <c r="C76" s="1307" t="s">
        <v>660</v>
      </c>
      <c r="D76" s="1308">
        <v>3442895.5</v>
      </c>
      <c r="E76" s="449"/>
      <c r="F76" s="330"/>
    </row>
    <row r="77" spans="1:6">
      <c r="A77" s="1293" t="s">
        <v>65</v>
      </c>
      <c r="B77" s="1293" t="s">
        <v>655</v>
      </c>
      <c r="C77" s="1307" t="s">
        <v>661</v>
      </c>
      <c r="D77" s="1308">
        <v>147185868</v>
      </c>
      <c r="E77" s="449"/>
      <c r="F77" s="330"/>
    </row>
    <row r="78" spans="1:6">
      <c r="A78" s="1288" t="s">
        <v>65</v>
      </c>
      <c r="B78" s="1288" t="s">
        <v>656</v>
      </c>
      <c r="C78" s="1288" t="s">
        <v>662</v>
      </c>
      <c r="D78" s="1309">
        <v>17466098</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1325519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13779.58500203706</v>
      </c>
      <c r="C90" s="330"/>
      <c r="D90" s="330"/>
      <c r="E90" s="330"/>
      <c r="F90" s="330"/>
    </row>
    <row r="91" spans="1:6">
      <c r="A91" s="1293" t="s">
        <v>67</v>
      </c>
      <c r="B91" s="1294">
        <v>4050.0693095732645</v>
      </c>
      <c r="C91" s="330"/>
      <c r="D91" s="330"/>
      <c r="E91" s="330"/>
      <c r="F91" s="330"/>
    </row>
    <row r="92" spans="1:6">
      <c r="A92" s="1288" t="s">
        <v>68</v>
      </c>
      <c r="B92" s="1289">
        <v>6856.0738726445925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4799</v>
      </c>
      <c r="C97" s="330"/>
      <c r="D97" s="330"/>
      <c r="E97" s="330"/>
      <c r="F97" s="330"/>
    </row>
    <row r="98" spans="1:6">
      <c r="A98" s="1293" t="s">
        <v>71</v>
      </c>
      <c r="B98" s="1294">
        <v>4</v>
      </c>
      <c r="C98" s="330"/>
      <c r="D98" s="330"/>
      <c r="E98" s="330"/>
      <c r="F98" s="330"/>
    </row>
    <row r="99" spans="1:6">
      <c r="A99" s="1293" t="s">
        <v>72</v>
      </c>
      <c r="B99" s="1294">
        <v>99</v>
      </c>
      <c r="C99" s="330"/>
      <c r="D99" s="330"/>
      <c r="E99" s="330"/>
      <c r="F99" s="330"/>
    </row>
    <row r="100" spans="1:6">
      <c r="A100" s="1293" t="s">
        <v>73</v>
      </c>
      <c r="B100" s="1294">
        <v>830</v>
      </c>
      <c r="C100" s="330"/>
      <c r="D100" s="330"/>
      <c r="E100" s="330"/>
      <c r="F100" s="330"/>
    </row>
    <row r="101" spans="1:6">
      <c r="A101" s="1293" t="s">
        <v>74</v>
      </c>
      <c r="B101" s="1294">
        <v>75</v>
      </c>
      <c r="C101" s="330"/>
      <c r="D101" s="330"/>
      <c r="E101" s="330"/>
      <c r="F101" s="330"/>
    </row>
    <row r="102" spans="1:6">
      <c r="A102" s="1293" t="s">
        <v>75</v>
      </c>
      <c r="B102" s="1294">
        <v>177</v>
      </c>
      <c r="C102" s="330"/>
      <c r="D102" s="330"/>
      <c r="E102" s="330"/>
      <c r="F102" s="330"/>
    </row>
    <row r="103" spans="1:6">
      <c r="A103" s="1293" t="s">
        <v>76</v>
      </c>
      <c r="B103" s="1294">
        <v>217</v>
      </c>
      <c r="C103" s="330"/>
      <c r="D103" s="330"/>
      <c r="E103" s="330"/>
      <c r="F103" s="330"/>
    </row>
    <row r="104" spans="1:6">
      <c r="A104" s="1293" t="s">
        <v>77</v>
      </c>
      <c r="B104" s="1294">
        <v>4999</v>
      </c>
      <c r="C104" s="330"/>
      <c r="D104" s="330"/>
      <c r="E104" s="330"/>
      <c r="F104" s="330"/>
    </row>
    <row r="105" spans="1:6">
      <c r="A105" s="1288" t="s">
        <v>78</v>
      </c>
      <c r="B105" s="1297">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40</v>
      </c>
      <c r="C123" s="1294">
        <v>28</v>
      </c>
      <c r="D123" s="330"/>
      <c r="E123" s="330"/>
      <c r="F123" s="330"/>
    </row>
    <row r="124" spans="1:6" s="43" customFormat="1">
      <c r="A124" s="1295" t="s">
        <v>88</v>
      </c>
      <c r="B124" s="1316">
        <v>2</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104</v>
      </c>
      <c r="C129" s="330"/>
      <c r="D129" s="330"/>
      <c r="E129" s="330"/>
      <c r="F129" s="330"/>
    </row>
    <row r="130" spans="1:6">
      <c r="A130" s="1293" t="s">
        <v>294</v>
      </c>
      <c r="B130" s="1294">
        <v>2</v>
      </c>
      <c r="C130" s="330"/>
      <c r="D130" s="330"/>
      <c r="E130" s="330"/>
      <c r="F130" s="330"/>
    </row>
    <row r="131" spans="1:6">
      <c r="A131" s="1293" t="s">
        <v>295</v>
      </c>
      <c r="B131" s="1294">
        <v>1</v>
      </c>
      <c r="C131" s="330"/>
      <c r="D131" s="330"/>
      <c r="E131" s="330"/>
      <c r="F131" s="330"/>
    </row>
    <row r="132" spans="1:6">
      <c r="A132" s="1288" t="s">
        <v>296</v>
      </c>
      <c r="B132" s="1289">
        <v>44</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166972.54438715093</v>
      </c>
      <c r="C3" s="43" t="s">
        <v>169</v>
      </c>
      <c r="D3" s="43"/>
      <c r="E3" s="154"/>
      <c r="F3" s="43"/>
      <c r="G3" s="43"/>
      <c r="H3" s="43"/>
      <c r="I3" s="43"/>
      <c r="J3" s="43"/>
      <c r="K3" s="96"/>
    </row>
    <row r="4" spans="1:11">
      <c r="A4" s="358" t="s">
        <v>170</v>
      </c>
      <c r="B4" s="49">
        <f>IF(ISERROR('SEAP template'!B78+'SEAP template'!C78),0,'SEAP template'!B78+'SEAP template'!C78)</f>
        <v>24685.728184254916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0.18832668865564606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2045.1420000000001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2045.1420000000001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0.18832668865564606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385.15482069058532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47002.694959449451</v>
      </c>
      <c r="C5" s="17">
        <f>IF(ISERROR('Eigen informatie GS &amp; warmtenet'!B57),0,'Eigen informatie GS &amp; warmtenet'!B57)</f>
        <v>0</v>
      </c>
      <c r="D5" s="30">
        <f>(SUM(HH_hh_gas_kWh,HH_rest_gas_kWh)/1000)*0.902</f>
        <v>119408.91178233238</v>
      </c>
      <c r="E5" s="17">
        <f>B46*B57</f>
        <v>14944.156501145357</v>
      </c>
      <c r="F5" s="17">
        <f>B51*B62</f>
        <v>45928.516531895119</v>
      </c>
      <c r="G5" s="18"/>
      <c r="H5" s="17"/>
      <c r="I5" s="17"/>
      <c r="J5" s="17">
        <f>B50*B61+C50*C61</f>
        <v>0</v>
      </c>
      <c r="K5" s="17"/>
      <c r="L5" s="17"/>
      <c r="M5" s="17"/>
      <c r="N5" s="17">
        <f>B48*B59+C48*C59</f>
        <v>15603.918146887478</v>
      </c>
      <c r="O5" s="17">
        <f>B69*B70*B71</f>
        <v>206.35999999999999</v>
      </c>
      <c r="P5" s="17">
        <f>B77*B78*B79/1000-B77*B78*B79/1000/B80</f>
        <v>1639.7333333333333</v>
      </c>
    </row>
    <row r="6" spans="1:16">
      <c r="A6" s="16" t="s">
        <v>620</v>
      </c>
      <c r="B6" s="762">
        <f>kWh_PV_kleiner_dan_10kW</f>
        <v>4050.0693095732645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51052.764269022715</v>
      </c>
      <c r="C8" s="21">
        <f>C5</f>
        <v>0</v>
      </c>
      <c r="D8" s="21">
        <f>D5</f>
        <v>119408.91178233238</v>
      </c>
      <c r="E8" s="21">
        <f>E5</f>
        <v>14944.156501145357</v>
      </c>
      <c r="F8" s="21">
        <f>F5</f>
        <v>45928.516531895119</v>
      </c>
      <c r="G8" s="21"/>
      <c r="H8" s="21"/>
      <c r="I8" s="21"/>
      <c r="J8" s="21">
        <f>J5</f>
        <v>0</v>
      </c>
      <c r="K8" s="21"/>
      <c r="L8" s="21">
        <f>L5</f>
        <v>0</v>
      </c>
      <c r="M8" s="21">
        <f>M5</f>
        <v>0</v>
      </c>
      <c r="N8" s="21">
        <f>N5</f>
        <v>15603.918146887478</v>
      </c>
      <c r="O8" s="21">
        <f>O5</f>
        <v>206.35999999999999</v>
      </c>
      <c r="P8" s="21">
        <f>P5</f>
        <v>1639.7333333333333</v>
      </c>
    </row>
    <row r="9" spans="1:16">
      <c r="B9" s="19"/>
      <c r="C9" s="19"/>
      <c r="D9" s="258"/>
      <c r="E9" s="19"/>
      <c r="F9" s="19"/>
      <c r="G9" s="19"/>
      <c r="H9" s="19"/>
      <c r="I9" s="19"/>
      <c r="J9" s="19"/>
      <c r="K9" s="19"/>
      <c r="L9" s="19"/>
      <c r="M9" s="19"/>
      <c r="N9" s="19"/>
      <c r="O9" s="19"/>
      <c r="P9" s="19"/>
    </row>
    <row r="10" spans="1:16">
      <c r="A10" s="24" t="s">
        <v>213</v>
      </c>
      <c r="B10" s="25">
        <f ca="1">'EF ele_warmte'!B12</f>
        <v>0.18832668865564606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9614.5980415023332</v>
      </c>
      <c r="C12" s="23">
        <f ca="1">C10*C8</f>
        <v>0</v>
      </c>
      <c r="D12" s="23">
        <f>D8*D10</f>
        <v>24120.600180031142</v>
      </c>
      <c r="E12" s="23">
        <f>E10*E8</f>
        <v>3392.3235257599963</v>
      </c>
      <c r="F12" s="23">
        <f>F10*F8</f>
        <v>12262.913914015997</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4799</v>
      </c>
      <c r="C18" s="166" t="s">
        <v>110</v>
      </c>
      <c r="D18" s="228"/>
      <c r="E18" s="15"/>
    </row>
    <row r="19" spans="1:7">
      <c r="A19" s="171" t="s">
        <v>71</v>
      </c>
      <c r="B19" s="37">
        <f>aantalw2001_ander</f>
        <v>4</v>
      </c>
      <c r="C19" s="166" t="s">
        <v>110</v>
      </c>
      <c r="D19" s="229"/>
      <c r="E19" s="15"/>
    </row>
    <row r="20" spans="1:7">
      <c r="A20" s="171" t="s">
        <v>72</v>
      </c>
      <c r="B20" s="37">
        <f>aantalw2001_propaan</f>
        <v>99</v>
      </c>
      <c r="C20" s="167">
        <f>IF(ISERROR(B20/SUM($B$20,$B$21,$B$22)*100),0,B20/SUM($B$20,$B$21,$B$22)*100)</f>
        <v>9.860557768924302</v>
      </c>
      <c r="D20" s="229"/>
      <c r="E20" s="15"/>
    </row>
    <row r="21" spans="1:7">
      <c r="A21" s="171" t="s">
        <v>73</v>
      </c>
      <c r="B21" s="37">
        <f>aantalw2001_elektriciteit</f>
        <v>830</v>
      </c>
      <c r="C21" s="167">
        <f>IF(ISERROR(B21/SUM($B$20,$B$21,$B$22)*100),0,B21/SUM($B$20,$B$21,$B$22)*100)</f>
        <v>82.669322709163353</v>
      </c>
      <c r="D21" s="229"/>
      <c r="E21" s="15"/>
    </row>
    <row r="22" spans="1:7">
      <c r="A22" s="171" t="s">
        <v>74</v>
      </c>
      <c r="B22" s="37">
        <f>aantalw2001_hout</f>
        <v>75</v>
      </c>
      <c r="C22" s="167">
        <f>IF(ISERROR(B22/SUM($B$20,$B$21,$B$22)*100),0,B22/SUM($B$20,$B$21,$B$22)*100)</f>
        <v>7.4701195219123511</v>
      </c>
      <c r="D22" s="229"/>
      <c r="E22" s="15"/>
    </row>
    <row r="23" spans="1:7">
      <c r="A23" s="171" t="s">
        <v>75</v>
      </c>
      <c r="B23" s="37">
        <f>aantalw2001_niet_gespec</f>
        <v>177</v>
      </c>
      <c r="C23" s="166" t="s">
        <v>110</v>
      </c>
      <c r="D23" s="228"/>
      <c r="E23" s="15"/>
    </row>
    <row r="24" spans="1:7">
      <c r="A24" s="171" t="s">
        <v>76</v>
      </c>
      <c r="B24" s="37">
        <f>aantalw2001_steenkool</f>
        <v>217</v>
      </c>
      <c r="C24" s="166" t="s">
        <v>110</v>
      </c>
      <c r="D24" s="229"/>
      <c r="E24" s="15"/>
    </row>
    <row r="25" spans="1:7">
      <c r="A25" s="171" t="s">
        <v>77</v>
      </c>
      <c r="B25" s="37">
        <f>aantalw2001_stookolie</f>
        <v>4999</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780</v>
      </c>
      <c r="B28" s="37">
        <f>aantalHuishoudens</f>
        <v>13061</v>
      </c>
      <c r="C28" s="36"/>
      <c r="D28" s="228"/>
    </row>
    <row r="29" spans="1:7" s="15" customFormat="1">
      <c r="A29" s="230" t="s">
        <v>781</v>
      </c>
      <c r="B29" s="37">
        <f>SUM(HH_hh_gas_aantal,HH_rest_gas_aantal)</f>
        <v>7907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7907</v>
      </c>
      <c r="C32" s="167">
        <f>IF(ISERROR(B32/SUM($B$32,$B$34,$B$35,$B$36,$B$38,$B$39)*100),0,B32/SUM($B$32,$B$34,$B$35,$B$36,$B$38,$B$39)*100)</f>
        <v>60.940269749518315</v>
      </c>
      <c r="D32" s="233"/>
      <c r="G32" s="15"/>
    </row>
    <row r="33" spans="1:7">
      <c r="A33" s="171" t="s">
        <v>71</v>
      </c>
      <c r="B33" s="34" t="s">
        <v>110</v>
      </c>
      <c r="C33" s="167"/>
      <c r="D33" s="233"/>
      <c r="G33" s="15"/>
    </row>
    <row r="34" spans="1:7">
      <c r="A34" s="171" t="s">
        <v>72</v>
      </c>
      <c r="B34" s="33">
        <f>IF((($B$28-$B$32-$B$39-$B$77-$B$38)*C20/100)&lt;0,0,($B$28-$B$32-$B$39-$B$77-$B$38)*C20/100)</f>
        <v>282.62330677290834</v>
      </c>
      <c r="C34" s="167">
        <f>IF(ISERROR(B34/SUM($B$32,$B$34,$B$35,$B$36,$B$38,$B$39)*100),0,B34/SUM($B$32,$B$34,$B$35,$B$36,$B$38,$B$39)*100)</f>
        <v>2.1782143103885039</v>
      </c>
      <c r="D34" s="233"/>
      <c r="G34" s="15"/>
    </row>
    <row r="35" spans="1:7">
      <c r="A35" s="171" t="s">
        <v>73</v>
      </c>
      <c r="B35" s="33">
        <f>IF((($B$28-$B$32-$B$39-$B$77-$B$38)*C21/100)&lt;0,0,($B$28-$B$32-$B$39-$B$77-$B$38)*C21/100)</f>
        <v>2369.4681274900404</v>
      </c>
      <c r="C35" s="167">
        <f>IF(ISERROR(B35/SUM($B$32,$B$34,$B$35,$B$36,$B$38,$B$39)*100),0,B35/SUM($B$32,$B$34,$B$35,$B$36,$B$38,$B$39)*100)</f>
        <v>18.261796743661201</v>
      </c>
      <c r="D35" s="233"/>
      <c r="G35" s="15"/>
    </row>
    <row r="36" spans="1:7">
      <c r="A36" s="171" t="s">
        <v>74</v>
      </c>
      <c r="B36" s="33">
        <f>IF((($B$28-$B$32-$B$39-$B$77-$B$38)*C22/100)&lt;0,0,($B$28-$B$32-$B$39-$B$77-$B$38)*C22/100)</f>
        <v>214.10856573705183</v>
      </c>
      <c r="C36" s="167">
        <f>IF(ISERROR(B36/SUM($B$32,$B$34,$B$35,$B$36,$B$38,$B$39)*100),0,B36/SUM($B$32,$B$34,$B$35,$B$36,$B$38,$B$39)*100)</f>
        <v>1.6501623563549277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2201.7999999999997</v>
      </c>
      <c r="C39" s="167">
        <f>IF(ISERROR(B39/SUM($B$32,$B$34,$B$35,$B$36,$B$38,$B$39)*100),0,B39/SUM($B$32,$B$34,$B$35,$B$36,$B$38,$B$39)*100)</f>
        <v>16.969556840077072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7907</v>
      </c>
      <c r="C44" s="34" t="s">
        <v>110</v>
      </c>
      <c r="D44" s="174"/>
    </row>
    <row r="45" spans="1:7">
      <c r="A45" s="171" t="s">
        <v>71</v>
      </c>
      <c r="B45" s="33" t="str">
        <f t="shared" si="0"/>
        <v>-</v>
      </c>
      <c r="C45" s="34" t="s">
        <v>110</v>
      </c>
      <c r="D45" s="174"/>
    </row>
    <row r="46" spans="1:7">
      <c r="A46" s="171" t="s">
        <v>72</v>
      </c>
      <c r="B46" s="33">
        <f t="shared" si="0"/>
        <v>282.62330677290834</v>
      </c>
      <c r="C46" s="34" t="s">
        <v>110</v>
      </c>
      <c r="D46" s="174"/>
    </row>
    <row r="47" spans="1:7">
      <c r="A47" s="171" t="s">
        <v>73</v>
      </c>
      <c r="B47" s="33">
        <f t="shared" si="0"/>
        <v>2369.4681274900404</v>
      </c>
      <c r="C47" s="34" t="s">
        <v>110</v>
      </c>
      <c r="D47" s="174"/>
    </row>
    <row r="48" spans="1:7">
      <c r="A48" s="171" t="s">
        <v>74</v>
      </c>
      <c r="B48" s="33">
        <f t="shared" si="0"/>
        <v>214.10856573705183</v>
      </c>
      <c r="C48" s="33">
        <f>B48*10</f>
        <v>2141.0856573705182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2201.7999999999997</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96698.699107027845</v>
      </c>
      <c r="C5" s="17">
        <f>IF(ISERROR('Eigen informatie GS &amp; warmtenet'!B58),0,'Eigen informatie GS &amp; warmtenet'!B58)</f>
        <v>0</v>
      </c>
      <c r="D5" s="30">
        <f>SUM(D6:D12)</f>
        <v>85865.321664527539</v>
      </c>
      <c r="E5" s="17">
        <f>SUM(E6:E12)</f>
        <v>1934.9530057546174</v>
      </c>
      <c r="F5" s="17">
        <f>SUM(F6:F12)</f>
        <v>17286.755880729474</v>
      </c>
      <c r="G5" s="18"/>
      <c r="H5" s="17"/>
      <c r="I5" s="17"/>
      <c r="J5" s="17">
        <f>SUM(J6:J12)</f>
        <v>0.13222743387120811</v>
      </c>
      <c r="K5" s="17"/>
      <c r="L5" s="17"/>
      <c r="M5" s="17"/>
      <c r="N5" s="17">
        <f>SUM(N6:N12)</f>
        <v>5319.7588281559247</v>
      </c>
      <c r="O5" s="17">
        <f>B38*B39*B40</f>
        <v>3.1266666666666669</v>
      </c>
      <c r="P5" s="17">
        <f>B46*B47*B48/1000-B46*B47*B48/1000/B49</f>
        <v>19.066666666666666</v>
      </c>
      <c r="R5" s="32"/>
    </row>
    <row r="6" spans="1:18">
      <c r="A6" s="32" t="s">
        <v>53</v>
      </c>
      <c r="B6" s="37">
        <f>B26</f>
        <v>23624.778668395</v>
      </c>
      <c r="C6" s="33"/>
      <c r="D6" s="37">
        <f>IF(ISERROR(TER_kantoor_gas_kWh/1000),0,TER_kantoor_gas_kWh/1000)*0.902</f>
        <v>21274.925696097671</v>
      </c>
      <c r="E6" s="33">
        <f>$C$26*'E Balans VL '!I12/100/3.6*1000000</f>
        <v>0.14807225521521319</v>
      </c>
      <c r="F6" s="33">
        <f>$C$26*('E Balans VL '!L12+'E Balans VL '!N12)/100/3.6*1000000</f>
        <v>3550.1440945838067</v>
      </c>
      <c r="G6" s="34"/>
      <c r="H6" s="33"/>
      <c r="I6" s="33"/>
      <c r="J6" s="33">
        <f>$C$26*('E Balans VL '!D12+'E Balans VL '!E12)/100/3.6*1000000</f>
        <v>0</v>
      </c>
      <c r="K6" s="33"/>
      <c r="L6" s="33"/>
      <c r="M6" s="33"/>
      <c r="N6" s="33">
        <f>$C$26*'E Balans VL '!Y12/100/3.6*1000000</f>
        <v>22.59359803847499</v>
      </c>
      <c r="O6" s="33"/>
      <c r="P6" s="33"/>
      <c r="R6" s="32"/>
    </row>
    <row r="7" spans="1:18">
      <c r="A7" s="32" t="s">
        <v>52</v>
      </c>
      <c r="B7" s="37">
        <f t="shared" ref="B7:B12" si="0">B27</f>
        <v>2302.1731624645304</v>
      </c>
      <c r="C7" s="33"/>
      <c r="D7" s="37">
        <f>IF(ISERROR(TER_horeca_gas_kWh/1000),0,TER_horeca_gas_kWh/1000)*0.902</f>
        <v>3438.035536102323</v>
      </c>
      <c r="E7" s="33">
        <f>$C$27*'E Balans VL '!I9/100/3.6*1000000</f>
        <v>32.966736217646698</v>
      </c>
      <c r="F7" s="33">
        <f>$C$27*('E Balans VL '!L9+'E Balans VL '!N9)/100/3.6*1000000</f>
        <v>291.53105096412253</v>
      </c>
      <c r="G7" s="34"/>
      <c r="H7" s="33"/>
      <c r="I7" s="33"/>
      <c r="J7" s="33">
        <f>$C$27*('E Balans VL '!D9+'E Balans VL '!E9)/100/3.6*1000000</f>
        <v>0</v>
      </c>
      <c r="K7" s="33"/>
      <c r="L7" s="33"/>
      <c r="M7" s="33"/>
      <c r="N7" s="33">
        <f>$C$27*'E Balans VL '!Y9/100/3.6*1000000</f>
        <v>0.66182402564741827</v>
      </c>
      <c r="O7" s="33"/>
      <c r="P7" s="33"/>
      <c r="R7" s="32"/>
    </row>
    <row r="8" spans="1:18">
      <c r="A8" s="6" t="s">
        <v>51</v>
      </c>
      <c r="B8" s="37">
        <f t="shared" si="0"/>
        <v>45224.928967850996</v>
      </c>
      <c r="C8" s="33"/>
      <c r="D8" s="37">
        <f>IF(ISERROR(TER_handel_gas_kWh/1000),0,TER_handel_gas_kWh/1000)*0.902</f>
        <v>21129.056881817149</v>
      </c>
      <c r="E8" s="33">
        <f>$C$28*'E Balans VL '!I13/100/3.6*1000000</f>
        <v>1640.3025967755689</v>
      </c>
      <c r="F8" s="33">
        <f>$C$28*('E Balans VL '!L13+'E Balans VL '!N13)/100/3.6*1000000</f>
        <v>8710.7792507282793</v>
      </c>
      <c r="G8" s="34"/>
      <c r="H8" s="33"/>
      <c r="I8" s="33"/>
      <c r="J8" s="33">
        <f>$C$28*('E Balans VL '!D13+'E Balans VL '!E13)/100/3.6*1000000</f>
        <v>0</v>
      </c>
      <c r="K8" s="33"/>
      <c r="L8" s="33"/>
      <c r="M8" s="33"/>
      <c r="N8" s="33">
        <f>$C$28*'E Balans VL '!Y13/100/3.6*1000000</f>
        <v>62.646932412544714</v>
      </c>
      <c r="O8" s="33"/>
      <c r="P8" s="33"/>
      <c r="R8" s="32"/>
    </row>
    <row r="9" spans="1:18">
      <c r="A9" s="32" t="s">
        <v>50</v>
      </c>
      <c r="B9" s="37">
        <f t="shared" si="0"/>
        <v>1124.1033326137001</v>
      </c>
      <c r="C9" s="33"/>
      <c r="D9" s="37">
        <f>IF(ISERROR(TER_gezond_gas_kWh/1000),0,TER_gezond_gas_kWh/1000)*0.902</f>
        <v>1335.1273211992157</v>
      </c>
      <c r="E9" s="33">
        <f>$C$29*'E Balans VL '!I10/100/3.6*1000000</f>
        <v>7.0379967136964441E-2</v>
      </c>
      <c r="F9" s="33">
        <f>$C$29*('E Balans VL '!L10+'E Balans VL '!N10)/100/3.6*1000000</f>
        <v>166.98897262846475</v>
      </c>
      <c r="G9" s="34"/>
      <c r="H9" s="33"/>
      <c r="I9" s="33"/>
      <c r="J9" s="33">
        <f>$C$29*('E Balans VL '!D10+'E Balans VL '!E10)/100/3.6*1000000</f>
        <v>0</v>
      </c>
      <c r="K9" s="33"/>
      <c r="L9" s="33"/>
      <c r="M9" s="33"/>
      <c r="N9" s="33">
        <f>$C$29*'E Balans VL '!Y10/100/3.6*1000000</f>
        <v>17.387738815568557</v>
      </c>
      <c r="O9" s="33"/>
      <c r="P9" s="33"/>
      <c r="R9" s="32"/>
    </row>
    <row r="10" spans="1:18">
      <c r="A10" s="32" t="s">
        <v>49</v>
      </c>
      <c r="B10" s="37">
        <f t="shared" si="0"/>
        <v>3862.6658139475499</v>
      </c>
      <c r="C10" s="33"/>
      <c r="D10" s="37">
        <f>IF(ISERROR(TER_ander_gas_kWh/1000),0,TER_ander_gas_kWh/1000)*0.902</f>
        <v>6822.9435869969002</v>
      </c>
      <c r="E10" s="33">
        <f>$C$30*'E Balans VL '!I14/100/3.6*1000000</f>
        <v>4.6041596218719825</v>
      </c>
      <c r="F10" s="33">
        <f>$C$30*('E Balans VL '!L14+'E Balans VL '!N14)/100/3.6*1000000</f>
        <v>1010.6450975632887</v>
      </c>
      <c r="G10" s="34"/>
      <c r="H10" s="33"/>
      <c r="I10" s="33"/>
      <c r="J10" s="33">
        <f>$C$30*('E Balans VL '!D14+'E Balans VL '!E14)/100/3.6*1000000</f>
        <v>8.3843333588889693E-2</v>
      </c>
      <c r="K10" s="33"/>
      <c r="L10" s="33"/>
      <c r="M10" s="33"/>
      <c r="N10" s="33">
        <f>$C$30*'E Balans VL '!Y14/100/3.6*1000000</f>
        <v>3280.081291102229</v>
      </c>
      <c r="O10" s="33"/>
      <c r="P10" s="33"/>
      <c r="R10" s="32"/>
    </row>
    <row r="11" spans="1:18">
      <c r="A11" s="32" t="s">
        <v>54</v>
      </c>
      <c r="B11" s="37">
        <f t="shared" si="0"/>
        <v>579.21247558177402</v>
      </c>
      <c r="C11" s="33"/>
      <c r="D11" s="37">
        <f>IF(ISERROR(TER_onderwijs_gas_kWh/1000),0,TER_onderwijs_gas_kWh/1000)*0.902</f>
        <v>3510.678407088466</v>
      </c>
      <c r="E11" s="33">
        <f>$C$31*'E Balans VL '!I11/100/3.6*1000000</f>
        <v>8.7393833461268802</v>
      </c>
      <c r="F11" s="33">
        <f>$C$31*('E Balans VL '!L11+'E Balans VL '!N11)/100/3.6*1000000</f>
        <v>101.48727891650367</v>
      </c>
      <c r="G11" s="34"/>
      <c r="H11" s="33"/>
      <c r="I11" s="33"/>
      <c r="J11" s="33">
        <f>$C$31*('E Balans VL '!D11+'E Balans VL '!E11)/100/3.6*1000000</f>
        <v>0</v>
      </c>
      <c r="K11" s="33"/>
      <c r="L11" s="33"/>
      <c r="M11" s="33"/>
      <c r="N11" s="33">
        <f>$C$31*'E Balans VL '!Y11/100/3.6*1000000</f>
        <v>1.6299479396963805</v>
      </c>
      <c r="O11" s="33"/>
      <c r="P11" s="33"/>
      <c r="R11" s="32"/>
    </row>
    <row r="12" spans="1:18">
      <c r="A12" s="32" t="s">
        <v>259</v>
      </c>
      <c r="B12" s="37">
        <f t="shared" si="0"/>
        <v>19980.836686174298</v>
      </c>
      <c r="C12" s="33"/>
      <c r="D12" s="37">
        <f>IF(ISERROR(TER_rest_gas_kWh/1000),0,TER_rest_gas_kWh/1000)*0.902</f>
        <v>28354.554235225802</v>
      </c>
      <c r="E12" s="33">
        <f>$C$32*'E Balans VL '!I8/100/3.6*1000000</f>
        <v>248.12167757105067</v>
      </c>
      <c r="F12" s="33">
        <f>$C$32*('E Balans VL '!L8+'E Balans VL '!N8)/100/3.6*1000000</f>
        <v>3455.1801353450055</v>
      </c>
      <c r="G12" s="34"/>
      <c r="H12" s="33"/>
      <c r="I12" s="33"/>
      <c r="J12" s="33">
        <f>$C$32*('E Balans VL '!D8+'E Balans VL '!E8)/100/3.6*1000000</f>
        <v>4.8384100282318411E-2</v>
      </c>
      <c r="K12" s="33"/>
      <c r="L12" s="33"/>
      <c r="M12" s="33"/>
      <c r="N12" s="33">
        <f>$C$32*'E Balans VL '!Y8/100/3.6*1000000</f>
        <v>1934.7574958217638</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96698.699107027845</v>
      </c>
      <c r="C16" s="21">
        <f t="shared" ca="1" si="1"/>
        <v>0</v>
      </c>
      <c r="D16" s="21">
        <f t="shared" ca="1" si="1"/>
        <v>85865.321664527539</v>
      </c>
      <c r="E16" s="21">
        <f t="shared" si="1"/>
        <v>1934.9530057546174</v>
      </c>
      <c r="F16" s="21">
        <f t="shared" ca="1" si="1"/>
        <v>17286.755880729474</v>
      </c>
      <c r="G16" s="21">
        <f t="shared" si="1"/>
        <v>0</v>
      </c>
      <c r="H16" s="21">
        <f t="shared" si="1"/>
        <v>0</v>
      </c>
      <c r="I16" s="21">
        <f t="shared" si="1"/>
        <v>0</v>
      </c>
      <c r="J16" s="21">
        <f t="shared" si="1"/>
        <v>0.13222743387120811</v>
      </c>
      <c r="K16" s="21">
        <f t="shared" si="1"/>
        <v>0</v>
      </c>
      <c r="L16" s="21">
        <f t="shared" ca="1" si="1"/>
        <v>0</v>
      </c>
      <c r="M16" s="21">
        <f t="shared" si="1"/>
        <v>0</v>
      </c>
      <c r="N16" s="21">
        <f t="shared" ca="1" si="1"/>
        <v>5319.7588281559247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0.18832668865564606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18210.945800135232</v>
      </c>
      <c r="C20" s="23">
        <f t="shared" ref="C20:P20" ca="1" si="2">C16*C18</f>
        <v>0</v>
      </c>
      <c r="D20" s="23">
        <f t="shared" ca="1" si="2"/>
        <v>17344.794976234563</v>
      </c>
      <c r="E20" s="23">
        <f t="shared" si="2"/>
        <v>439.23433230629814</v>
      </c>
      <c r="F20" s="23">
        <f t="shared" ca="1" si="2"/>
        <v>4615.5638201547699</v>
      </c>
      <c r="G20" s="23">
        <f t="shared" si="2"/>
        <v>0</v>
      </c>
      <c r="H20" s="23">
        <f t="shared" si="2"/>
        <v>0</v>
      </c>
      <c r="I20" s="23">
        <f t="shared" si="2"/>
        <v>0</v>
      </c>
      <c r="J20" s="23">
        <f t="shared" si="2"/>
        <v>4.6808511590407671E-2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23624.778668395</v>
      </c>
      <c r="C26" s="39">
        <f>IF(ISERROR(B26*3.6/1000000/'E Balans VL '!Z12*100),0,B26*3.6/1000000/'E Balans VL '!Z12*100)</f>
        <v>0.49939039637747901</v>
      </c>
      <c r="D26" s="237" t="s">
        <v>744</v>
      </c>
      <c r="F26" s="6"/>
    </row>
    <row r="27" spans="1:18">
      <c r="A27" s="231" t="s">
        <v>52</v>
      </c>
      <c r="B27" s="33">
        <f>IF(ISERROR(TER_horeca_ele_kWh/1000),0,TER_horeca_ele_kWh/1000)</f>
        <v>2302.1731624645304</v>
      </c>
      <c r="C27" s="39">
        <f>IF(ISERROR(B27*3.6/1000000/'E Balans VL '!Z9*100),0,B27*3.6/1000000/'E Balans VL '!Z9*100)</f>
        <v>0.18147945233333559</v>
      </c>
      <c r="D27" s="237" t="s">
        <v>744</v>
      </c>
      <c r="F27" s="6"/>
    </row>
    <row r="28" spans="1:18">
      <c r="A28" s="171" t="s">
        <v>51</v>
      </c>
      <c r="B28" s="33">
        <f>IF(ISERROR(TER_handel_ele_kWh/1000),0,TER_handel_ele_kWh/1000)</f>
        <v>45224.928967850996</v>
      </c>
      <c r="C28" s="39">
        <f>IF(ISERROR(B28*3.6/1000000/'E Balans VL '!Z13*100),0,B28*3.6/1000000/'E Balans VL '!Z13*100)</f>
        <v>1.3126101678359872</v>
      </c>
      <c r="D28" s="237" t="s">
        <v>744</v>
      </c>
      <c r="F28" s="6"/>
    </row>
    <row r="29" spans="1:18">
      <c r="A29" s="231" t="s">
        <v>50</v>
      </c>
      <c r="B29" s="33">
        <f>IF(ISERROR(TER_gezond_ele_kWh/1000),0,TER_gezond_ele_kWh/1000)</f>
        <v>1124.1033326137001</v>
      </c>
      <c r="C29" s="39">
        <f>IF(ISERROR(B29*3.6/1000000/'E Balans VL '!Z10*100),0,B29*3.6/1000000/'E Balans VL '!Z10*100)</f>
        <v>0.11838653918817095</v>
      </c>
      <c r="D29" s="237" t="s">
        <v>744</v>
      </c>
      <c r="F29" s="6"/>
    </row>
    <row r="30" spans="1:18">
      <c r="A30" s="231" t="s">
        <v>49</v>
      </c>
      <c r="B30" s="33">
        <f>IF(ISERROR(TER_ander_ele_kWh/1000),0,TER_ander_ele_kWh/1000)</f>
        <v>3862.6658139475499</v>
      </c>
      <c r="C30" s="39">
        <f>IF(ISERROR(B30*3.6/1000000/'E Balans VL '!Z14*100),0,B30*3.6/1000000/'E Balans VL '!Z14*100)</f>
        <v>0.28491106940361272</v>
      </c>
      <c r="D30" s="237" t="s">
        <v>744</v>
      </c>
      <c r="F30" s="6"/>
    </row>
    <row r="31" spans="1:18">
      <c r="A31" s="231" t="s">
        <v>54</v>
      </c>
      <c r="B31" s="33">
        <f>IF(ISERROR(TER_onderwijs_ele_kWh/1000),0,TER_onderwijs_ele_kWh/1000)</f>
        <v>579.21247558177402</v>
      </c>
      <c r="C31" s="39">
        <f>IF(ISERROR(B31*3.6/1000000/'E Balans VL '!Z11*100),0,B31*3.6/1000000/'E Balans VL '!Z11*100)</f>
        <v>0.14384558959716481</v>
      </c>
      <c r="D31" s="237" t="s">
        <v>744</v>
      </c>
    </row>
    <row r="32" spans="1:18">
      <c r="A32" s="231" t="s">
        <v>259</v>
      </c>
      <c r="B32" s="33">
        <f>IF(ISERROR(TER_rest_ele_kWh/1000),0,TER_rest_ele_kWh/1000)</f>
        <v>19980.836686174298</v>
      </c>
      <c r="C32" s="39">
        <f>IF(ISERROR(B32*3.6/1000000/'E Balans VL '!Z8*100),0,B32*3.6/1000000/'E Balans VL '!Z8*100)</f>
        <v>0.16441576406253111</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12243.682031476015</v>
      </c>
      <c r="C5" s="17">
        <f>IF(ISERROR('Eigen informatie GS &amp; warmtenet'!B59),0,'Eigen informatie GS &amp; warmtenet'!B59)</f>
        <v>0</v>
      </c>
      <c r="D5" s="30">
        <f>SUM(D6:D15)</f>
        <v>12990.379786133413</v>
      </c>
      <c r="E5" s="17">
        <f>SUM(E6:E15)</f>
        <v>783.30147843488066</v>
      </c>
      <c r="F5" s="17">
        <f>SUM(F6:F15)</f>
        <v>2646.109048997389</v>
      </c>
      <c r="G5" s="18"/>
      <c r="H5" s="17"/>
      <c r="I5" s="17"/>
      <c r="J5" s="17">
        <f>SUM(J6:J15)</f>
        <v>16.197756472283043</v>
      </c>
      <c r="K5" s="17"/>
      <c r="L5" s="17"/>
      <c r="M5" s="17"/>
      <c r="N5" s="17">
        <f>SUM(N6:N15)</f>
        <v>1452.9468324015002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298.90762479341799</v>
      </c>
      <c r="C8" s="33"/>
      <c r="D8" s="37">
        <f>IF( ISERROR(IND_metaal_Gas_kWH/1000),0,IND_metaal_Gas_kWH/1000)*0.902</f>
        <v>0</v>
      </c>
      <c r="E8" s="33">
        <f>C30*'E Balans VL '!I18/100/3.6*1000000</f>
        <v>2.7481669222460248</v>
      </c>
      <c r="F8" s="33">
        <f>C30*'E Balans VL '!L18/100/3.6*1000000+C30*'E Balans VL '!N18/100/3.6*1000000</f>
        <v>28.027583563442391</v>
      </c>
      <c r="G8" s="34"/>
      <c r="H8" s="33"/>
      <c r="I8" s="33"/>
      <c r="J8" s="40">
        <f>C30*'E Balans VL '!D18/100/3.6*1000000+C30*'E Balans VL '!E18/100/3.6*1000000</f>
        <v>0</v>
      </c>
      <c r="K8" s="33"/>
      <c r="L8" s="33"/>
      <c r="M8" s="33"/>
      <c r="N8" s="33">
        <f>C30*'E Balans VL '!Y18/100/3.6*1000000</f>
        <v>4.2644112333294908</v>
      </c>
      <c r="O8" s="33"/>
      <c r="P8" s="33"/>
      <c r="R8" s="32"/>
    </row>
    <row r="9" spans="1:18">
      <c r="A9" s="6" t="s">
        <v>32</v>
      </c>
      <c r="B9" s="37">
        <f t="shared" si="0"/>
        <v>1792.8134070818401</v>
      </c>
      <c r="C9" s="33"/>
      <c r="D9" s="37">
        <f>IF( ISERROR(IND_andere_gas_kWh/1000),0,IND_andere_gas_kWh/1000)*0.902</f>
        <v>2439.1183267049391</v>
      </c>
      <c r="E9" s="33">
        <f>C31*'E Balans VL '!I19/100/3.6*1000000</f>
        <v>524.07426085039538</v>
      </c>
      <c r="F9" s="33">
        <f>C31*'E Balans VL '!L19/100/3.6*1000000+C31*'E Balans VL '!N19/100/3.6*1000000</f>
        <v>1440.6612760959326</v>
      </c>
      <c r="G9" s="34"/>
      <c r="H9" s="33"/>
      <c r="I9" s="33"/>
      <c r="J9" s="40">
        <f>C31*'E Balans VL '!D19/100/3.6*1000000+C31*'E Balans VL '!E19/100/3.6*1000000</f>
        <v>0</v>
      </c>
      <c r="K9" s="33"/>
      <c r="L9" s="33"/>
      <c r="M9" s="33"/>
      <c r="N9" s="33">
        <f>C31*'E Balans VL '!Y19/100/3.6*1000000</f>
        <v>140.62584870814004</v>
      </c>
      <c r="O9" s="33"/>
      <c r="P9" s="33"/>
      <c r="R9" s="32"/>
    </row>
    <row r="10" spans="1:18">
      <c r="A10" s="6" t="s">
        <v>40</v>
      </c>
      <c r="B10" s="37">
        <f t="shared" si="0"/>
        <v>3929.0249302972202</v>
      </c>
      <c r="C10" s="33"/>
      <c r="D10" s="37">
        <f>IF( ISERROR(IND_voed_gas_kWh/1000),0,IND_voed_gas_kWh/1000)*0.902</f>
        <v>4571.0169894649061</v>
      </c>
      <c r="E10" s="33">
        <f>C32*'E Balans VL '!I20/100/3.6*1000000</f>
        <v>8.3119131602968466</v>
      </c>
      <c r="F10" s="33">
        <f>C32*'E Balans VL '!L20/100/3.6*1000000+C32*'E Balans VL '!N20/100/3.6*1000000</f>
        <v>249.81141844957301</v>
      </c>
      <c r="G10" s="34"/>
      <c r="H10" s="33"/>
      <c r="I10" s="33"/>
      <c r="J10" s="40">
        <f>C32*'E Balans VL '!D20/100/3.6*1000000+C32*'E Balans VL '!E20/100/3.6*1000000</f>
        <v>0</v>
      </c>
      <c r="K10" s="33"/>
      <c r="L10" s="33"/>
      <c r="M10" s="33"/>
      <c r="N10" s="33">
        <f>C32*'E Balans VL '!Y20/100/3.6*1000000</f>
        <v>271.14149275591183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13.471538855287001</v>
      </c>
      <c r="C12" s="33"/>
      <c r="D12" s="37">
        <f>IF( ISERROR(IND_min_gas_kWh/1000),0,IND_min_gas_kWh/1000)*0.902</f>
        <v>47.86154466692296</v>
      </c>
      <c r="E12" s="33">
        <f>C34*'E Balans VL '!I22/100/3.6*1000000</f>
        <v>0.39048444014243594</v>
      </c>
      <c r="F12" s="33">
        <f>C34*'E Balans VL '!L22/100/3.6*1000000+C34*'E Balans VL '!N22/100/3.6*1000000</f>
        <v>4.6316672902295402</v>
      </c>
      <c r="G12" s="34"/>
      <c r="H12" s="33"/>
      <c r="I12" s="33"/>
      <c r="J12" s="40">
        <f>C34*'E Balans VL '!D22/100/3.6*1000000+C34*'E Balans VL '!E22/100/3.6*1000000</f>
        <v>2.2137797926916499E-2</v>
      </c>
      <c r="K12" s="33"/>
      <c r="L12" s="33"/>
      <c r="M12" s="33"/>
      <c r="N12" s="33">
        <f>C34*'E Balans VL '!Y22/100/3.6*1000000</f>
        <v>2.949141237144385</v>
      </c>
      <c r="O12" s="33"/>
      <c r="P12" s="33"/>
      <c r="R12" s="32"/>
    </row>
    <row r="13" spans="1:18">
      <c r="A13" s="6" t="s">
        <v>38</v>
      </c>
      <c r="B13" s="37">
        <f t="shared" si="0"/>
        <v>1767.4679875914799</v>
      </c>
      <c r="C13" s="33"/>
      <c r="D13" s="37">
        <f>IF( ISERROR(IND_papier_gas_kWh/1000),0,IND_papier_gas_kWh/1000)*0.902</f>
        <v>886.83764092885258</v>
      </c>
      <c r="E13" s="33">
        <f>C35*'E Balans VL '!I23/100/3.6*1000000</f>
        <v>2.5076328576014748</v>
      </c>
      <c r="F13" s="33">
        <f>C35*'E Balans VL '!L23/100/3.6*1000000+C35*'E Balans VL '!N23/100/3.6*1000000</f>
        <v>43.150539685245263</v>
      </c>
      <c r="G13" s="34"/>
      <c r="H13" s="33"/>
      <c r="I13" s="33"/>
      <c r="J13" s="40">
        <f>C35*'E Balans VL '!D23/100/3.6*1000000+C35*'E Balans VL '!E23/100/3.6*1000000</f>
        <v>0.27335551828168597</v>
      </c>
      <c r="K13" s="33"/>
      <c r="L13" s="33"/>
      <c r="M13" s="33"/>
      <c r="N13" s="33">
        <f>C35*'E Balans VL '!Y23/100/3.6*1000000</f>
        <v>722.16179316273076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4441.9965428567693</v>
      </c>
      <c r="C15" s="33"/>
      <c r="D15" s="37">
        <f>IF( ISERROR(IND_rest_gas_kWh/1000),0,IND_rest_gas_kWh/1000)*0.902</f>
        <v>5045.5452843677922</v>
      </c>
      <c r="E15" s="33">
        <f>C37*'E Balans VL '!I15/100/3.6*1000000</f>
        <v>245.2690202041984</v>
      </c>
      <c r="F15" s="33">
        <f>C37*'E Balans VL '!L15/100/3.6*1000000+C37*'E Balans VL '!N15/100/3.6*1000000</f>
        <v>879.82656391296587</v>
      </c>
      <c r="G15" s="34"/>
      <c r="H15" s="33"/>
      <c r="I15" s="33"/>
      <c r="J15" s="40">
        <f>C37*'E Balans VL '!D15/100/3.6*1000000+C37*'E Balans VL '!E15/100/3.6*1000000</f>
        <v>15.90226315607444</v>
      </c>
      <c r="K15" s="33"/>
      <c r="L15" s="33"/>
      <c r="M15" s="33"/>
      <c r="N15" s="33">
        <f>C37*'E Balans VL '!Y15/100/3.6*1000000</f>
        <v>311.80414530424366</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12243.682031476015</v>
      </c>
      <c r="C18" s="21">
        <f>C5+C16</f>
        <v>0</v>
      </c>
      <c r="D18" s="21">
        <f>MAX((D5+D16),0)</f>
        <v>12990.379786133413</v>
      </c>
      <c r="E18" s="21">
        <f>MAX((E5+E16),0)</f>
        <v>783.30147843488066</v>
      </c>
      <c r="F18" s="21">
        <f>MAX((F5+F16),0)</f>
        <v>2646.109048997389</v>
      </c>
      <c r="G18" s="21"/>
      <c r="H18" s="21"/>
      <c r="I18" s="21"/>
      <c r="J18" s="21">
        <f>MAX((J5+J16),0)</f>
        <v>16.197756472283043</v>
      </c>
      <c r="K18" s="21"/>
      <c r="L18" s="21">
        <f>MAX((L5+L16),0)</f>
        <v>0</v>
      </c>
      <c r="M18" s="21"/>
      <c r="N18" s="21">
        <f>MAX((N5+N16),0)</f>
        <v>1452.9468324015002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0.18832668865564606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2305.8120939405117</v>
      </c>
      <c r="C22" s="23">
        <f ca="1">C18*C20</f>
        <v>0</v>
      </c>
      <c r="D22" s="23">
        <f>D18*D20</f>
        <v>2624.0567167989498</v>
      </c>
      <c r="E22" s="23">
        <f>E18*E20</f>
        <v>177.80943560471792</v>
      </c>
      <c r="F22" s="23">
        <f>F18*F20</f>
        <v>706.51111608230292</v>
      </c>
      <c r="G22" s="23"/>
      <c r="H22" s="23"/>
      <c r="I22" s="23"/>
      <c r="J22" s="23">
        <f>J18*J20</f>
        <v>5.7340057911881965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298.90762479341799</v>
      </c>
      <c r="C30" s="39">
        <f>IF(ISERROR(B30*3.6/1000000/'E Balans VL '!Z18*100),0,B30*3.6/1000000/'E Balans VL '!Z18*100)</f>
        <v>1.6939861546322463E-2</v>
      </c>
      <c r="D30" s="237" t="s">
        <v>744</v>
      </c>
    </row>
    <row r="31" spans="1:18">
      <c r="A31" s="6" t="s">
        <v>32</v>
      </c>
      <c r="B31" s="37">
        <f>IF( ISERROR(IND_ander_ele_kWh/1000),0,IND_ander_ele_kWh/1000)</f>
        <v>1792.8134070818401</v>
      </c>
      <c r="C31" s="39">
        <f>IF(ISERROR(B31*3.6/1000000/'E Balans VL '!Z19*100),0,B31*3.6/1000000/'E Balans VL '!Z19*100)</f>
        <v>8.1314551000133739E-2</v>
      </c>
      <c r="D31" s="237" t="s">
        <v>744</v>
      </c>
    </row>
    <row r="32" spans="1:18">
      <c r="A32" s="171" t="s">
        <v>40</v>
      </c>
      <c r="B32" s="37">
        <f>IF( ISERROR(IND_voed_ele_kWh/1000),0,IND_voed_ele_kWh/1000)</f>
        <v>3929.0249302972202</v>
      </c>
      <c r="C32" s="39">
        <f>IF(ISERROR(B32*3.6/1000000/'E Balans VL '!Z20*100),0,B32*3.6/1000000/'E Balans VL '!Z20*100)</f>
        <v>0.12154257736126256</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13.471538855287001</v>
      </c>
      <c r="C34" s="39">
        <f>IF(ISERROR(B34*3.6/1000000/'E Balans VL '!Z22*100),0,B34*3.6/1000000/'E Balans VL '!Z22*100)</f>
        <v>2.4231095328944886E-3</v>
      </c>
      <c r="D34" s="237" t="s">
        <v>744</v>
      </c>
    </row>
    <row r="35" spans="1:5">
      <c r="A35" s="171" t="s">
        <v>38</v>
      </c>
      <c r="B35" s="37">
        <f>IF( ISERROR(IND_papier_ele_kWh/1000),0,IND_papier_ele_kWh/1000)</f>
        <v>1767.4679875914799</v>
      </c>
      <c r="C35" s="39">
        <f>IF(ISERROR(B35*3.6/1000000/'E Balans VL '!Z22*100),0,B35*3.6/1000000/'E Balans VL '!Z22*100)</f>
        <v>0.3179123466015874</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4441.9965428567693</v>
      </c>
      <c r="C37" s="39">
        <f>IF(ISERROR(B37*3.6/1000000/'E Balans VL '!Z15*100),0,B37*3.6/1000000/'E Balans VL '!Z15*100)</f>
        <v>3.5208277892718916E-2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2589.6942118129523</v>
      </c>
      <c r="C5" s="17">
        <f>'Eigen informatie GS &amp; warmtenet'!B60</f>
        <v>0</v>
      </c>
      <c r="D5" s="30">
        <f>IF(ISERROR(SUM(LB_lb_gas_kWh,LB_rest_gas_kWh)/1000),0,SUM(LB_lb_gas_kWh,LB_rest_gas_kWh)/1000)*0.902</f>
        <v>780.82331629768157</v>
      </c>
      <c r="E5" s="17">
        <f>B17*'E Balans VL '!I25/3.6*1000000/100</f>
        <v>76.119022724271019</v>
      </c>
      <c r="F5" s="17">
        <f>B17*('E Balans VL '!L25/3.6*1000000+'E Balans VL '!N25/3.6*1000000)/100</f>
        <v>10788.526146682663</v>
      </c>
      <c r="G5" s="18"/>
      <c r="H5" s="17"/>
      <c r="I5" s="17"/>
      <c r="J5" s="17">
        <f>('E Balans VL '!D25+'E Balans VL '!E25)/3.6*1000000*landbouw!B17/100</f>
        <v>375.19107697188724</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2589.6942118129523</v>
      </c>
      <c r="C8" s="21">
        <f>C5+C6</f>
        <v>0</v>
      </c>
      <c r="D8" s="21">
        <f>MAX((D5+D6),0)</f>
        <v>780.82331629768157</v>
      </c>
      <c r="E8" s="21">
        <f>MAX((E5+E6),0)</f>
        <v>76.119022724271019</v>
      </c>
      <c r="F8" s="21">
        <f>MAX((F5+F6),0)</f>
        <v>10788.526146682663</v>
      </c>
      <c r="G8" s="21"/>
      <c r="H8" s="21"/>
      <c r="I8" s="21"/>
      <c r="J8" s="21">
        <f>MAX((J5+J6),0)</f>
        <v>375.19107697188724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0.18832668865564606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487.70853554142656</v>
      </c>
      <c r="C12" s="23">
        <f ca="1">C8*C10</f>
        <v>0</v>
      </c>
      <c r="D12" s="23">
        <f>D8*D10</f>
        <v>157.7263098921317</v>
      </c>
      <c r="E12" s="23">
        <f>E8*E10</f>
        <v>17.279018158409521</v>
      </c>
      <c r="F12" s="23">
        <f>F8*F10</f>
        <v>2880.5364811642712</v>
      </c>
      <c r="G12" s="23"/>
      <c r="H12" s="23"/>
      <c r="I12" s="23"/>
      <c r="J12" s="23">
        <f>J8*J10</f>
        <v>132.81764124804809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0.36748573357406278</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166.53941559946352</v>
      </c>
      <c r="C26" s="247">
        <f>B26*'GWP N2O_CH4'!B5</f>
        <v>3497.327727588734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46.351505580602158</v>
      </c>
      <c r="C27" s="247">
        <f>B27*'GWP N2O_CH4'!B5</f>
        <v>973.38161719264531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3.0240675132976333</v>
      </c>
      <c r="C28" s="247">
        <f>B28*'GWP N2O_CH4'!B4</f>
        <v>937.46092912226629</v>
      </c>
      <c r="D28" s="50"/>
    </row>
    <row r="29" spans="1:4">
      <c r="A29" s="41" t="s">
        <v>276</v>
      </c>
      <c r="B29" s="247">
        <f>B34*'ha_N2O bodem landbouw'!B4</f>
        <v>15.826559861367027</v>
      </c>
      <c r="C29" s="247">
        <f>B29*'GWP N2O_CH4'!B4</f>
        <v>4906.2335570237783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3.6115664196123146E-3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4.3002171889720581E-4</v>
      </c>
      <c r="C5" s="437" t="s">
        <v>210</v>
      </c>
      <c r="D5" s="422">
        <f>SUM(D6:D11)</f>
        <v>1.194105458546966E-3</v>
      </c>
      <c r="E5" s="422">
        <f>SUM(E6:E11)</f>
        <v>2.2087421132068971E-3</v>
      </c>
      <c r="F5" s="435" t="s">
        <v>210</v>
      </c>
      <c r="G5" s="422">
        <f>SUM(G6:G11)</f>
        <v>0.95164556254810329</v>
      </c>
      <c r="H5" s="422">
        <f>SUM(H6:H11)</f>
        <v>0.20497952972843134</v>
      </c>
      <c r="I5" s="437" t="s">
        <v>210</v>
      </c>
      <c r="J5" s="437" t="s">
        <v>210</v>
      </c>
      <c r="K5" s="437" t="s">
        <v>210</v>
      </c>
      <c r="L5" s="437" t="s">
        <v>210</v>
      </c>
      <c r="M5" s="422">
        <f>SUM(M6:M11)</f>
        <v>6.1634968434667599E-2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1.7761222272946519E-4</v>
      </c>
      <c r="C6" s="423"/>
      <c r="D6" s="865">
        <f>vkm_GW_PW*SUMIFS(TableVerdeelsleutelVkm[CNG],TableVerdeelsleutelVkm[Voertuigtype],"Lichte voertuigen")*SUMIFS(TableECFTransport[EnergieConsumptieFactor (PJ per km)],TableECFTransport[Index],CONCATENATE($A6,"_CNG_CNG"))</f>
        <v>4.4016645522894604E-4</v>
      </c>
      <c r="E6" s="865">
        <f>vkm_GW_PW*SUMIFS(TableVerdeelsleutelVkm[LPG],TableVerdeelsleutelVkm[Voertuigtype],"Lichte voertuigen")*SUMIFS(TableECFTransport[EnergieConsumptieFactor (PJ per km)],TableECFTransport[Index],CONCATENATE($A6,"_LPG_LPG"))</f>
        <v>7.5565588798291619E-4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0.23154393768112111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7.4786119503651674E-2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1.5729825365665025E-2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0.11653528173526191</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1.9494232885631618E-6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6.8086386310175981E-3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7.5202288576235407E-5</v>
      </c>
      <c r="C8" s="423"/>
      <c r="D8" s="425">
        <f>vkm_NGW_PW*SUMIFS(TableVerdeelsleutelVkm[CNG],TableVerdeelsleutelVkm[Voertuigtype],"Lichte voertuigen")*SUMIFS(TableECFTransport[EnergieConsumptieFactor (PJ per km)],TableECFTransport[Index],CONCATENATE($A8,"_CNG_CNG"))</f>
        <v>3.1500511519362659E-4</v>
      </c>
      <c r="E8" s="425">
        <f>vkm_NGW_PW*SUMIFS(TableVerdeelsleutelVkm[LPG],TableVerdeelsleutelVkm[Voertuigtype],"Lichte voertuigen")*SUMIFS(TableECFTransport[EnergieConsumptieFactor (PJ per km)],TableECFTransport[Index],CONCATENATE($A8,"_LPG_LPG"))</f>
        <v>5.1356037234356975E-4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0.14802028814338172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5.2343521399193405E-2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1.0189194911961512E-2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4.1615151880939484E-2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8.575610136063483E-7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2.4313931397828099E-3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1.7720720759150521E-4</v>
      </c>
      <c r="C10" s="423"/>
      <c r="D10" s="425">
        <f>vkm_SW_PW*SUMIFS(TableVerdeelsleutelVkm[CNG],TableVerdeelsleutelVkm[Voertuigtype],"Lichte voertuigen")*SUMIFS(TableECFTransport[EnergieConsumptieFactor (PJ per km)],TableECFTransport[Index],CONCATENATE($A10,"_CNG_CNG"))</f>
        <v>4.3893388812439338E-4</v>
      </c>
      <c r="E10" s="425">
        <f>vkm_SW_PW*SUMIFS(TableVerdeelsleutelVkm[LPG],TableVerdeelsleutelVkm[Voertuigtype],"Lichte voertuigen")*SUMIFS(TableECFTransport[EnergieConsumptieFactor (PJ per km)],TableECFTransport[Index],CONCATENATE($A10,"_LPG_LPG"))</f>
        <v>9.3952585288041113E-4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0.25755093895696868</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7.7844295178666881E-2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1.733932500472438E-2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0.1563799641504304</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2.7866626171936349E-6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9.1365913815162712E-3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119.45047747144606</v>
      </c>
      <c r="C14" s="21"/>
      <c r="D14" s="21">
        <f t="shared" ref="D14:M14" si="0">((D5)*10^9/3600)+D12</f>
        <v>331.6959607074906</v>
      </c>
      <c r="E14" s="21">
        <f t="shared" si="0"/>
        <v>613.53947589080474</v>
      </c>
      <c r="F14" s="21"/>
      <c r="G14" s="21">
        <f t="shared" si="0"/>
        <v>264345.98959669535</v>
      </c>
      <c r="H14" s="21">
        <f t="shared" si="0"/>
        <v>56938.758257897593</v>
      </c>
      <c r="I14" s="21"/>
      <c r="J14" s="21"/>
      <c r="K14" s="21"/>
      <c r="L14" s="21"/>
      <c r="M14" s="21">
        <f t="shared" si="0"/>
        <v>17120.824565185445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0.18832668865564606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22.495712880533286</v>
      </c>
      <c r="C18" s="23"/>
      <c r="D18" s="23">
        <f t="shared" ref="D18:M18" si="1">D14*D16</f>
        <v>67.002584062913101</v>
      </c>
      <c r="E18" s="23">
        <f t="shared" si="1"/>
        <v>139.27346102721268</v>
      </c>
      <c r="F18" s="23"/>
      <c r="G18" s="23">
        <f t="shared" si="1"/>
        <v>70580.379222317657</v>
      </c>
      <c r="H18" s="23">
        <f t="shared" si="1"/>
        <v>14177.7508062165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1.6556311993379917E-2</v>
      </c>
      <c r="H50" s="319">
        <f t="shared" si="2"/>
        <v>0</v>
      </c>
      <c r="I50" s="319">
        <f t="shared" si="2"/>
        <v>0</v>
      </c>
      <c r="J50" s="319">
        <f t="shared" si="2"/>
        <v>0</v>
      </c>
      <c r="K50" s="319">
        <f t="shared" si="2"/>
        <v>0</v>
      </c>
      <c r="L50" s="319">
        <f t="shared" si="2"/>
        <v>0</v>
      </c>
      <c r="M50" s="319">
        <f t="shared" si="2"/>
        <v>9.4025440074052265E-4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1.6556311993379917E-2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9.4025440074052265E-4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4598.9755537166438</v>
      </c>
      <c r="H54" s="21">
        <f t="shared" si="3"/>
        <v>0</v>
      </c>
      <c r="I54" s="21">
        <f t="shared" si="3"/>
        <v>0</v>
      </c>
      <c r="J54" s="21">
        <f t="shared" si="3"/>
        <v>0</v>
      </c>
      <c r="K54" s="21">
        <f t="shared" si="3"/>
        <v>0</v>
      </c>
      <c r="L54" s="21">
        <f t="shared" si="3"/>
        <v>0</v>
      </c>
      <c r="M54" s="21">
        <f t="shared" si="3"/>
        <v>261.18177798347853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0.18832668865564606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1227.9264728423441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98743.841107027853</v>
      </c>
      <c r="D10" s="979">
        <f ca="1">tertiair!C16</f>
        <v>0</v>
      </c>
      <c r="E10" s="979">
        <f ca="1">tertiair!D16</f>
        <v>85865.321664527539</v>
      </c>
      <c r="F10" s="979">
        <f>tertiair!E16</f>
        <v>1934.9530057546174</v>
      </c>
      <c r="G10" s="979">
        <f ca="1">tertiair!F16</f>
        <v>17286.755880729474</v>
      </c>
      <c r="H10" s="979">
        <f>tertiair!G16</f>
        <v>0</v>
      </c>
      <c r="I10" s="979">
        <f>tertiair!H16</f>
        <v>0</v>
      </c>
      <c r="J10" s="979">
        <f>tertiair!I16</f>
        <v>0</v>
      </c>
      <c r="K10" s="979">
        <f>tertiair!J16</f>
        <v>0.13222743387120811</v>
      </c>
      <c r="L10" s="979">
        <f>tertiair!K16</f>
        <v>0</v>
      </c>
      <c r="M10" s="979">
        <f ca="1">tertiair!L16</f>
        <v>0</v>
      </c>
      <c r="N10" s="979">
        <f>tertiair!M16</f>
        <v>0</v>
      </c>
      <c r="O10" s="979">
        <f ca="1">tertiair!N16</f>
        <v>5319.7588281559247</v>
      </c>
      <c r="P10" s="979">
        <f>tertiair!O16</f>
        <v>3.1266666666666669</v>
      </c>
      <c r="Q10" s="980">
        <f>tertiair!P16</f>
        <v>19.066666666666666</v>
      </c>
      <c r="R10" s="674">
        <f ca="1">SUM(C10:Q10)</f>
        <v>209172.95604696264</v>
      </c>
      <c r="S10" s="67"/>
    </row>
    <row r="11" spans="1:19" s="447" customFormat="1">
      <c r="A11" s="783" t="s">
        <v>224</v>
      </c>
      <c r="B11" s="788"/>
      <c r="C11" s="979">
        <f>huishoudens!B8</f>
        <v>51052.764269022715</v>
      </c>
      <c r="D11" s="979">
        <f>huishoudens!C8</f>
        <v>0</v>
      </c>
      <c r="E11" s="979">
        <f>huishoudens!D8</f>
        <v>119408.91178233238</v>
      </c>
      <c r="F11" s="979">
        <f>huishoudens!E8</f>
        <v>14944.156501145357</v>
      </c>
      <c r="G11" s="979">
        <f>huishoudens!F8</f>
        <v>45928.516531895119</v>
      </c>
      <c r="H11" s="979">
        <f>huishoudens!G8</f>
        <v>0</v>
      </c>
      <c r="I11" s="979">
        <f>huishoudens!H8</f>
        <v>0</v>
      </c>
      <c r="J11" s="979">
        <f>huishoudens!I8</f>
        <v>0</v>
      </c>
      <c r="K11" s="979">
        <f>huishoudens!J8</f>
        <v>0</v>
      </c>
      <c r="L11" s="979">
        <f>huishoudens!K8</f>
        <v>0</v>
      </c>
      <c r="M11" s="979">
        <f>huishoudens!L8</f>
        <v>0</v>
      </c>
      <c r="N11" s="979">
        <f>huishoudens!M8</f>
        <v>0</v>
      </c>
      <c r="O11" s="979">
        <f>huishoudens!N8</f>
        <v>15603.918146887478</v>
      </c>
      <c r="P11" s="979">
        <f>huishoudens!O8</f>
        <v>206.35999999999999</v>
      </c>
      <c r="Q11" s="980">
        <f>huishoudens!P8</f>
        <v>1639.7333333333333</v>
      </c>
      <c r="R11" s="674">
        <f>SUM(C11:Q11)</f>
        <v>248784.36056461636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12243.682031476015</v>
      </c>
      <c r="D13" s="979">
        <f>industrie!C18</f>
        <v>0</v>
      </c>
      <c r="E13" s="979">
        <f>industrie!D18</f>
        <v>12990.379786133413</v>
      </c>
      <c r="F13" s="979">
        <f>industrie!E18</f>
        <v>783.30147843488066</v>
      </c>
      <c r="G13" s="979">
        <f>industrie!F18</f>
        <v>2646.109048997389</v>
      </c>
      <c r="H13" s="979">
        <f>industrie!G18</f>
        <v>0</v>
      </c>
      <c r="I13" s="979">
        <f>industrie!H18</f>
        <v>0</v>
      </c>
      <c r="J13" s="979">
        <f>industrie!I18</f>
        <v>0</v>
      </c>
      <c r="K13" s="979">
        <f>industrie!J18</f>
        <v>16.197756472283043</v>
      </c>
      <c r="L13" s="979">
        <f>industrie!K18</f>
        <v>0</v>
      </c>
      <c r="M13" s="979">
        <f>industrie!L18</f>
        <v>0</v>
      </c>
      <c r="N13" s="979">
        <f>industrie!M18</f>
        <v>0</v>
      </c>
      <c r="O13" s="979">
        <f>industrie!N18</f>
        <v>1452.9468324015002</v>
      </c>
      <c r="P13" s="979">
        <f>industrie!O18</f>
        <v>0</v>
      </c>
      <c r="Q13" s="980">
        <f>industrie!P18</f>
        <v>0</v>
      </c>
      <c r="R13" s="674">
        <f>SUM(C13:Q13)</f>
        <v>30132.616933915484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162040.2874075266</v>
      </c>
      <c r="D16" s="706">
        <f t="shared" ref="D16:R16" ca="1" si="0">SUM(D9:D15)</f>
        <v>0</v>
      </c>
      <c r="E16" s="706">
        <f t="shared" ca="1" si="0"/>
        <v>218264.61323299335</v>
      </c>
      <c r="F16" s="706">
        <f t="shared" si="0"/>
        <v>17662.410985334856</v>
      </c>
      <c r="G16" s="706">
        <f t="shared" ca="1" si="0"/>
        <v>65861.381461621975</v>
      </c>
      <c r="H16" s="706">
        <f t="shared" si="0"/>
        <v>0</v>
      </c>
      <c r="I16" s="706">
        <f t="shared" si="0"/>
        <v>0</v>
      </c>
      <c r="J16" s="706">
        <f t="shared" si="0"/>
        <v>0</v>
      </c>
      <c r="K16" s="706">
        <f t="shared" si="0"/>
        <v>16.329983906154251</v>
      </c>
      <c r="L16" s="706">
        <f t="shared" si="0"/>
        <v>0</v>
      </c>
      <c r="M16" s="706">
        <f t="shared" ca="1" si="0"/>
        <v>0</v>
      </c>
      <c r="N16" s="706">
        <f t="shared" si="0"/>
        <v>0</v>
      </c>
      <c r="O16" s="706">
        <f t="shared" ca="1" si="0"/>
        <v>22376.623807444903</v>
      </c>
      <c r="P16" s="706">
        <f t="shared" si="0"/>
        <v>209.48666666666665</v>
      </c>
      <c r="Q16" s="706">
        <f t="shared" si="0"/>
        <v>1658.8</v>
      </c>
      <c r="R16" s="706">
        <f t="shared" ca="1" si="0"/>
        <v>488089.93354549451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4598.9755537166438</v>
      </c>
      <c r="I19" s="979">
        <f>transport!H54</f>
        <v>0</v>
      </c>
      <c r="J19" s="979">
        <f>transport!I54</f>
        <v>0</v>
      </c>
      <c r="K19" s="979">
        <f>transport!J54</f>
        <v>0</v>
      </c>
      <c r="L19" s="979">
        <f>transport!K54</f>
        <v>0</v>
      </c>
      <c r="M19" s="979">
        <f>transport!L54</f>
        <v>0</v>
      </c>
      <c r="N19" s="979">
        <f>transport!M54</f>
        <v>261.18177798347853</v>
      </c>
      <c r="O19" s="979">
        <f>transport!N54</f>
        <v>0</v>
      </c>
      <c r="P19" s="979">
        <f>transport!O54</f>
        <v>0</v>
      </c>
      <c r="Q19" s="980">
        <f>transport!P54</f>
        <v>0</v>
      </c>
      <c r="R19" s="674">
        <f>SUM(C19:Q19)</f>
        <v>4860.1573317001221</v>
      </c>
      <c r="S19" s="67"/>
    </row>
    <row r="20" spans="1:19" s="447" customFormat="1">
      <c r="A20" s="783" t="s">
        <v>306</v>
      </c>
      <c r="B20" s="788"/>
      <c r="C20" s="979">
        <f>transport!B14</f>
        <v>119.45047747144606</v>
      </c>
      <c r="D20" s="979">
        <f>transport!C14</f>
        <v>0</v>
      </c>
      <c r="E20" s="979">
        <f>transport!D14</f>
        <v>331.6959607074906</v>
      </c>
      <c r="F20" s="979">
        <f>transport!E14</f>
        <v>613.53947589080474</v>
      </c>
      <c r="G20" s="979">
        <f>transport!F14</f>
        <v>0</v>
      </c>
      <c r="H20" s="979">
        <f>transport!G14</f>
        <v>264345.98959669535</v>
      </c>
      <c r="I20" s="979">
        <f>transport!H14</f>
        <v>56938.758257897593</v>
      </c>
      <c r="J20" s="979">
        <f>transport!I14</f>
        <v>0</v>
      </c>
      <c r="K20" s="979">
        <f>transport!J14</f>
        <v>0</v>
      </c>
      <c r="L20" s="979">
        <f>transport!K14</f>
        <v>0</v>
      </c>
      <c r="M20" s="979">
        <f>transport!L14</f>
        <v>0</v>
      </c>
      <c r="N20" s="979">
        <f>transport!M14</f>
        <v>17120.824565185445</v>
      </c>
      <c r="O20" s="979">
        <f>transport!N14</f>
        <v>0</v>
      </c>
      <c r="P20" s="979">
        <f>transport!O14</f>
        <v>0</v>
      </c>
      <c r="Q20" s="980">
        <f>transport!P14</f>
        <v>0</v>
      </c>
      <c r="R20" s="674">
        <f>SUM(C20:Q20)</f>
        <v>339470.25833384815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119.45047747144606</v>
      </c>
      <c r="D22" s="786">
        <f t="shared" ref="D22:R22" si="1">SUM(D18:D21)</f>
        <v>0</v>
      </c>
      <c r="E22" s="786">
        <f t="shared" si="1"/>
        <v>331.6959607074906</v>
      </c>
      <c r="F22" s="786">
        <f t="shared" si="1"/>
        <v>613.53947589080474</v>
      </c>
      <c r="G22" s="786">
        <f t="shared" si="1"/>
        <v>0</v>
      </c>
      <c r="H22" s="786">
        <f t="shared" si="1"/>
        <v>268944.965150412</v>
      </c>
      <c r="I22" s="786">
        <f t="shared" si="1"/>
        <v>56938.758257897593</v>
      </c>
      <c r="J22" s="786">
        <f t="shared" si="1"/>
        <v>0</v>
      </c>
      <c r="K22" s="786">
        <f t="shared" si="1"/>
        <v>0</v>
      </c>
      <c r="L22" s="786">
        <f t="shared" si="1"/>
        <v>0</v>
      </c>
      <c r="M22" s="786">
        <f t="shared" si="1"/>
        <v>0</v>
      </c>
      <c r="N22" s="786">
        <f t="shared" si="1"/>
        <v>17382.006343168923</v>
      </c>
      <c r="O22" s="786">
        <f t="shared" si="1"/>
        <v>0</v>
      </c>
      <c r="P22" s="786">
        <f t="shared" si="1"/>
        <v>0</v>
      </c>
      <c r="Q22" s="786">
        <f t="shared" si="1"/>
        <v>0</v>
      </c>
      <c r="R22" s="786">
        <f t="shared" si="1"/>
        <v>344330.41566554829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2589.6942118129523</v>
      </c>
      <c r="D24" s="979">
        <f>+landbouw!C8</f>
        <v>0</v>
      </c>
      <c r="E24" s="979">
        <f>+landbouw!D8</f>
        <v>780.82331629768157</v>
      </c>
      <c r="F24" s="979">
        <f>+landbouw!E8</f>
        <v>76.119022724271019</v>
      </c>
      <c r="G24" s="979">
        <f>+landbouw!F8</f>
        <v>10788.526146682663</v>
      </c>
      <c r="H24" s="979">
        <f>+landbouw!G8</f>
        <v>0</v>
      </c>
      <c r="I24" s="979">
        <f>+landbouw!H8</f>
        <v>0</v>
      </c>
      <c r="J24" s="979">
        <f>+landbouw!I8</f>
        <v>0</v>
      </c>
      <c r="K24" s="979">
        <f>+landbouw!J8</f>
        <v>375.19107697188724</v>
      </c>
      <c r="L24" s="979">
        <f>+landbouw!K8</f>
        <v>0</v>
      </c>
      <c r="M24" s="979">
        <f>+landbouw!L8</f>
        <v>0</v>
      </c>
      <c r="N24" s="979">
        <f>+landbouw!M8</f>
        <v>0</v>
      </c>
      <c r="O24" s="979">
        <f>+landbouw!N8</f>
        <v>0</v>
      </c>
      <c r="P24" s="979">
        <f>+landbouw!O8</f>
        <v>0</v>
      </c>
      <c r="Q24" s="980">
        <f>+landbouw!P8</f>
        <v>0</v>
      </c>
      <c r="R24" s="674">
        <f>SUM(C24:Q24)</f>
        <v>14610.353774489455</v>
      </c>
      <c r="S24" s="67"/>
    </row>
    <row r="25" spans="1:19" s="447" customFormat="1" ht="15" thickBot="1">
      <c r="A25" s="805" t="s">
        <v>823</v>
      </c>
      <c r="B25" s="982"/>
      <c r="C25" s="983">
        <f>IF(Onbekend_ele_kWh="---",0,Onbekend_ele_kWh)/1000+IF(REST_rest_ele_kWh="---",0,REST_rest_ele_kWh)/1000</f>
        <v>2223.11229033991</v>
      </c>
      <c r="D25" s="983"/>
      <c r="E25" s="983">
        <f>IF(onbekend_gas_kWh="---",0,onbekend_gas_kWh)/1000+IF(REST_rest_gas_kWh="---",0,REST_rest_gas_kWh)/1000</f>
        <v>4397.5534164460896</v>
      </c>
      <c r="F25" s="983"/>
      <c r="G25" s="983"/>
      <c r="H25" s="983"/>
      <c r="I25" s="983"/>
      <c r="J25" s="983"/>
      <c r="K25" s="983"/>
      <c r="L25" s="983"/>
      <c r="M25" s="983"/>
      <c r="N25" s="983"/>
      <c r="O25" s="983"/>
      <c r="P25" s="983"/>
      <c r="Q25" s="984"/>
      <c r="R25" s="674">
        <f>SUM(C25:Q25)</f>
        <v>6620.6657067859996</v>
      </c>
      <c r="S25" s="67"/>
    </row>
    <row r="26" spans="1:19" s="447" customFormat="1" ht="15.75" thickBot="1">
      <c r="A26" s="679" t="s">
        <v>824</v>
      </c>
      <c r="B26" s="791"/>
      <c r="C26" s="786">
        <f>SUM(C24:C25)</f>
        <v>4812.8065021528619</v>
      </c>
      <c r="D26" s="786">
        <f t="shared" ref="D26:R26" si="2">SUM(D24:D25)</f>
        <v>0</v>
      </c>
      <c r="E26" s="786">
        <f t="shared" si="2"/>
        <v>5178.3767327437708</v>
      </c>
      <c r="F26" s="786">
        <f t="shared" si="2"/>
        <v>76.119022724271019</v>
      </c>
      <c r="G26" s="786">
        <f t="shared" si="2"/>
        <v>10788.526146682663</v>
      </c>
      <c r="H26" s="786">
        <f t="shared" si="2"/>
        <v>0</v>
      </c>
      <c r="I26" s="786">
        <f t="shared" si="2"/>
        <v>0</v>
      </c>
      <c r="J26" s="786">
        <f t="shared" si="2"/>
        <v>0</v>
      </c>
      <c r="K26" s="786">
        <f t="shared" si="2"/>
        <v>375.19107697188724</v>
      </c>
      <c r="L26" s="786">
        <f t="shared" si="2"/>
        <v>0</v>
      </c>
      <c r="M26" s="786">
        <f t="shared" si="2"/>
        <v>0</v>
      </c>
      <c r="N26" s="786">
        <f t="shared" si="2"/>
        <v>0</v>
      </c>
      <c r="O26" s="786">
        <f t="shared" si="2"/>
        <v>0</v>
      </c>
      <c r="P26" s="786">
        <f t="shared" si="2"/>
        <v>0</v>
      </c>
      <c r="Q26" s="786">
        <f t="shared" si="2"/>
        <v>0</v>
      </c>
      <c r="R26" s="786">
        <f t="shared" si="2"/>
        <v>21231.019481275456</v>
      </c>
      <c r="S26" s="67"/>
    </row>
    <row r="27" spans="1:19" s="447" customFormat="1" ht="17.25" thickTop="1" thickBot="1">
      <c r="A27" s="680" t="s">
        <v>115</v>
      </c>
      <c r="B27" s="779"/>
      <c r="C27" s="681">
        <f ca="1">C22+C16+C26</f>
        <v>166972.54438715093</v>
      </c>
      <c r="D27" s="681">
        <f t="shared" ref="D27:R27" ca="1" si="3">D22+D16+D26</f>
        <v>0</v>
      </c>
      <c r="E27" s="681">
        <f t="shared" ca="1" si="3"/>
        <v>223774.68592644462</v>
      </c>
      <c r="F27" s="681">
        <f t="shared" si="3"/>
        <v>18352.06948394993</v>
      </c>
      <c r="G27" s="681">
        <f t="shared" ca="1" si="3"/>
        <v>76649.907608304638</v>
      </c>
      <c r="H27" s="681">
        <f t="shared" si="3"/>
        <v>268944.965150412</v>
      </c>
      <c r="I27" s="681">
        <f t="shared" si="3"/>
        <v>56938.758257897593</v>
      </c>
      <c r="J27" s="681">
        <f t="shared" si="3"/>
        <v>0</v>
      </c>
      <c r="K27" s="681">
        <f t="shared" si="3"/>
        <v>391.52106087804151</v>
      </c>
      <c r="L27" s="681">
        <f t="shared" si="3"/>
        <v>0</v>
      </c>
      <c r="M27" s="681">
        <f t="shared" ca="1" si="3"/>
        <v>0</v>
      </c>
      <c r="N27" s="681">
        <f t="shared" si="3"/>
        <v>17382.006343168923</v>
      </c>
      <c r="O27" s="681">
        <f t="shared" ca="1" si="3"/>
        <v>22376.623807444903</v>
      </c>
      <c r="P27" s="681">
        <f t="shared" si="3"/>
        <v>209.48666666666665</v>
      </c>
      <c r="Q27" s="681">
        <f t="shared" si="3"/>
        <v>1658.8</v>
      </c>
      <c r="R27" s="681">
        <f t="shared" ca="1" si="3"/>
        <v>853651.36869231821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18596.100620825819</v>
      </c>
      <c r="D40" s="979">
        <f ca="1">tertiair!C20</f>
        <v>0</v>
      </c>
      <c r="E40" s="979">
        <f ca="1">tertiair!D20</f>
        <v>17344.794976234563</v>
      </c>
      <c r="F40" s="979">
        <f>tertiair!E20</f>
        <v>439.23433230629814</v>
      </c>
      <c r="G40" s="979">
        <f ca="1">tertiair!F20</f>
        <v>4615.5638201547699</v>
      </c>
      <c r="H40" s="979">
        <f>tertiair!G20</f>
        <v>0</v>
      </c>
      <c r="I40" s="979">
        <f>tertiair!H20</f>
        <v>0</v>
      </c>
      <c r="J40" s="979">
        <f>tertiair!I20</f>
        <v>0</v>
      </c>
      <c r="K40" s="979">
        <f>tertiair!J20</f>
        <v>4.6808511590407671E-2</v>
      </c>
      <c r="L40" s="979">
        <f>tertiair!K20</f>
        <v>0</v>
      </c>
      <c r="M40" s="979">
        <f ca="1">tertiair!L20</f>
        <v>0</v>
      </c>
      <c r="N40" s="979">
        <f>tertiair!M20</f>
        <v>0</v>
      </c>
      <c r="O40" s="979">
        <f ca="1">tertiair!N20</f>
        <v>0</v>
      </c>
      <c r="P40" s="979">
        <f>tertiair!O20</f>
        <v>0</v>
      </c>
      <c r="Q40" s="748">
        <f>tertiair!P20</f>
        <v>0</v>
      </c>
      <c r="R40" s="824">
        <f t="shared" ca="1" si="4"/>
        <v>40995.740558033045</v>
      </c>
    </row>
    <row r="41" spans="1:18">
      <c r="A41" s="796" t="s">
        <v>224</v>
      </c>
      <c r="B41" s="803"/>
      <c r="C41" s="979">
        <f ca="1">huishoudens!B12</f>
        <v>9614.5980415023332</v>
      </c>
      <c r="D41" s="979">
        <f ca="1">huishoudens!C12</f>
        <v>0</v>
      </c>
      <c r="E41" s="979">
        <f>huishoudens!D12</f>
        <v>24120.600180031142</v>
      </c>
      <c r="F41" s="979">
        <f>huishoudens!E12</f>
        <v>3392.3235257599963</v>
      </c>
      <c r="G41" s="979">
        <f>huishoudens!F12</f>
        <v>12262.913914015997</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49390.435661309464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2305.8120939405117</v>
      </c>
      <c r="D43" s="979">
        <f ca="1">industrie!C22</f>
        <v>0</v>
      </c>
      <c r="E43" s="979">
        <f>industrie!D22</f>
        <v>2624.0567167989498</v>
      </c>
      <c r="F43" s="979">
        <f>industrie!E22</f>
        <v>177.80943560471792</v>
      </c>
      <c r="G43" s="979">
        <f>industrie!F22</f>
        <v>706.51111608230292</v>
      </c>
      <c r="H43" s="979">
        <f>industrie!G22</f>
        <v>0</v>
      </c>
      <c r="I43" s="979">
        <f>industrie!H22</f>
        <v>0</v>
      </c>
      <c r="J43" s="979">
        <f>industrie!I22</f>
        <v>0</v>
      </c>
      <c r="K43" s="979">
        <f>industrie!J22</f>
        <v>5.7340057911881965</v>
      </c>
      <c r="L43" s="979">
        <f>industrie!K22</f>
        <v>0</v>
      </c>
      <c r="M43" s="979">
        <f>industrie!L22</f>
        <v>0</v>
      </c>
      <c r="N43" s="979">
        <f>industrie!M22</f>
        <v>0</v>
      </c>
      <c r="O43" s="979">
        <f>industrie!N22</f>
        <v>0</v>
      </c>
      <c r="P43" s="979">
        <f>industrie!O22</f>
        <v>0</v>
      </c>
      <c r="Q43" s="748">
        <f>industrie!P22</f>
        <v>0</v>
      </c>
      <c r="R43" s="823">
        <f t="shared" ca="1" si="4"/>
        <v>5819.9233682176691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30516.510756268664</v>
      </c>
      <c r="D46" s="706">
        <f t="shared" ref="D46:Q46" ca="1" si="5">SUM(D39:D45)</f>
        <v>0</v>
      </c>
      <c r="E46" s="706">
        <f t="shared" ca="1" si="5"/>
        <v>44089.451873064652</v>
      </c>
      <c r="F46" s="706">
        <f t="shared" si="5"/>
        <v>4009.3672936710127</v>
      </c>
      <c r="G46" s="706">
        <f t="shared" ca="1" si="5"/>
        <v>17584.98885025307</v>
      </c>
      <c r="H46" s="706">
        <f t="shared" si="5"/>
        <v>0</v>
      </c>
      <c r="I46" s="706">
        <f t="shared" si="5"/>
        <v>0</v>
      </c>
      <c r="J46" s="706">
        <f t="shared" si="5"/>
        <v>0</v>
      </c>
      <c r="K46" s="706">
        <f t="shared" si="5"/>
        <v>5.7808143027786043</v>
      </c>
      <c r="L46" s="706">
        <f t="shared" si="5"/>
        <v>0</v>
      </c>
      <c r="M46" s="706">
        <f t="shared" ca="1" si="5"/>
        <v>0</v>
      </c>
      <c r="N46" s="706">
        <f t="shared" si="5"/>
        <v>0</v>
      </c>
      <c r="O46" s="706">
        <f t="shared" ca="1" si="5"/>
        <v>0</v>
      </c>
      <c r="P46" s="706">
        <f t="shared" si="5"/>
        <v>0</v>
      </c>
      <c r="Q46" s="706">
        <f t="shared" si="5"/>
        <v>0</v>
      </c>
      <c r="R46" s="706">
        <f ca="1">SUM(R39:R45)</f>
        <v>96206.09958756018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1227.9264728423441</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1227.9264728423441</v>
      </c>
    </row>
    <row r="50" spans="1:18">
      <c r="A50" s="799" t="s">
        <v>306</v>
      </c>
      <c r="B50" s="809"/>
      <c r="C50" s="677">
        <f ca="1">transport!B18</f>
        <v>22.495712880533286</v>
      </c>
      <c r="D50" s="677">
        <f>transport!C18</f>
        <v>0</v>
      </c>
      <c r="E50" s="677">
        <f>transport!D18</f>
        <v>67.002584062913101</v>
      </c>
      <c r="F50" s="677">
        <f>transport!E18</f>
        <v>139.27346102721268</v>
      </c>
      <c r="G50" s="677">
        <f>transport!F18</f>
        <v>0</v>
      </c>
      <c r="H50" s="677">
        <f>transport!G18</f>
        <v>70580.379222317657</v>
      </c>
      <c r="I50" s="677">
        <f>transport!H18</f>
        <v>14177.7508062165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84986.901786504823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22.495712880533286</v>
      </c>
      <c r="D52" s="706">
        <f t="shared" ref="D52:Q52" ca="1" si="6">SUM(D48:D51)</f>
        <v>0</v>
      </c>
      <c r="E52" s="706">
        <f t="shared" si="6"/>
        <v>67.002584062913101</v>
      </c>
      <c r="F52" s="706">
        <f t="shared" si="6"/>
        <v>139.27346102721268</v>
      </c>
      <c r="G52" s="706">
        <f t="shared" si="6"/>
        <v>0</v>
      </c>
      <c r="H52" s="706">
        <f t="shared" si="6"/>
        <v>71808.305695160001</v>
      </c>
      <c r="I52" s="706">
        <f t="shared" si="6"/>
        <v>14177.7508062165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86214.828259347167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487.70853554142656</v>
      </c>
      <c r="D54" s="677">
        <f ca="1">+landbouw!C12</f>
        <v>0</v>
      </c>
      <c r="E54" s="677">
        <f>+landbouw!D12</f>
        <v>157.7263098921317</v>
      </c>
      <c r="F54" s="677">
        <f>+landbouw!E12</f>
        <v>17.279018158409521</v>
      </c>
      <c r="G54" s="677">
        <f>+landbouw!F12</f>
        <v>2880.5364811642712</v>
      </c>
      <c r="H54" s="677">
        <f>+landbouw!G12</f>
        <v>0</v>
      </c>
      <c r="I54" s="677">
        <f>+landbouw!H12</f>
        <v>0</v>
      </c>
      <c r="J54" s="677">
        <f>+landbouw!I12</f>
        <v>0</v>
      </c>
      <c r="K54" s="677">
        <f>+landbouw!J12</f>
        <v>132.81764124804809</v>
      </c>
      <c r="L54" s="677">
        <f>+landbouw!K12</f>
        <v>0</v>
      </c>
      <c r="M54" s="677">
        <f>+landbouw!L12</f>
        <v>0</v>
      </c>
      <c r="N54" s="677">
        <f>+landbouw!M12</f>
        <v>0</v>
      </c>
      <c r="O54" s="677">
        <f>+landbouw!N12</f>
        <v>0</v>
      </c>
      <c r="P54" s="677">
        <f>+landbouw!O12</f>
        <v>0</v>
      </c>
      <c r="Q54" s="678">
        <f>+landbouw!P12</f>
        <v>0</v>
      </c>
      <c r="R54" s="705">
        <f ca="1">SUM(C54:Q54)</f>
        <v>3676.0679860042869</v>
      </c>
    </row>
    <row r="55" spans="1:18" ht="15" thickBot="1">
      <c r="A55" s="799" t="s">
        <v>823</v>
      </c>
      <c r="B55" s="809"/>
      <c r="C55" s="677">
        <f ca="1">C25*'EF ele_warmte'!B12</f>
        <v>418.67137614938446</v>
      </c>
      <c r="D55" s="677"/>
      <c r="E55" s="677">
        <f>E25*EF_CO2_aardgas</f>
        <v>888.30579012211012</v>
      </c>
      <c r="F55" s="677"/>
      <c r="G55" s="677"/>
      <c r="H55" s="677"/>
      <c r="I55" s="677"/>
      <c r="J55" s="677"/>
      <c r="K55" s="677"/>
      <c r="L55" s="677"/>
      <c r="M55" s="677"/>
      <c r="N55" s="677"/>
      <c r="O55" s="677"/>
      <c r="P55" s="677"/>
      <c r="Q55" s="678"/>
      <c r="R55" s="705">
        <f ca="1">SUM(C55:Q55)</f>
        <v>1306.9771662714945</v>
      </c>
    </row>
    <row r="56" spans="1:18" ht="15.75" thickBot="1">
      <c r="A56" s="797" t="s">
        <v>824</v>
      </c>
      <c r="B56" s="810"/>
      <c r="C56" s="706">
        <f ca="1">SUM(C54:C55)</f>
        <v>906.37991169081101</v>
      </c>
      <c r="D56" s="706">
        <f t="shared" ref="D56:Q56" ca="1" si="7">SUM(D54:D55)</f>
        <v>0</v>
      </c>
      <c r="E56" s="706">
        <f t="shared" si="7"/>
        <v>1046.0321000142419</v>
      </c>
      <c r="F56" s="706">
        <f t="shared" si="7"/>
        <v>17.279018158409521</v>
      </c>
      <c r="G56" s="706">
        <f t="shared" si="7"/>
        <v>2880.5364811642712</v>
      </c>
      <c r="H56" s="706">
        <f t="shared" si="7"/>
        <v>0</v>
      </c>
      <c r="I56" s="706">
        <f t="shared" si="7"/>
        <v>0</v>
      </c>
      <c r="J56" s="706">
        <f t="shared" si="7"/>
        <v>0</v>
      </c>
      <c r="K56" s="706">
        <f t="shared" si="7"/>
        <v>132.81764124804809</v>
      </c>
      <c r="L56" s="706">
        <f t="shared" si="7"/>
        <v>0</v>
      </c>
      <c r="M56" s="706">
        <f t="shared" si="7"/>
        <v>0</v>
      </c>
      <c r="N56" s="706">
        <f t="shared" si="7"/>
        <v>0</v>
      </c>
      <c r="O56" s="706">
        <f t="shared" si="7"/>
        <v>0</v>
      </c>
      <c r="P56" s="706">
        <f t="shared" si="7"/>
        <v>0</v>
      </c>
      <c r="Q56" s="707">
        <f t="shared" si="7"/>
        <v>0</v>
      </c>
      <c r="R56" s="708">
        <f ca="1">SUM(R54:R55)</f>
        <v>4983.0451522757812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31445.386380840009</v>
      </c>
      <c r="D61" s="714">
        <f t="shared" ref="D61:Q61" ca="1" si="8">D46+D52+D56</f>
        <v>0</v>
      </c>
      <c r="E61" s="714">
        <f t="shared" ca="1" si="8"/>
        <v>45202.486557141805</v>
      </c>
      <c r="F61" s="714">
        <f t="shared" si="8"/>
        <v>4165.9197728566351</v>
      </c>
      <c r="G61" s="714">
        <f t="shared" ca="1" si="8"/>
        <v>20465.525331417342</v>
      </c>
      <c r="H61" s="714">
        <f t="shared" si="8"/>
        <v>71808.305695160001</v>
      </c>
      <c r="I61" s="714">
        <f t="shared" si="8"/>
        <v>14177.7508062165</v>
      </c>
      <c r="J61" s="714">
        <f t="shared" si="8"/>
        <v>0</v>
      </c>
      <c r="K61" s="714">
        <f t="shared" si="8"/>
        <v>138.59845555082669</v>
      </c>
      <c r="L61" s="714">
        <f t="shared" si="8"/>
        <v>0</v>
      </c>
      <c r="M61" s="714">
        <f t="shared" ca="1" si="8"/>
        <v>0</v>
      </c>
      <c r="N61" s="714">
        <f t="shared" si="8"/>
        <v>0</v>
      </c>
      <c r="O61" s="714">
        <f t="shared" ca="1" si="8"/>
        <v>0</v>
      </c>
      <c r="P61" s="714">
        <f t="shared" si="8"/>
        <v>0</v>
      </c>
      <c r="Q61" s="714">
        <f t="shared" si="8"/>
        <v>0</v>
      </c>
      <c r="R61" s="714">
        <f ca="1">R46+R52+R56</f>
        <v>187403.97299918314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0.18832668865564603</v>
      </c>
      <c r="D63" s="755">
        <f t="shared" ca="1" si="9"/>
        <v>0</v>
      </c>
      <c r="E63" s="990">
        <f t="shared" ca="1" si="9"/>
        <v>0.20199999999999996</v>
      </c>
      <c r="F63" s="755">
        <f t="shared" si="9"/>
        <v>0.22700000000000006</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13779.58500203706</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10906.143182217857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24685.728184254916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13779.58500203706</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10906.143182217857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24685.728184254916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51052.764269022715</v>
      </c>
      <c r="C4" s="451">
        <f>huishoudens!C8</f>
        <v>0</v>
      </c>
      <c r="D4" s="451">
        <f>huishoudens!D8</f>
        <v>119408.91178233238</v>
      </c>
      <c r="E4" s="451">
        <f>huishoudens!E8</f>
        <v>14944.156501145357</v>
      </c>
      <c r="F4" s="451">
        <f>huishoudens!F8</f>
        <v>45928.516531895119</v>
      </c>
      <c r="G4" s="451">
        <f>huishoudens!G8</f>
        <v>0</v>
      </c>
      <c r="H4" s="451">
        <f>huishoudens!H8</f>
        <v>0</v>
      </c>
      <c r="I4" s="451">
        <f>huishoudens!I8</f>
        <v>0</v>
      </c>
      <c r="J4" s="451">
        <f>huishoudens!J8</f>
        <v>0</v>
      </c>
      <c r="K4" s="451">
        <f>huishoudens!K8</f>
        <v>0</v>
      </c>
      <c r="L4" s="451">
        <f>huishoudens!L8</f>
        <v>0</v>
      </c>
      <c r="M4" s="451">
        <f>huishoudens!M8</f>
        <v>0</v>
      </c>
      <c r="N4" s="451">
        <f>huishoudens!N8</f>
        <v>15603.918146887478</v>
      </c>
      <c r="O4" s="451">
        <f>huishoudens!O8</f>
        <v>206.35999999999999</v>
      </c>
      <c r="P4" s="452">
        <f>huishoudens!P8</f>
        <v>1639.7333333333333</v>
      </c>
      <c r="Q4" s="453">
        <f>SUM(B4:P4)</f>
        <v>248784.36056461636</v>
      </c>
    </row>
    <row r="5" spans="1:17">
      <c r="A5" s="450" t="s">
        <v>155</v>
      </c>
      <c r="B5" s="451">
        <f ca="1">tertiair!B16</f>
        <v>96698.699107027845</v>
      </c>
      <c r="C5" s="451">
        <f ca="1">tertiair!C16</f>
        <v>0</v>
      </c>
      <c r="D5" s="451">
        <f ca="1">tertiair!D16</f>
        <v>85865.321664527539</v>
      </c>
      <c r="E5" s="451">
        <f>tertiair!E16</f>
        <v>1934.9530057546174</v>
      </c>
      <c r="F5" s="451">
        <f ca="1">tertiair!F16</f>
        <v>17286.755880729474</v>
      </c>
      <c r="G5" s="451">
        <f>tertiair!G16</f>
        <v>0</v>
      </c>
      <c r="H5" s="451">
        <f>tertiair!H16</f>
        <v>0</v>
      </c>
      <c r="I5" s="451">
        <f>tertiair!I16</f>
        <v>0</v>
      </c>
      <c r="J5" s="451">
        <f>tertiair!J16</f>
        <v>0.13222743387120811</v>
      </c>
      <c r="K5" s="451">
        <f>tertiair!K16</f>
        <v>0</v>
      </c>
      <c r="L5" s="451">
        <f ca="1">tertiair!L16</f>
        <v>0</v>
      </c>
      <c r="M5" s="451">
        <f>tertiair!M16</f>
        <v>0</v>
      </c>
      <c r="N5" s="451">
        <f ca="1">tertiair!N16</f>
        <v>5319.7588281559247</v>
      </c>
      <c r="O5" s="451">
        <f>tertiair!O16</f>
        <v>3.1266666666666669</v>
      </c>
      <c r="P5" s="452">
        <f>tertiair!P16</f>
        <v>19.066666666666666</v>
      </c>
      <c r="Q5" s="450">
        <f t="shared" ref="Q5:Q14" ca="1" si="0">SUM(B5:P5)</f>
        <v>207127.81404696262</v>
      </c>
    </row>
    <row r="6" spans="1:17">
      <c r="A6" s="450" t="s">
        <v>193</v>
      </c>
      <c r="B6" s="451">
        <f>'openbare verlichting'!B8</f>
        <v>2045.1420000000001</v>
      </c>
      <c r="C6" s="451"/>
      <c r="D6" s="451"/>
      <c r="E6" s="451"/>
      <c r="F6" s="451"/>
      <c r="G6" s="451"/>
      <c r="H6" s="451"/>
      <c r="I6" s="451"/>
      <c r="J6" s="451"/>
      <c r="K6" s="451"/>
      <c r="L6" s="451"/>
      <c r="M6" s="451"/>
      <c r="N6" s="451"/>
      <c r="O6" s="451"/>
      <c r="P6" s="452"/>
      <c r="Q6" s="450">
        <f t="shared" si="0"/>
        <v>2045.1420000000001</v>
      </c>
    </row>
    <row r="7" spans="1:17">
      <c r="A7" s="450" t="s">
        <v>111</v>
      </c>
      <c r="B7" s="451">
        <f>landbouw!B8</f>
        <v>2589.6942118129523</v>
      </c>
      <c r="C7" s="451">
        <f>landbouw!C8</f>
        <v>0</v>
      </c>
      <c r="D7" s="451">
        <f>landbouw!D8</f>
        <v>780.82331629768157</v>
      </c>
      <c r="E7" s="451">
        <f>landbouw!E8</f>
        <v>76.119022724271019</v>
      </c>
      <c r="F7" s="451">
        <f>landbouw!F8</f>
        <v>10788.526146682663</v>
      </c>
      <c r="G7" s="451">
        <f>landbouw!G8</f>
        <v>0</v>
      </c>
      <c r="H7" s="451">
        <f>landbouw!H8</f>
        <v>0</v>
      </c>
      <c r="I7" s="451">
        <f>landbouw!I8</f>
        <v>0</v>
      </c>
      <c r="J7" s="451">
        <f>landbouw!J8</f>
        <v>375.19107697188724</v>
      </c>
      <c r="K7" s="451">
        <f>landbouw!K8</f>
        <v>0</v>
      </c>
      <c r="L7" s="451">
        <f>landbouw!L8</f>
        <v>0</v>
      </c>
      <c r="M7" s="451">
        <f>landbouw!M8</f>
        <v>0</v>
      </c>
      <c r="N7" s="451">
        <f>landbouw!N8</f>
        <v>0</v>
      </c>
      <c r="O7" s="451">
        <f>landbouw!O8</f>
        <v>0</v>
      </c>
      <c r="P7" s="452">
        <f>landbouw!P8</f>
        <v>0</v>
      </c>
      <c r="Q7" s="450">
        <f t="shared" si="0"/>
        <v>14610.353774489455</v>
      </c>
    </row>
    <row r="8" spans="1:17">
      <c r="A8" s="450" t="s">
        <v>634</v>
      </c>
      <c r="B8" s="451">
        <f>industrie!B18</f>
        <v>12243.682031476015</v>
      </c>
      <c r="C8" s="451">
        <f>industrie!C18</f>
        <v>0</v>
      </c>
      <c r="D8" s="451">
        <f>industrie!D18</f>
        <v>12990.379786133413</v>
      </c>
      <c r="E8" s="451">
        <f>industrie!E18</f>
        <v>783.30147843488066</v>
      </c>
      <c r="F8" s="451">
        <f>industrie!F18</f>
        <v>2646.109048997389</v>
      </c>
      <c r="G8" s="451">
        <f>industrie!G18</f>
        <v>0</v>
      </c>
      <c r="H8" s="451">
        <f>industrie!H18</f>
        <v>0</v>
      </c>
      <c r="I8" s="451">
        <f>industrie!I18</f>
        <v>0</v>
      </c>
      <c r="J8" s="451">
        <f>industrie!J18</f>
        <v>16.197756472283043</v>
      </c>
      <c r="K8" s="451">
        <f>industrie!K18</f>
        <v>0</v>
      </c>
      <c r="L8" s="451">
        <f>industrie!L18</f>
        <v>0</v>
      </c>
      <c r="M8" s="451">
        <f>industrie!M18</f>
        <v>0</v>
      </c>
      <c r="N8" s="451">
        <f>industrie!N18</f>
        <v>1452.9468324015002</v>
      </c>
      <c r="O8" s="451">
        <f>industrie!O18</f>
        <v>0</v>
      </c>
      <c r="P8" s="452">
        <f>industrie!P18</f>
        <v>0</v>
      </c>
      <c r="Q8" s="450">
        <f t="shared" si="0"/>
        <v>30132.616933915484</v>
      </c>
    </row>
    <row r="9" spans="1:17" s="456" customFormat="1">
      <c r="A9" s="454" t="s">
        <v>560</v>
      </c>
      <c r="B9" s="455">
        <f>transport!B14</f>
        <v>119.45047747144606</v>
      </c>
      <c r="C9" s="455">
        <f>transport!C14</f>
        <v>0</v>
      </c>
      <c r="D9" s="455">
        <f>transport!D14</f>
        <v>331.6959607074906</v>
      </c>
      <c r="E9" s="455">
        <f>transport!E14</f>
        <v>613.53947589080474</v>
      </c>
      <c r="F9" s="455">
        <f>transport!F14</f>
        <v>0</v>
      </c>
      <c r="G9" s="455">
        <f>transport!G14</f>
        <v>264345.98959669535</v>
      </c>
      <c r="H9" s="455">
        <f>transport!H14</f>
        <v>56938.758257897593</v>
      </c>
      <c r="I9" s="455">
        <f>transport!I14</f>
        <v>0</v>
      </c>
      <c r="J9" s="455">
        <f>transport!J14</f>
        <v>0</v>
      </c>
      <c r="K9" s="455">
        <f>transport!K14</f>
        <v>0</v>
      </c>
      <c r="L9" s="455">
        <f>transport!L14</f>
        <v>0</v>
      </c>
      <c r="M9" s="455">
        <f>transport!M14</f>
        <v>17120.824565185445</v>
      </c>
      <c r="N9" s="455">
        <f>transport!N14</f>
        <v>0</v>
      </c>
      <c r="O9" s="455">
        <f>transport!O14</f>
        <v>0</v>
      </c>
      <c r="P9" s="455">
        <f>transport!P14</f>
        <v>0</v>
      </c>
      <c r="Q9" s="454">
        <f>SUM(B9:P9)</f>
        <v>339470.25833384815</v>
      </c>
    </row>
    <row r="10" spans="1:17">
      <c r="A10" s="450" t="s">
        <v>550</v>
      </c>
      <c r="B10" s="451">
        <f>transport!B54</f>
        <v>0</v>
      </c>
      <c r="C10" s="451">
        <f>transport!C54</f>
        <v>0</v>
      </c>
      <c r="D10" s="451">
        <f>transport!D54</f>
        <v>0</v>
      </c>
      <c r="E10" s="451">
        <f>transport!E54</f>
        <v>0</v>
      </c>
      <c r="F10" s="451">
        <f>transport!F54</f>
        <v>0</v>
      </c>
      <c r="G10" s="451">
        <f>transport!G54</f>
        <v>4598.9755537166438</v>
      </c>
      <c r="H10" s="451">
        <f>transport!H54</f>
        <v>0</v>
      </c>
      <c r="I10" s="451">
        <f>transport!I54</f>
        <v>0</v>
      </c>
      <c r="J10" s="451">
        <f>transport!J54</f>
        <v>0</v>
      </c>
      <c r="K10" s="451">
        <f>transport!K54</f>
        <v>0</v>
      </c>
      <c r="L10" s="451">
        <f>transport!L54</f>
        <v>0</v>
      </c>
      <c r="M10" s="451">
        <f>transport!M54</f>
        <v>261.18177798347853</v>
      </c>
      <c r="N10" s="451">
        <f>transport!N54</f>
        <v>0</v>
      </c>
      <c r="O10" s="451">
        <f>transport!O54</f>
        <v>0</v>
      </c>
      <c r="P10" s="452">
        <f>transport!P54</f>
        <v>0</v>
      </c>
      <c r="Q10" s="450">
        <f t="shared" si="0"/>
        <v>4860.1573317001221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2223.11229033991</v>
      </c>
      <c r="C14" s="458"/>
      <c r="D14" s="458">
        <f>'SEAP template'!E25</f>
        <v>4397.5534164460896</v>
      </c>
      <c r="E14" s="458"/>
      <c r="F14" s="458"/>
      <c r="G14" s="458"/>
      <c r="H14" s="458"/>
      <c r="I14" s="458"/>
      <c r="J14" s="458"/>
      <c r="K14" s="458"/>
      <c r="L14" s="458"/>
      <c r="M14" s="458"/>
      <c r="N14" s="458"/>
      <c r="O14" s="458"/>
      <c r="P14" s="459"/>
      <c r="Q14" s="450">
        <f t="shared" si="0"/>
        <v>6620.6657067859996</v>
      </c>
    </row>
    <row r="15" spans="1:17" s="460" customFormat="1">
      <c r="A15" s="1005" t="s">
        <v>554</v>
      </c>
      <c r="B15" s="953">
        <f ca="1">SUM(B4:B14)</f>
        <v>166972.54438715091</v>
      </c>
      <c r="C15" s="953">
        <f t="shared" ref="C15:Q15" ca="1" si="1">SUM(C4:C14)</f>
        <v>0</v>
      </c>
      <c r="D15" s="953">
        <f t="shared" ca="1" si="1"/>
        <v>223774.6859264446</v>
      </c>
      <c r="E15" s="953">
        <f t="shared" si="1"/>
        <v>18352.06948394993</v>
      </c>
      <c r="F15" s="953">
        <f t="shared" ca="1" si="1"/>
        <v>76649.907608304638</v>
      </c>
      <c r="G15" s="953">
        <f t="shared" si="1"/>
        <v>268944.965150412</v>
      </c>
      <c r="H15" s="953">
        <f t="shared" si="1"/>
        <v>56938.758257897593</v>
      </c>
      <c r="I15" s="953">
        <f t="shared" si="1"/>
        <v>0</v>
      </c>
      <c r="J15" s="953">
        <f t="shared" si="1"/>
        <v>391.52106087804151</v>
      </c>
      <c r="K15" s="953">
        <f t="shared" si="1"/>
        <v>0</v>
      </c>
      <c r="L15" s="953">
        <f t="shared" ca="1" si="1"/>
        <v>0</v>
      </c>
      <c r="M15" s="953">
        <f t="shared" si="1"/>
        <v>17382.006343168923</v>
      </c>
      <c r="N15" s="953">
        <f t="shared" ca="1" si="1"/>
        <v>22376.623807444903</v>
      </c>
      <c r="O15" s="953">
        <f t="shared" si="1"/>
        <v>209.48666666666665</v>
      </c>
      <c r="P15" s="953">
        <f t="shared" si="1"/>
        <v>1658.8</v>
      </c>
      <c r="Q15" s="953">
        <f t="shared" ca="1" si="1"/>
        <v>853651.36869231809</v>
      </c>
    </row>
    <row r="17" spans="1:17">
      <c r="A17" s="461" t="s">
        <v>555</v>
      </c>
      <c r="B17" s="760">
        <f ca="1">huishoudens!B10</f>
        <v>0.18832668865564606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9614.5980415023332</v>
      </c>
      <c r="C22" s="451">
        <f t="shared" ref="C22:C32" ca="1" si="3">C4*$C$17</f>
        <v>0</v>
      </c>
      <c r="D22" s="451">
        <f t="shared" ref="D22:D32" si="4">D4*$D$17</f>
        <v>24120.600180031142</v>
      </c>
      <c r="E22" s="451">
        <f t="shared" ref="E22:E32" si="5">E4*$E$17</f>
        <v>3392.3235257599963</v>
      </c>
      <c r="F22" s="451">
        <f t="shared" ref="F22:F32" si="6">F4*$F$17</f>
        <v>12262.913914015997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49390.435661309464</v>
      </c>
    </row>
    <row r="23" spans="1:17">
      <c r="A23" s="450" t="s">
        <v>155</v>
      </c>
      <c r="B23" s="451">
        <f t="shared" ca="1" si="2"/>
        <v>18210.945800135232</v>
      </c>
      <c r="C23" s="451">
        <f t="shared" ca="1" si="3"/>
        <v>0</v>
      </c>
      <c r="D23" s="451">
        <f t="shared" ca="1" si="4"/>
        <v>17344.794976234563</v>
      </c>
      <c r="E23" s="451">
        <f t="shared" si="5"/>
        <v>439.23433230629814</v>
      </c>
      <c r="F23" s="451">
        <f t="shared" ca="1" si="6"/>
        <v>4615.5638201547699</v>
      </c>
      <c r="G23" s="451">
        <f t="shared" si="7"/>
        <v>0</v>
      </c>
      <c r="H23" s="451">
        <f t="shared" si="8"/>
        <v>0</v>
      </c>
      <c r="I23" s="451">
        <f t="shared" si="9"/>
        <v>0</v>
      </c>
      <c r="J23" s="451">
        <f t="shared" si="10"/>
        <v>4.6808511590407671E-2</v>
      </c>
      <c r="K23" s="451">
        <f t="shared" si="11"/>
        <v>0</v>
      </c>
      <c r="L23" s="451">
        <f t="shared" ca="1" si="12"/>
        <v>0</v>
      </c>
      <c r="M23" s="451">
        <f t="shared" si="13"/>
        <v>0</v>
      </c>
      <c r="N23" s="451">
        <f t="shared" ca="1" si="14"/>
        <v>0</v>
      </c>
      <c r="O23" s="451">
        <f t="shared" si="15"/>
        <v>0</v>
      </c>
      <c r="P23" s="452">
        <f t="shared" si="16"/>
        <v>0</v>
      </c>
      <c r="Q23" s="450">
        <f t="shared" ref="Q23:Q32" ca="1" si="17">SUM(B23:P23)</f>
        <v>40610.585737342459</v>
      </c>
    </row>
    <row r="24" spans="1:17">
      <c r="A24" s="450" t="s">
        <v>193</v>
      </c>
      <c r="B24" s="451">
        <f t="shared" ca="1" si="2"/>
        <v>385.15482069058532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385.15482069058532</v>
      </c>
    </row>
    <row r="25" spans="1:17">
      <c r="A25" s="450" t="s">
        <v>111</v>
      </c>
      <c r="B25" s="451">
        <f t="shared" ca="1" si="2"/>
        <v>487.70853554142656</v>
      </c>
      <c r="C25" s="451">
        <f t="shared" ca="1" si="3"/>
        <v>0</v>
      </c>
      <c r="D25" s="451">
        <f t="shared" si="4"/>
        <v>157.7263098921317</v>
      </c>
      <c r="E25" s="451">
        <f t="shared" si="5"/>
        <v>17.279018158409521</v>
      </c>
      <c r="F25" s="451">
        <f t="shared" si="6"/>
        <v>2880.5364811642712</v>
      </c>
      <c r="G25" s="451">
        <f t="shared" si="7"/>
        <v>0</v>
      </c>
      <c r="H25" s="451">
        <f t="shared" si="8"/>
        <v>0</v>
      </c>
      <c r="I25" s="451">
        <f t="shared" si="9"/>
        <v>0</v>
      </c>
      <c r="J25" s="451">
        <f t="shared" si="10"/>
        <v>132.81764124804809</v>
      </c>
      <c r="K25" s="451">
        <f t="shared" si="11"/>
        <v>0</v>
      </c>
      <c r="L25" s="451">
        <f t="shared" si="12"/>
        <v>0</v>
      </c>
      <c r="M25" s="451">
        <f t="shared" si="13"/>
        <v>0</v>
      </c>
      <c r="N25" s="451">
        <f t="shared" si="14"/>
        <v>0</v>
      </c>
      <c r="O25" s="451">
        <f t="shared" si="15"/>
        <v>0</v>
      </c>
      <c r="P25" s="452">
        <f t="shared" si="16"/>
        <v>0</v>
      </c>
      <c r="Q25" s="450">
        <f t="shared" ca="1" si="17"/>
        <v>3676.0679860042869</v>
      </c>
    </row>
    <row r="26" spans="1:17">
      <c r="A26" s="450" t="s">
        <v>634</v>
      </c>
      <c r="B26" s="451">
        <f t="shared" ca="1" si="2"/>
        <v>2305.8120939405117</v>
      </c>
      <c r="C26" s="451">
        <f t="shared" ca="1" si="3"/>
        <v>0</v>
      </c>
      <c r="D26" s="451">
        <f t="shared" si="4"/>
        <v>2624.0567167989498</v>
      </c>
      <c r="E26" s="451">
        <f t="shared" si="5"/>
        <v>177.80943560471792</v>
      </c>
      <c r="F26" s="451">
        <f t="shared" si="6"/>
        <v>706.51111608230292</v>
      </c>
      <c r="G26" s="451">
        <f t="shared" si="7"/>
        <v>0</v>
      </c>
      <c r="H26" s="451">
        <f t="shared" si="8"/>
        <v>0</v>
      </c>
      <c r="I26" s="451">
        <f t="shared" si="9"/>
        <v>0</v>
      </c>
      <c r="J26" s="451">
        <f t="shared" si="10"/>
        <v>5.7340057911881965</v>
      </c>
      <c r="K26" s="451">
        <f t="shared" si="11"/>
        <v>0</v>
      </c>
      <c r="L26" s="451">
        <f t="shared" si="12"/>
        <v>0</v>
      </c>
      <c r="M26" s="451">
        <f t="shared" si="13"/>
        <v>0</v>
      </c>
      <c r="N26" s="451">
        <f t="shared" si="14"/>
        <v>0</v>
      </c>
      <c r="O26" s="451">
        <f t="shared" si="15"/>
        <v>0</v>
      </c>
      <c r="P26" s="452">
        <f t="shared" si="16"/>
        <v>0</v>
      </c>
      <c r="Q26" s="450">
        <f t="shared" ca="1" si="17"/>
        <v>5819.9233682176691</v>
      </c>
    </row>
    <row r="27" spans="1:17" s="456" customFormat="1">
      <c r="A27" s="454" t="s">
        <v>560</v>
      </c>
      <c r="B27" s="754">
        <f t="shared" ca="1" si="2"/>
        <v>22.495712880533286</v>
      </c>
      <c r="C27" s="455">
        <f t="shared" ca="1" si="3"/>
        <v>0</v>
      </c>
      <c r="D27" s="455">
        <f t="shared" si="4"/>
        <v>67.002584062913101</v>
      </c>
      <c r="E27" s="455">
        <f t="shared" si="5"/>
        <v>139.27346102721268</v>
      </c>
      <c r="F27" s="455">
        <f t="shared" si="6"/>
        <v>0</v>
      </c>
      <c r="G27" s="455">
        <f t="shared" si="7"/>
        <v>70580.379222317657</v>
      </c>
      <c r="H27" s="455">
        <f t="shared" si="8"/>
        <v>14177.7508062165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84986.901786504823</v>
      </c>
    </row>
    <row r="28" spans="1:17">
      <c r="A28" s="450" t="s">
        <v>550</v>
      </c>
      <c r="B28" s="451">
        <f t="shared" ca="1" si="2"/>
        <v>0</v>
      </c>
      <c r="C28" s="451">
        <f t="shared" ca="1" si="3"/>
        <v>0</v>
      </c>
      <c r="D28" s="451">
        <f t="shared" si="4"/>
        <v>0</v>
      </c>
      <c r="E28" s="451">
        <f t="shared" si="5"/>
        <v>0</v>
      </c>
      <c r="F28" s="451">
        <f t="shared" si="6"/>
        <v>0</v>
      </c>
      <c r="G28" s="451">
        <f t="shared" si="7"/>
        <v>1227.9264728423441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1227.9264728423441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418.67137614938446</v>
      </c>
      <c r="C32" s="451">
        <f t="shared" ca="1" si="3"/>
        <v>0</v>
      </c>
      <c r="D32" s="451">
        <f t="shared" si="4"/>
        <v>888.30579012211012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1306.9771662714945</v>
      </c>
    </row>
    <row r="33" spans="1:17" s="460" customFormat="1">
      <c r="A33" s="1005" t="s">
        <v>554</v>
      </c>
      <c r="B33" s="953">
        <f ca="1">SUM(B22:B32)</f>
        <v>31445.386380840009</v>
      </c>
      <c r="C33" s="953">
        <f t="shared" ref="C33:Q33" ca="1" si="18">SUM(C22:C32)</f>
        <v>0</v>
      </c>
      <c r="D33" s="953">
        <f t="shared" ca="1" si="18"/>
        <v>45202.486557141805</v>
      </c>
      <c r="E33" s="953">
        <f t="shared" si="18"/>
        <v>4165.9197728566351</v>
      </c>
      <c r="F33" s="953">
        <f t="shared" ca="1" si="18"/>
        <v>20465.525331417342</v>
      </c>
      <c r="G33" s="953">
        <f t="shared" si="18"/>
        <v>71808.305695160001</v>
      </c>
      <c r="H33" s="953">
        <f t="shared" si="18"/>
        <v>14177.7508062165</v>
      </c>
      <c r="I33" s="953">
        <f t="shared" si="18"/>
        <v>0</v>
      </c>
      <c r="J33" s="953">
        <f t="shared" si="18"/>
        <v>138.59845555082669</v>
      </c>
      <c r="K33" s="953">
        <f t="shared" si="18"/>
        <v>0</v>
      </c>
      <c r="L33" s="953">
        <f t="shared" ca="1" si="18"/>
        <v>0</v>
      </c>
      <c r="M33" s="953">
        <f t="shared" si="18"/>
        <v>0</v>
      </c>
      <c r="N33" s="953">
        <f t="shared" ca="1" si="18"/>
        <v>0</v>
      </c>
      <c r="O33" s="953">
        <f t="shared" si="18"/>
        <v>0</v>
      </c>
      <c r="P33" s="953">
        <f t="shared" si="18"/>
        <v>0</v>
      </c>
      <c r="Q33" s="953">
        <f t="shared" ca="1" si="18"/>
        <v>187403.97299918314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13779.58500203706</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10906.143182217857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24685.728184254916</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0.18832668865564606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0.18832668865564606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2020-06-20T15:41:01Z</dcterms:modified>
</cp:coreProperties>
</file>