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50" i="18"/>
  <c r="V50" i="18"/>
  <c r="U50" i="18"/>
  <c r="T50" i="18"/>
  <c r="S50" i="18"/>
  <c r="R50" i="18"/>
  <c r="Q50" i="18"/>
  <c r="P50" i="18"/>
  <c r="O50" i="18"/>
  <c r="N50" i="18"/>
  <c r="M50" i="18"/>
  <c r="W49" i="18"/>
  <c r="V49" i="18"/>
  <c r="U49" i="18"/>
  <c r="T49" i="18"/>
  <c r="S49" i="18"/>
  <c r="R49" i="18"/>
  <c r="Q49" i="18"/>
  <c r="P49" i="18"/>
  <c r="O49" i="18"/>
  <c r="N49" i="18"/>
  <c r="M49" i="18"/>
  <c r="W48" i="18"/>
  <c r="V48" i="18"/>
  <c r="U48" i="18"/>
  <c r="T48" i="18"/>
  <c r="S48" i="18"/>
  <c r="R48" i="18"/>
  <c r="Q48" i="18"/>
  <c r="P48" i="18"/>
  <c r="O48" i="18"/>
  <c r="N48" i="18"/>
  <c r="M48" i="18"/>
  <c r="W47" i="18"/>
  <c r="V47" i="18"/>
  <c r="J9" i="18" s="1"/>
  <c r="J77" i="14" s="1"/>
  <c r="J9" i="61" s="1"/>
  <c r="U47" i="18"/>
  <c r="T47" i="18"/>
  <c r="I9" i="18" s="1"/>
  <c r="S47" i="18"/>
  <c r="R47" i="18"/>
  <c r="Q47" i="18"/>
  <c r="P47" i="18"/>
  <c r="C9" i="18" s="1"/>
  <c r="O47" i="18"/>
  <c r="N47" i="18"/>
  <c r="B9" i="18" s="1"/>
  <c r="M47" i="18"/>
  <c r="W43" i="18"/>
  <c r="V43" i="18"/>
  <c r="U43" i="18"/>
  <c r="T43" i="18"/>
  <c r="S43" i="18"/>
  <c r="R43" i="18"/>
  <c r="Q43" i="18"/>
  <c r="P43" i="18"/>
  <c r="O43" i="18"/>
  <c r="N43" i="18"/>
  <c r="M43" i="18"/>
  <c r="W42" i="18"/>
  <c r="V42" i="18"/>
  <c r="U42" i="18"/>
  <c r="T42" i="18"/>
  <c r="S42" i="18"/>
  <c r="F13" i="15" s="1"/>
  <c r="R42" i="18"/>
  <c r="Q42" i="18"/>
  <c r="P42" i="18"/>
  <c r="D13" i="15" s="1"/>
  <c r="O42" i="18"/>
  <c r="C13" i="15" s="1"/>
  <c r="N42" i="18"/>
  <c r="M42" i="18"/>
  <c r="W41" i="18"/>
  <c r="V41" i="18"/>
  <c r="U41" i="18"/>
  <c r="T41" i="18"/>
  <c r="S41" i="18"/>
  <c r="R41" i="18"/>
  <c r="Q41" i="18"/>
  <c r="P41" i="18"/>
  <c r="O41" i="18"/>
  <c r="N41" i="18"/>
  <c r="M41" i="18"/>
  <c r="W40" i="18"/>
  <c r="V40" i="18"/>
  <c r="U40" i="18"/>
  <c r="T40" i="18"/>
  <c r="S40" i="18"/>
  <c r="R40" i="18"/>
  <c r="Q40" i="18"/>
  <c r="P40" i="18"/>
  <c r="O40" i="18"/>
  <c r="N40" i="18"/>
  <c r="C56" i="18" s="1"/>
  <c r="M4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B56" i="18"/>
  <c r="F6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9" i="18"/>
  <c r="H8" i="18" s="1"/>
  <c r="E59" i="18"/>
  <c r="E8" i="18" s="1"/>
  <c r="G59" i="18"/>
  <c r="F59" i="18"/>
  <c r="H59" i="18"/>
  <c r="D59" i="18"/>
  <c r="C59" i="18"/>
  <c r="B59" i="18"/>
  <c r="C8" i="18" s="1"/>
  <c r="I60" i="18"/>
  <c r="H17" i="18" s="1"/>
  <c r="C60" i="18"/>
  <c r="B60" i="18"/>
  <c r="C17" i="18" s="1"/>
  <c r="H60" i="18"/>
  <c r="D60" i="18"/>
  <c r="G6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60" i="18"/>
  <c r="E17"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46" i="14" l="1"/>
  <c r="Q61" i="14" s="1"/>
  <c r="Q63" i="14" s="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N52" i="14"/>
  <c r="N61" i="14" s="1"/>
  <c r="N63" i="14" s="1"/>
  <c r="K10" i="14"/>
  <c r="J5" i="48"/>
  <c r="J23" i="48"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J26" i="48" s="1"/>
  <c r="J33" i="48" s="1"/>
  <c r="J15" i="48"/>
  <c r="I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<sst xmlns="http://schemas.openxmlformats.org/spreadsheetml/2006/main" count="2504" uniqueCount="931">
  <si>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</si>
  <si>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</si>
  <si>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</si>
  <si>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</si>
  <si>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</si>
  <si>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</si>
  <si>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</si>
  <si>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</si>
  <si>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</si>
  <si>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</si>
  <si>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</si>
  <si>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</si>
  <si>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</si>
  <si>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</si>
  <si>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</si>
  <si>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</si>
  <si>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</si>
  <si>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</si>
  <si>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</si>
  <si>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</si>
  <si>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</si>
  <si>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</si>
  <si>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</si>
  <si>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</si>
  <si>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</si>
  <si>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</si>
  <si>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</si>
  <si>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</si>
  <si>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</si>
  <si>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</si>
  <si>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</si>
  <si>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</si>
  <si>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</si>
  <si>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</si>
  <si>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</si>
  <si>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</si>
  <si>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</si>
  <si>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</si>
  <si>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</si>
  <si>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</si>
  <si>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</si>
  <si>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</si>
  <si>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</si>
  <si>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</si>
  <si>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</si>
  <si>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</si>
  <si>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</si>
  <si>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</si>
  <si>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</si>
  <si>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</si>
  <si>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</si>
  <si>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</si>
  <si>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</si>
  <si>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</si>
  <si>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</si>
  <si>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</si>
  <si>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</si>
  <si>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</si>
  <si>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</si>
  <si>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</si>
  <si>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</si>
  <si>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</si>
  <si>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</si>
  <si>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</si>
  <si>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</si>
  <si>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</si>
  <si>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</si>
  <si>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</si>
  <si>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</si>
  <si>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</si>
  <si>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</si>
  <si>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</si>
  <si>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</si>
  <si>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</si>
  <si>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</si>
  <si>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</si>
  <si>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</si>
  <si>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</si>
  <si>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</si>
  <si>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</si>
  <si>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</si>
  <si>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</si>
  <si>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</si>
  <si>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</si>
  <si>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</si>
  <si>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</si>
  <si>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</si>
  <si>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</si>
  <si>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</si>
  <si>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</si>
  <si>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</si>
  <si>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</si>
  <si>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</si>
  <si>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</si>
  <si>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</si>
  <si>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</si>
  <si>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</si>
  <si>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</si>
  <si>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</si>
  <si>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</si>
  <si>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</si>
  <si>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</si>
  <si>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</si>
  <si>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</si>
  <si>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</si>
  <si>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</si>
  <si>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</si>
  <si>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</si>
  <si>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</si>
  <si>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</si>
  <si>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</si>
  <si>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</si>
  <si>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</si>
  <si>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</si>
  <si>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</si>
  <si>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</si>
  <si>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</si>
  <si>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</si>
  <si>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</si>
  <si>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</si>
  <si>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</si>
  <si>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</si>
  <si>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</si>
  <si>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</si>
  <si>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</si>
  <si>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</si>
  <si>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</si>
  <si>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</si>
  <si>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</si>
  <si>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</si>
  <si>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</si>
  <si>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</si>
  <si>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</si>
  <si>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</si>
  <si>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</si>
  <si>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</si>
  <si>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</si>
  <si>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</si>
  <si>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</si>
  <si>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</si>
  <si>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</si>
  <si>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</si>
  <si>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</si>
  <si>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</si>
  <si>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</si>
  <si>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</si>
  <si>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</si>
  <si>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</si>
  <si>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</si>
  <si>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</si>
  <si>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</si>
  <si>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</si>
  <si>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</si>
  <si>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</si>
  <si>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</si>
  <si>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</si>
  <si>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</si>
  <si>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</si>
  <si>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</si>
  <si>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</si>
  <si>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</si>
  <si>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</si>
  <si>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</si>
  <si>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</si>
  <si>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</si>
  <si>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</si>
  <si>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</si>
  <si>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</si>
  <si>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</si>
  <si>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</si>
  <si>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</si>
  <si>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</si>
  <si>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</si>
  <si>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</si>
  <si>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</si>
  <si>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</si>
  <si>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</si>
  <si>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</si>
  <si>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</si>
  <si>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</si>
  <si>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</si>
  <si>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</si>
  <si>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</si>
  <si>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</si>
  <si>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</si>
  <si>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</si>
  <si>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</si>
  <si>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</si>
  <si>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</si>
  <si>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</si>
  <si>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</si>
  <si>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</si>
  <si>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</si>
  <si>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</si>
  <si>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</si>
  <si>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</si>
  <si>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</si>
  <si>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</si>
  <si>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</si>
  <si>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</si>
  <si>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</si>
  <si>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</si>
  <si>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</si>
  <si>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</si>
  <si>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</si>
  <si>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</si>
  <si>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</si>
  <si>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</si>
  <si>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</si>
  <si>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</si>
  <si>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</si>
  <si>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</si>
  <si>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</si>
  <si>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</si>
  <si>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</si>
  <si>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</si>
  <si>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</si>
  <si>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</si>
  <si>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</si>
  <si>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</si>
  <si>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</si>
  <si>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</si>
  <si>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</si>
  <si>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</si>
  <si>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</si>
  <si>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</si>
  <si>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</si>
  <si>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</si>
  <si>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</si>
  <si>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</si>
  <si>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</si>
  <si>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</si>
  <si>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</si>
  <si>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</si>
  <si>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</si>
  <si>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</si>
  <si>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</si>
  <si>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</si>
  <si>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</si>
  <si>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</si>
  <si>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</si>
  <si>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</si>
  <si>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</si>
  <si>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</si>
  <si>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</si>
  <si>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</si>
  <si>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</si>
  <si>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</si>
  <si>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</si>
  <si>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</si>
  <si>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</si>
  <si>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</si>
  <si>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</si>
  <si>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</si>
  <si>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</si>
  <si>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</si>
  <si>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</si>
  <si>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</si>
  <si>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</si>
  <si>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</si>
  <si>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</si>
  <si>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</si>
  <si>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</si>
  <si>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</si>
  <si>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</si>
  <si>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</si>
  <si>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</si>
  <si>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</si>
  <si>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</si>
  <si>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</si>
  <si>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</si>
  <si>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</si>
  <si>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</si>
  <si>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</si>
  <si>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</si>
  <si>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</si>
  <si>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</si>
  <si>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</si>
  <si>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</si>
  <si>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</si>
  <si>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</si>
  <si>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</si>
  <si>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</si>
  <si>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</si>
  <si>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</si>
  <si>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</si>
  <si>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</si>
  <si>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</si>
  <si>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</si>
  <si>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</si>
  <si>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</si>
  <si>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</si>
  <si>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</si>
  <si>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</si>
  <si>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</si>
  <si>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</si>
  <si>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</si>
  <si>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</si>
  <si>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</si>
  <si>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</si>
  <si>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</si>
  <si>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</si>
  <si>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</si>
  <si>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</si>
  <si>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</si>
  <si>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</si>
  <si>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</si>
  <si>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</si>
  <si>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</si>
  <si>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</si>
  <si>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</si>
  <si>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</si>
  <si>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</si>
  <si>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</si>
  <si>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</si>
  <si>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</si>
  <si>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</si>
  <si>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</si>
  <si>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</si>
  <si>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</si>
  <si>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</si>
  <si>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</si>
  <si>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</si>
  <si>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</si>
  <si>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</si>
  <si>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</si>
  <si>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</si>
  <si>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</si>
  <si>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</si>
  <si>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</si>
  <si>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</si>
  <si>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</si>
  <si>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</si>
  <si>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</si>
  <si>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</si>
  <si>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</si>
  <si>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</si>
  <si>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</si>
  <si>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</si>
  <si>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</si>
  <si>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</si>
  <si>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</si>
  <si>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</si>
  <si>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</si>
  <si>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</si>
  <si>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</si>
  <si>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</si>
  <si>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</si>
  <si>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</si>
  <si>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</si>
  <si>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</si>
  <si>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</si>
  <si>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</si>
  <si>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</si>
  <si>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</si>
  <si>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</si>
  <si>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</si>
  <si>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</si>
  <si>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</si>
  <si>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</si>
  <si>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</si>
  <si>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</si>
  <si>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</si>
  <si>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</si>
  <si>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</si>
  <si>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</si>
  <si>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</si>
  <si>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</si>
  <si>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</si>
  <si>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</si>
  <si>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</si>
  <si>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</si>
  <si>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</si>
  <si>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</si>
  <si>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</si>
  <si>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</si>
  <si>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</si>
  <si>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</si>
  <si>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</si>
  <si>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</si>
  <si>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</si>
  <si>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</si>
  <si>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</si>
  <si>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</si>
  <si>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</si>
  <si>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</si>
  <si>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</si>
  <si>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</si>
  <si>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</si>
  <si>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</si>
  <si>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</si>
  <si>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</si>
  <si>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</si>
  <si>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</si>
  <si>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</si>
  <si>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</si>
  <si>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</si>
  <si>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</si>
  <si>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</si>
  <si>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</si>
  <si>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</si>
  <si>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</si>
  <si>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</si>
  <si>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</si>
  <si>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</si>
  <si>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</si>
  <si>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</si>
  <si>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</si>
  <si>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</si>
  <si>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</si>
  <si>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</si>
  <si>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</si>
  <si>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</si>
  <si>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</si>
  <si>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</si>
  <si>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</si>
  <si>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</si>
  <si>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</si>
  <si>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</si>
  <si>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</si>
  <si>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</si>
  <si>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</si>
  <si>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</si>
  <si>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</si>
  <si>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</si>
  <si>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</si>
  <si>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</si>
  <si>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</si>
  <si>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</si>
  <si>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</si>
  <si>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</si>
  <si>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</si>
  <si>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</si>
  <si>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</si>
  <si>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</si>
  <si>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</si>
  <si>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</si>
  <si>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</si>
  <si>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</si>
  <si>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</si>
  <si>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</si>
  <si>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</si>
  <si>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</si>
  <si>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</si>
  <si>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</si>
  <si>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</si>
  <si>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</si>
  <si>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</si>
  <si>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</si>
  <si>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</si>
  <si>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</si>
  <si>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</si>
  <si>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</si>
  <si>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</si>
  <si>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</si>
  <si>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</si>
  <si>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</si>
  <si>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</si>
  <si>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</si>
  <si>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</si>
  <si>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</si>
  <si>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</si>
  <si>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</si>
  <si>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</si>
  <si>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</si>
  <si>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</si>
  <si>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</si>
  <si>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</si>
  <si>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</si>
  <si>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</si>
  <si>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</si>
  <si>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</si>
  <si>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</si>
  <si>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</si>
  <si>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</si>
  <si>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</si>
  <si>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</si>
  <si>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</si>
  <si>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</si>
  <si>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</si>
  <si>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</si>
  <si>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</si>
  <si>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</si>
  <si>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</si>
  <si>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</si>
  <si>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</si>
  <si>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</si>
  <si>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</si>
  <si>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</si>
  <si>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</si>
  <si>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</si>
  <si>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</si>
  <si>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</si>
  <si>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</si>
  <si>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</si>
  <si>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</si>
  <si>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</si>
  <si>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</si>
  <si>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</si>
  <si>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</si>
  <si>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</si>
  <si>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</si>
  <si>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</si>
  <si>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</si>
  <si>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</si>
  <si>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</si>
  <si>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</si>
  <si>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</si>
  <si>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</si>
  <si>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</si>
  <si>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</si>
  <si>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</si>
  <si>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</si>
  <si>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</si>
  <si>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</si>
  <si>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</si>
  <si>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</si>
  <si>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</si>
  <si>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</si>
  <si>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</si>
  <si>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</si>
  <si>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</si>
  <si>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</si>
  <si>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</si>
  <si>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</si>
  <si>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</si>
  <si>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</si>
  <si>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</si>
  <si>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</si>
  <si>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</si>
  <si>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</si>
  <si>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</si>
  <si>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</si>
  <si>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</si>
  <si>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</si>
  <si>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</si>
  <si>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</si>
  <si>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</si>
  <si>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</si>
  <si>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</si>
  <si>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</si>
  <si>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</si>
  <si>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</si>
  <si>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</si>
  <si>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</si>
  <si>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</si>
  <si>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</si>
  <si>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</si>
  <si>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</si>
  <si>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</si>
  <si>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</si>
  <si>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</si>
  <si>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</si>
  <si>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</si>
  <si>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</si>
  <si>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</si>
  <si>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</si>
  <si>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</si>
  <si>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</si>
  <si>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</si>
  <si>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</si>
  <si>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</si>
  <si>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</si>
  <si>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</si>
  <si>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</si>
  <si>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</si>
  <si>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</si>
  <si>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</si>
  <si>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</si>
  <si>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</si>
  <si>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</si>
  <si>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</si>
  <si>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</si>
  <si>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</si>
  <si>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</si>
  <si>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</si>
  <si>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</si>
  <si>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</si>
  <si>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</si>
  <si>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</si>
  <si>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</si>
  <si>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</si>
  <si>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</si>
  <si>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</si>
  <si>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</si>
  <si>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</si>
  <si>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</si>
  <si>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</si>
  <si>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</si>
  <si>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</si>
  <si>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</si>
  <si>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</si>
  <si>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</si>
  <si>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</si>
  <si>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</si>
  <si>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</si>
  <si>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</si>
  <si>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</si>
  <si>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</si>
  <si>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</si>
  <si>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</si>
  <si>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</si>
  <si>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</si>
  <si>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</si>
  <si>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</si>
  <si>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</si>
  <si>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</si>
  <si>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</si>
  <si>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</si>
  <si>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</si>
  <si>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</si>
  <si>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</si>
  <si>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</si>
  <si>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</si>
  <si>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</si>
  <si>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</si>
  <si>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</si>
  <si>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</si>
  <si>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</si>
  <si>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</si>
  <si>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</si>
  <si>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</si>
  <si>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</si>
  <si>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</si>
  <si>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</si>
  <si>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</si>
  <si>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</si>
  <si>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</si>
  <si>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</si>
  <si>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</si>
  <si>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</si>
  <si>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</si>
  <si>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</si>
  <si>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</si>
  <si>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</si>
  <si>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</si>
  <si>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</si>
  <si>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</si>
  <si>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</si>
  <si>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</si>
  <si>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</si>
  <si>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</si>
  <si>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</si>
  <si>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</si>
  <si>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</si>
  <si>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</si>
  <si>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</si>
  <si>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</si>
  <si>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</si>
  <si>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</si>
  <si>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</si>
  <si>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</si>
  <si>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</si>
  <si>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</si>
  <si>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</si>
  <si>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</si>
  <si>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</si>
  <si>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</si>
  <si>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</si>
  <si>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</si>
  <si>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</si>
  <si>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</si>
  <si>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</si>
  <si>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</si>
  <si>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</si>
  <si>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</si>
  <si>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</si>
  <si>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</si>
  <si>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</si>
  <si>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</si>
  <si>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</si>
  <si>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</si>
  <si>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</si>
  <si>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</si>
  <si>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</si>
  <si>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</si>
  <si>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</si>
  <si>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</si>
  <si>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</si>
  <si>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</si>
  <si>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</si>
  <si>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</si>
  <si>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</si>
  <si>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</si>
  <si>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</si>
  <si>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</si>
  <si>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</si>
  <si>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</si>
  <si>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</si>
  <si>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</si>
  <si>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</si>
  <si>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</si>
  <si>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</si>
  <si>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</si>
  <si>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</si>
  <si>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</si>
  <si>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</si>
  <si>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</si>
  <si>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</si>
  <si>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</si>
  <si>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</si>
  <si>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</si>
  <si>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</si>
  <si>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</si>
  <si>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</si>
  <si>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</si>
  <si>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</si>
  <si>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</si>
  <si>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</si>
  <si>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</si>
  <si>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</si>
  <si>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</si>
  <si>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</si>
  <si>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</si>
  <si>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</si>
  <si>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</si>
  <si>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</si>
  <si>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</si>
  <si>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</si>
  <si>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</si>
  <si>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</si>
  <si>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</si>
  <si>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</si>
  <si>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</si>
  <si>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</si>
  <si>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</si>
  <si>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</si>
  <si>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</si>
  <si>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</si>
  <si>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</si>
  <si>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</si>
  <si>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</si>
  <si>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</si>
  <si>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</si>
  <si>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</si>
  <si>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</si>
  <si>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</si>
  <si>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</si>
  <si>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</si>
  <si>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</si>
  <si>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</si>
  <si>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</si>
  <si>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</si>
  <si>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</si>
  <si>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</si>
  <si>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</si>
  <si>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</si>
  <si>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</si>
  <si>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</si>
  <si>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</si>
  <si>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</si>
  <si>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</si>
  <si>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</si>
  <si>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</si>
  <si>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</si>
  <si>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</si>
  <si>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</si>
  <si>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</si>
  <si>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</si>
  <si>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</si>
  <si>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</si>
  <si>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</si>
  <si>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</si>
  <si>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</si>
  <si>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</si>
  <si>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</si>
  <si>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</si>
  <si>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</si>
  <si>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</si>
  <si>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</si>
  <si>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</si>
  <si>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</si>
  <si>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</si>
  <si>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</si>
  <si>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</si>
  <si>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</si>
  <si>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</si>
  <si>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</si>
  <si>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</si>
  <si>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</si>
  <si>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</si>
  <si>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</si>
  <si>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</si>
  <si>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</si>
  <si>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</si>
  <si>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</si>
  <si>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</si>
  <si>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</si>
  <si>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</si>
  <si>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</si>
  <si>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</si>
  <si>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</si>
  <si>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</si>
  <si>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</si>
  <si>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</si>
  <si>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</si>
  <si>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</si>
  <si>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</si>
  <si>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</si>
  <si>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</si>
  <si>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</si>
  <si>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</si>
  <si>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</si>
  <si>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</si>
  <si>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</si>
  <si>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</si>
  <si>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</si>
  <si>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</si>
  <si>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</si>
  <si>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</si>
  <si>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</si>
  <si>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</si>
  <si>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</si>
  <si>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</si>
  <si>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</si>
  <si>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</si>
  <si>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</si>
  <si>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</si>
  <si>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</si>
  <si>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</si>
  <si>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</si>
  <si>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</si>
  <si>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</si>
  <si>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</si>
  <si>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</si>
  <si>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</si>
  <si>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</si>
  <si>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</si>
  <si>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</si>
  <si>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</si>
  <si>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</si>
  <si>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</si>
  <si>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</si>
  <si>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</si>
  <si>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</si>
  <si>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</si>
  <si>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</si>
  <si>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</si>
  <si>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</si>
  <si>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</si>
  <si>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</si>
  <si>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</si>
  <si>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</si>
  <si>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</si>
  <si>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</si>
  <si>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</si>
  <si>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</si>
  <si>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</si>
  <si>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</si>
  <si>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</si>
  <si>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</si>
  <si>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</si>
  <si>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</si>
  <si>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</si>
  <si>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</si>
  <si>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</si>
  <si>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</si>
  <si>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</si>
  <si>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</si>
  <si>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</si>
  <si>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</si>
  <si>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</si>
  <si>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</si>
  <si>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</si>
  <si>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</si>
  <si>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</si>
  <si>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</si>
  <si>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</si>
  <si>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</si>
  <si>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</si>
  <si>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</si>
  <si>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</si>
  <si>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</si>
  <si>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</si>
  <si>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</si>
  <si>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</si>
  <si>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</si>
  <si>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</si>
  <si>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</si>
  <si>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</si>
  <si>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</si>
  <si>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</si>
  <si>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</si>
  <si>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13037</t>
  </si>
  <si>
    <t>RIJKEVORSEL</t>
  </si>
  <si>
    <t>Fluvius</t>
  </si>
  <si>
    <t>referentietaak LNE (2017); Jaarverslag De Lijn</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</si>
  <si>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</si>
  <si>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</si>
  <si>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</si>
  <si>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</si>
  <si>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</si>
  <si>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</si>
  <si>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</si>
  <si>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</si>
  <si>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</si>
  <si>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</si>
  <si>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</si>
  <si>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</si>
  <si>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</si>
  <si>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</si>
  <si>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</si>
  <si>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</si>
  <si>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</si>
  <si>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</si>
  <si>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</si>
  <si>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</si>
  <si>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</si>
  <si>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</si>
  <si>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</si>
  <si>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</si>
  <si>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</si>
  <si>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</si>
  <si>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</si>
  <si>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</si>
  <si>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</si>
  <si>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</si>
  <si>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</si>
  <si>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</si>
  <si>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</si>
  <si>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</si>
  <si>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</si>
  <si>
    <t>Paul Leenaerts</t>
  </si>
  <si>
    <t>WKK-0753 Paul Leenaerts</t>
  </si>
  <si>
    <t>Biogas - hoofdzakelijk agrarische stromen</t>
  </si>
  <si>
    <t>Kleine Gammel 51, 2310 Rijkevorsel, BE</t>
  </si>
  <si>
    <t>IVEKA (via EANDIS)</t>
  </si>
  <si>
    <t>Mepetom II</t>
  </si>
  <si>
    <t>WKK-0814</t>
  </si>
  <si>
    <t>Interne verbrandingsmotor</t>
  </si>
  <si>
    <t>Oude Baan 8, 2310 Rijkevorsel,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</si>
</sst>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103238.54360432764</c:v>
                </c:pt>
                <c:pt idx="1">
                  <c:v>39648.894409349414</c:v>
                </c:pt>
                <c:pt idx="2">
                  <c:v>547.327</c:v>
                </c:pt>
                <c:pt idx="3">
                  <c:v>223409.58160428811</c:v>
                </c:pt>
                <c:pt idx="4">
                  <c:v>40025.087738356335</c:v>
                </c:pt>
                <c:pt idx="5">
                  <c:v>54979.711979298183</c:v>
                </c:pt>
                <c:pt idx="6">
                  <c:v>1383.5318440870344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103238.54360432764</c:v>
                </c:pt>
                <c:pt idx="1">
                  <c:v>39648.894409349414</c:v>
                </c:pt>
                <c:pt idx="2">
                  <c:v>547.327</c:v>
                </c:pt>
                <c:pt idx="3">
                  <c:v>223409.58160428811</c:v>
                </c:pt>
                <c:pt idx="4">
                  <c:v>40025.087738356335</c:v>
                </c:pt>
                <c:pt idx="5">
                  <c:v>54979.711979298183</c:v>
                </c:pt>
                <c:pt idx="6">
                  <c:v>1383.5318440870344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17532.988875612617</c:v>
                </c:pt>
                <c:pt idx="2">
                  <c:v>7649.9924484186231</c:v>
                </c:pt>
                <c:pt idx="3">
                  <c:v>113.28196184979411</c:v>
                </c:pt>
                <c:pt idx="4">
                  <c:v>49227.563268805112</c:v>
                </c:pt>
                <c:pt idx="5">
                  <c:v>8313.3317479266807</c:v>
                </c:pt>
                <c:pt idx="6">
                  <c:v>13768.456265360966</c:v>
                </c:pt>
                <c:pt idx="7">
                  <c:v>349.55151889714148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17532.988875612617</c:v>
                </c:pt>
                <c:pt idx="2">
                  <c:v>7649.9924484186231</c:v>
                </c:pt>
                <c:pt idx="3">
                  <c:v>113.28196184979411</c:v>
                </c:pt>
                <c:pt idx="4">
                  <c:v>49227.563268805112</c:v>
                </c:pt>
                <c:pt idx="5">
                  <c:v>8313.3317479266807</c:v>
                </c:pt>
                <c:pt idx="6">
                  <c:v>13768.456265360966</c:v>
                </c:pt>
                <c:pt idx="7">
                  <c:v>349.55151889714148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13037</v>
      </c>
      <c r="B6" s="390"/>
      <c r="C6" s="391"/>
    </row>
    <row r="7" spans="1:7" s="388" customFormat="1" ht="15.75" customHeight="1">
      <c r="A7" s="392" t="str">
        <f>txtMunicipality</f>
        <v>RIJKEVORSEL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21249.351673604058</v>
      </c>
      <c r="D10" s="979">
        <f ca="1">tertiair!C16</f>
        <v>0</v>
      </c>
      <c r="E10" s="979">
        <f ca="1">tertiair!D16</f>
        <v>11263.749714707545</v>
      </c>
      <c r="F10" s="979">
        <f>tertiair!E16</f>
        <v>312.81465876275166</v>
      </c>
      <c r="G10" s="979">
        <f ca="1">tertiair!F16</f>
        <v>3816.1516467815713</v>
      </c>
      <c r="H10" s="979">
        <f>tertiair!G16</f>
        <v>0</v>
      </c>
      <c r="I10" s="979">
        <f>tertiair!H16</f>
        <v>0</v>
      </c>
      <c r="J10" s="979">
        <f>tertiair!I16</f>
        <v>0</v>
      </c>
      <c r="K10" s="979">
        <f>tertiair!J16</f>
        <v>8.9037231521841231E-2</v>
      </c>
      <c r="L10" s="979">
        <f>tertiair!K16</f>
        <v>0</v>
      </c>
      <c r="M10" s="979">
        <f ca="1">tertiair!L16</f>
        <v>0</v>
      </c>
      <c r="N10" s="979">
        <f>tertiair!M16</f>
        <v>0</v>
      </c>
      <c r="O10" s="979">
        <f ca="1">tertiair!N16</f>
        <v>3514.3680115953016</v>
      </c>
      <c r="P10" s="979">
        <f>tertiair!O16</f>
        <v>1.5633333333333335</v>
      </c>
      <c r="Q10" s="980">
        <f>tertiair!P16</f>
        <v>38.133333333333333</v>
      </c>
      <c r="R10" s="674">
        <f ca="1">SUM(C10:Q10)</f>
        <v>40196.221409349411</v>
      </c>
      <c r="S10" s="67"/>
    </row>
    <row r="11" spans="1:19" s="447" customFormat="1">
      <c r="A11" s="783" t="s">
        <v>224</v>
      </c>
      <c r="B11" s="788"/>
      <c r="C11" s="979">
        <f>huishoudens!B8</f>
        <v>22025.916716820546</v>
      </c>
      <c r="D11" s="979">
        <f>huishoudens!C8</f>
        <v>0</v>
      </c>
      <c r="E11" s="979">
        <f>huishoudens!D8</f>
        <v>48750.292157022966</v>
      </c>
      <c r="F11" s="979">
        <f>huishoudens!E8</f>
        <v>13773.82273044903</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17485.382000035101</v>
      </c>
      <c r="P11" s="979">
        <f>huishoudens!O8</f>
        <v>173.53000000000003</v>
      </c>
      <c r="Q11" s="980">
        <f>huishoudens!P8</f>
        <v>1029.5999999999999</v>
      </c>
      <c r="R11" s="674">
        <f>SUM(C11:Q11)</f>
        <v>103238.54360432764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13822.532427949725</v>
      </c>
      <c r="D13" s="979">
        <f>industrie!C18</f>
        <v>0</v>
      </c>
      <c r="E13" s="979">
        <f>industrie!D18</f>
        <v>18847.58075553838</v>
      </c>
      <c r="F13" s="979">
        <f>industrie!E18</f>
        <v>1563.2348023504594</v>
      </c>
      <c r="G13" s="979">
        <f>industrie!F18</f>
        <v>4788.351905690186</v>
      </c>
      <c r="H13" s="979">
        <f>industrie!G18</f>
        <v>0</v>
      </c>
      <c r="I13" s="979">
        <f>industrie!H18</f>
        <v>0</v>
      </c>
      <c r="J13" s="979">
        <f>industrie!I18</f>
        <v>0</v>
      </c>
      <c r="K13" s="979">
        <f>industrie!J18</f>
        <v>33.570317151529537</v>
      </c>
      <c r="L13" s="979">
        <f>industrie!K18</f>
        <v>0</v>
      </c>
      <c r="M13" s="979">
        <f>industrie!L18</f>
        <v>0</v>
      </c>
      <c r="N13" s="979">
        <f>industrie!M18</f>
        <v>0</v>
      </c>
      <c r="O13" s="979">
        <f>industrie!N18</f>
        <v>969.81752967605939</v>
      </c>
      <c r="P13" s="979">
        <f>industrie!O18</f>
        <v>0</v>
      </c>
      <c r="Q13" s="980">
        <f>industrie!P18</f>
        <v>0</v>
      </c>
      <c r="R13" s="674">
        <f>SUM(C13:Q13)</f>
        <v>40025.087738356335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57097.800818374337</v>
      </c>
      <c r="D16" s="706">
        <f t="shared" ref="D16:R16" ca="1" si="0">SUM(D9:D15)</f>
        <v>0</v>
      </c>
      <c r="E16" s="706">
        <f t="shared" ca="1" si="0"/>
        <v>78861.622627268895</v>
      </c>
      <c r="F16" s="706">
        <f t="shared" si="0"/>
        <v>15649.872191562243</v>
      </c>
      <c r="G16" s="706">
        <f t="shared" ca="1" si="0"/>
        <v>8604.5035524717568</v>
      </c>
      <c r="H16" s="706">
        <f t="shared" si="0"/>
        <v>0</v>
      </c>
      <c r="I16" s="706">
        <f t="shared" si="0"/>
        <v>0</v>
      </c>
      <c r="J16" s="706">
        <f t="shared" si="0"/>
        <v>0</v>
      </c>
      <c r="K16" s="706">
        <f t="shared" si="0"/>
        <v>33.65935438305138</v>
      </c>
      <c r="L16" s="706">
        <f t="shared" si="0"/>
        <v>0</v>
      </c>
      <c r="M16" s="706">
        <f t="shared" ca="1" si="0"/>
        <v>0</v>
      </c>
      <c r="N16" s="706">
        <f t="shared" si="0"/>
        <v>0</v>
      </c>
      <c r="O16" s="706">
        <f t="shared" ca="1" si="0"/>
        <v>21969.567541306464</v>
      </c>
      <c r="P16" s="706">
        <f t="shared" si="0"/>
        <v>175.09333333333336</v>
      </c>
      <c r="Q16" s="706">
        <f t="shared" si="0"/>
        <v>1067.7333333333333</v>
      </c>
      <c r="R16" s="706">
        <f t="shared" ca="1" si="0"/>
        <v>183459.85275203339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1309.1817187158856</v>
      </c>
      <c r="I19" s="979">
        <f>transport!H54</f>
        <v>0</v>
      </c>
      <c r="J19" s="979">
        <f>transport!I54</f>
        <v>0</v>
      </c>
      <c r="K19" s="979">
        <f>transport!J54</f>
        <v>0</v>
      </c>
      <c r="L19" s="979">
        <f>transport!K54</f>
        <v>0</v>
      </c>
      <c r="M19" s="979">
        <f>transport!L54</f>
        <v>0</v>
      </c>
      <c r="N19" s="979">
        <f>transport!M54</f>
        <v>74.350125371148891</v>
      </c>
      <c r="O19" s="979">
        <f>transport!N54</f>
        <v>0</v>
      </c>
      <c r="P19" s="979">
        <f>transport!O54</f>
        <v>0</v>
      </c>
      <c r="Q19" s="980">
        <f>transport!P54</f>
        <v>0</v>
      </c>
      <c r="R19" s="674">
        <f>SUM(C19:Q19)</f>
        <v>1383.5318440870344</v>
      </c>
      <c r="S19" s="67"/>
    </row>
    <row r="20" spans="1:19" s="447" customFormat="1">
      <c r="A20" s="783" t="s">
        <v>306</v>
      </c>
      <c r="B20" s="788"/>
      <c r="C20" s="979">
        <f>transport!B14</f>
        <v>19.132062105264751</v>
      </c>
      <c r="D20" s="979">
        <f>transport!C14</f>
        <v>0</v>
      </c>
      <c r="E20" s="979">
        <f>transport!D14</f>
        <v>52.616669175946171</v>
      </c>
      <c r="F20" s="979">
        <f>transport!E14</f>
        <v>89.228558729313022</v>
      </c>
      <c r="G20" s="979">
        <f>transport!F14</f>
        <v>0</v>
      </c>
      <c r="H20" s="979">
        <f>transport!G14</f>
        <v>43143.791334976726</v>
      </c>
      <c r="I20" s="979">
        <f>transport!H14</f>
        <v>8892.4526379737872</v>
      </c>
      <c r="J20" s="979">
        <f>transport!I14</f>
        <v>0</v>
      </c>
      <c r="K20" s="979">
        <f>transport!J14</f>
        <v>0</v>
      </c>
      <c r="L20" s="979">
        <f>transport!K14</f>
        <v>0</v>
      </c>
      <c r="M20" s="979">
        <f>transport!L14</f>
        <v>0</v>
      </c>
      <c r="N20" s="979">
        <f>transport!M14</f>
        <v>2782.4907163371477</v>
      </c>
      <c r="O20" s="979">
        <f>transport!N14</f>
        <v>0</v>
      </c>
      <c r="P20" s="979">
        <f>transport!O14</f>
        <v>0</v>
      </c>
      <c r="Q20" s="980">
        <f>transport!P14</f>
        <v>0</v>
      </c>
      <c r="R20" s="674">
        <f>SUM(C20:Q20)</f>
        <v>54979.711979298183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19.132062105264751</v>
      </c>
      <c r="D22" s="786">
        <f t="shared" ref="D22:R22" si="1">SUM(D18:D21)</f>
        <v>0</v>
      </c>
      <c r="E22" s="786">
        <f t="shared" si="1"/>
        <v>52.616669175946171</v>
      </c>
      <c r="F22" s="786">
        <f t="shared" si="1"/>
        <v>89.228558729313022</v>
      </c>
      <c r="G22" s="786">
        <f t="shared" si="1"/>
        <v>0</v>
      </c>
      <c r="H22" s="786">
        <f t="shared" si="1"/>
        <v>44452.973053692614</v>
      </c>
      <c r="I22" s="786">
        <f t="shared" si="1"/>
        <v>8892.4526379737872</v>
      </c>
      <c r="J22" s="786">
        <f t="shared" si="1"/>
        <v>0</v>
      </c>
      <c r="K22" s="786">
        <f t="shared" si="1"/>
        <v>0</v>
      </c>
      <c r="L22" s="786">
        <f t="shared" si="1"/>
        <v>0</v>
      </c>
      <c r="M22" s="786">
        <f t="shared" si="1"/>
        <v>0</v>
      </c>
      <c r="N22" s="786">
        <f t="shared" si="1"/>
        <v>2856.8408417082965</v>
      </c>
      <c r="O22" s="786">
        <f t="shared" si="1"/>
        <v>0</v>
      </c>
      <c r="P22" s="786">
        <f t="shared" si="1"/>
        <v>0</v>
      </c>
      <c r="Q22" s="786">
        <f t="shared" si="1"/>
        <v>0</v>
      </c>
      <c r="R22" s="786">
        <f t="shared" si="1"/>
        <v>56363.243823385215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5709.038992562093</v>
      </c>
      <c r="D24" s="979">
        <f>+landbouw!C8</f>
        <v>192922.07142857142</v>
      </c>
      <c r="E24" s="979">
        <f>+landbouw!D8</f>
        <v>0</v>
      </c>
      <c r="F24" s="979">
        <f>+landbouw!E8</f>
        <v>167.80609340913611</v>
      </c>
      <c r="G24" s="979">
        <f>+landbouw!F8</f>
        <v>23783.547942738984</v>
      </c>
      <c r="H24" s="979">
        <f>+landbouw!G8</f>
        <v>0</v>
      </c>
      <c r="I24" s="979">
        <f>+landbouw!H8</f>
        <v>0</v>
      </c>
      <c r="J24" s="979">
        <f>+landbouw!I8</f>
        <v>0</v>
      </c>
      <c r="K24" s="979">
        <f>+landbouw!J8</f>
        <v>827.11714700645916</v>
      </c>
      <c r="L24" s="979">
        <f>+landbouw!K8</f>
        <v>0</v>
      </c>
      <c r="M24" s="979">
        <f>+landbouw!L8</f>
        <v>0</v>
      </c>
      <c r="N24" s="979">
        <f>+landbouw!M8</f>
        <v>0</v>
      </c>
      <c r="O24" s="979">
        <f>+landbouw!N8</f>
        <v>0</v>
      </c>
      <c r="P24" s="979">
        <f>+landbouw!O8</f>
        <v>0</v>
      </c>
      <c r="Q24" s="980">
        <f>+landbouw!P8</f>
        <v>0</v>
      </c>
      <c r="R24" s="674">
        <f>SUM(C24:Q24)</f>
        <v>223409.58160428811</v>
      </c>
      <c r="S24" s="67"/>
    </row>
    <row r="25" spans="1:19" s="447" customFormat="1" ht="15" thickBot="1">
      <c r="A25" s="805" t="s">
        <v>823</v>
      </c>
      <c r="B25" s="982"/>
      <c r="C25" s="983">
        <f>IF(Onbekend_ele_kWh="---",0,Onbekend_ele_kWh)/1000+IF(REST_rest_ele_kWh="---",0,REST_rest_ele_kWh)/1000</f>
        <v>664.47571711454907</v>
      </c>
      <c r="D25" s="983"/>
      <c r="E25" s="983">
        <f>IF(onbekend_gas_kWh="---",0,onbekend_gas_kWh)/1000+IF(REST_rest_gas_kWh="---",0,REST_rest_gas_kWh)/1000</f>
        <v>881.28697753934705</v>
      </c>
      <c r="F25" s="983"/>
      <c r="G25" s="983"/>
      <c r="H25" s="983"/>
      <c r="I25" s="983"/>
      <c r="J25" s="983"/>
      <c r="K25" s="983"/>
      <c r="L25" s="983"/>
      <c r="M25" s="983"/>
      <c r="N25" s="983"/>
      <c r="O25" s="983"/>
      <c r="P25" s="983"/>
      <c r="Q25" s="984"/>
      <c r="R25" s="674">
        <f>SUM(C25:Q25)</f>
        <v>1545.7626946538962</v>
      </c>
      <c r="S25" s="67"/>
    </row>
    <row r="26" spans="1:19" s="447" customFormat="1" ht="15.75" thickBot="1">
      <c r="A26" s="679" t="s">
        <v>824</v>
      </c>
      <c r="B26" s="791"/>
      <c r="C26" s="786">
        <f>SUM(C24:C25)</f>
        <v>6373.5147096766423</v>
      </c>
      <c r="D26" s="786">
        <f t="shared" ref="D26:R26" si="2">SUM(D24:D25)</f>
        <v>192922.07142857142</v>
      </c>
      <c r="E26" s="786">
        <f t="shared" si="2"/>
        <v>881.28697753934705</v>
      </c>
      <c r="F26" s="786">
        <f t="shared" si="2"/>
        <v>167.80609340913611</v>
      </c>
      <c r="G26" s="786">
        <f t="shared" si="2"/>
        <v>23783.547942738984</v>
      </c>
      <c r="H26" s="786">
        <f t="shared" si="2"/>
        <v>0</v>
      </c>
      <c r="I26" s="786">
        <f t="shared" si="2"/>
        <v>0</v>
      </c>
      <c r="J26" s="786">
        <f t="shared" si="2"/>
        <v>0</v>
      </c>
      <c r="K26" s="786">
        <f t="shared" si="2"/>
        <v>827.11714700645916</v>
      </c>
      <c r="L26" s="786">
        <f t="shared" si="2"/>
        <v>0</v>
      </c>
      <c r="M26" s="786">
        <f t="shared" si="2"/>
        <v>0</v>
      </c>
      <c r="N26" s="786">
        <f t="shared" si="2"/>
        <v>0</v>
      </c>
      <c r="O26" s="786">
        <f t="shared" si="2"/>
        <v>0</v>
      </c>
      <c r="P26" s="786">
        <f t="shared" si="2"/>
        <v>0</v>
      </c>
      <c r="Q26" s="786">
        <f t="shared" si="2"/>
        <v>0</v>
      </c>
      <c r="R26" s="786">
        <f t="shared" si="2"/>
        <v>224955.34429894201</v>
      </c>
      <c r="S26" s="67"/>
    </row>
    <row r="27" spans="1:19" s="447" customFormat="1" ht="17.25" thickTop="1" thickBot="1">
      <c r="A27" s="680" t="s">
        <v>115</v>
      </c>
      <c r="B27" s="779"/>
      <c r="C27" s="681">
        <f ca="1">C22+C16+C26</f>
        <v>63490.447590156247</v>
      </c>
      <c r="D27" s="681">
        <f t="shared" ref="D27:R27" ca="1" si="3">D22+D16+D26</f>
        <v>192922.07142857142</v>
      </c>
      <c r="E27" s="681">
        <f t="shared" ca="1" si="3"/>
        <v>79795.526273984186</v>
      </c>
      <c r="F27" s="681">
        <f t="shared" si="3"/>
        <v>15906.906843700692</v>
      </c>
      <c r="G27" s="681">
        <f t="shared" ca="1" si="3"/>
        <v>32388.051495210741</v>
      </c>
      <c r="H27" s="681">
        <f t="shared" si="3"/>
        <v>44452.973053692614</v>
      </c>
      <c r="I27" s="681">
        <f t="shared" si="3"/>
        <v>8892.4526379737872</v>
      </c>
      <c r="J27" s="681">
        <f t="shared" si="3"/>
        <v>0</v>
      </c>
      <c r="K27" s="681">
        <f t="shared" si="3"/>
        <v>860.77650138951049</v>
      </c>
      <c r="L27" s="681">
        <f t="shared" si="3"/>
        <v>0</v>
      </c>
      <c r="M27" s="681">
        <f t="shared" ca="1" si="3"/>
        <v>0</v>
      </c>
      <c r="N27" s="681">
        <f t="shared" si="3"/>
        <v>2856.8408417082965</v>
      </c>
      <c r="O27" s="681">
        <f t="shared" ca="1" si="3"/>
        <v>21969.567541306464</v>
      </c>
      <c r="P27" s="681">
        <f t="shared" si="3"/>
        <v>175.09333333333336</v>
      </c>
      <c r="Q27" s="681">
        <f t="shared" si="3"/>
        <v>1067.7333333333333</v>
      </c>
      <c r="R27" s="681">
        <f t="shared" ca="1" si="3"/>
        <v>464778.44087436062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4398.0440314877096</v>
      </c>
      <c r="D40" s="979">
        <f ca="1">tertiair!C20</f>
        <v>0</v>
      </c>
      <c r="E40" s="979">
        <f ca="1">tertiair!D20</f>
        <v>2275.2774423709243</v>
      </c>
      <c r="F40" s="979">
        <f>tertiair!E20</f>
        <v>71.008927539144636</v>
      </c>
      <c r="G40" s="979">
        <f ca="1">tertiair!F20</f>
        <v>1018.9124896906796</v>
      </c>
      <c r="H40" s="979">
        <f>tertiair!G20</f>
        <v>0</v>
      </c>
      <c r="I40" s="979">
        <f>tertiair!H20</f>
        <v>0</v>
      </c>
      <c r="J40" s="979">
        <f>tertiair!I20</f>
        <v>0</v>
      </c>
      <c r="K40" s="979">
        <f>tertiair!J20</f>
        <v>3.1519179958731797E-2</v>
      </c>
      <c r="L40" s="979">
        <f>tertiair!K20</f>
        <v>0</v>
      </c>
      <c r="M40" s="979">
        <f ca="1">tertiair!L20</f>
        <v>0</v>
      </c>
      <c r="N40" s="979">
        <f>tertiair!M20</f>
        <v>0</v>
      </c>
      <c r="O40" s="979">
        <f ca="1">tertiair!N20</f>
        <v>0</v>
      </c>
      <c r="P40" s="979">
        <f>tertiair!O20</f>
        <v>0</v>
      </c>
      <c r="Q40" s="748">
        <f>tertiair!P20</f>
        <v>0</v>
      </c>
      <c r="R40" s="824">
        <f t="shared" ca="1" si="4"/>
        <v>7763.2744102684173</v>
      </c>
    </row>
    <row r="41" spans="1:18">
      <c r="A41" s="796" t="s">
        <v>224</v>
      </c>
      <c r="B41" s="803"/>
      <c r="C41" s="979">
        <f ca="1">huishoudens!B12</f>
        <v>4558.7721000820484</v>
      </c>
      <c r="D41" s="979">
        <f ca="1">huishoudens!C12</f>
        <v>0</v>
      </c>
      <c r="E41" s="979">
        <f>huishoudens!D12</f>
        <v>9847.5590157186398</v>
      </c>
      <c r="F41" s="979">
        <f>huishoudens!E12</f>
        <v>3126.6577598119297</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17532.988875612617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2860.8922840834507</v>
      </c>
      <c r="D43" s="979">
        <f ca="1">industrie!C22</f>
        <v>0</v>
      </c>
      <c r="E43" s="979">
        <f>industrie!D22</f>
        <v>3807.2113126187528</v>
      </c>
      <c r="F43" s="979">
        <f>industrie!E22</f>
        <v>354.85430013355432</v>
      </c>
      <c r="G43" s="979">
        <f>industrie!F22</f>
        <v>1278.4899588192798</v>
      </c>
      <c r="H43" s="979">
        <f>industrie!G22</f>
        <v>0</v>
      </c>
      <c r="I43" s="979">
        <f>industrie!H22</f>
        <v>0</v>
      </c>
      <c r="J43" s="979">
        <f>industrie!I22</f>
        <v>0</v>
      </c>
      <c r="K43" s="979">
        <f>industrie!J22</f>
        <v>11.883892271641455</v>
      </c>
      <c r="L43" s="979">
        <f>industrie!K22</f>
        <v>0</v>
      </c>
      <c r="M43" s="979">
        <f>industrie!L22</f>
        <v>0</v>
      </c>
      <c r="N43" s="979">
        <f>industrie!M22</f>
        <v>0</v>
      </c>
      <c r="O43" s="979">
        <f>industrie!N22</f>
        <v>0</v>
      </c>
      <c r="P43" s="979">
        <f>industrie!O22</f>
        <v>0</v>
      </c>
      <c r="Q43" s="748">
        <f>industrie!P22</f>
        <v>0</v>
      </c>
      <c r="R43" s="823">
        <f t="shared" ca="1" si="4"/>
        <v>8313.3317479266807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11817.708415653209</v>
      </c>
      <c r="D46" s="706">
        <f t="shared" ref="D46:Q46" ca="1" si="5">SUM(D39:D45)</f>
        <v>0</v>
      </c>
      <c r="E46" s="706">
        <f t="shared" ca="1" si="5"/>
        <v>15930.047770708317</v>
      </c>
      <c r="F46" s="706">
        <f t="shared" si="5"/>
        <v>3552.5209874846287</v>
      </c>
      <c r="G46" s="706">
        <f t="shared" ca="1" si="5"/>
        <v>2297.4024485099594</v>
      </c>
      <c r="H46" s="706">
        <f t="shared" si="5"/>
        <v>0</v>
      </c>
      <c r="I46" s="706">
        <f t="shared" si="5"/>
        <v>0</v>
      </c>
      <c r="J46" s="706">
        <f t="shared" si="5"/>
        <v>0</v>
      </c>
      <c r="K46" s="706">
        <f t="shared" si="5"/>
        <v>11.915411451600187</v>
      </c>
      <c r="L46" s="706">
        <f t="shared" si="5"/>
        <v>0</v>
      </c>
      <c r="M46" s="706">
        <f t="shared" ca="1" si="5"/>
        <v>0</v>
      </c>
      <c r="N46" s="706">
        <f t="shared" si="5"/>
        <v>0</v>
      </c>
      <c r="O46" s="706">
        <f t="shared" ca="1" si="5"/>
        <v>0</v>
      </c>
      <c r="P46" s="706">
        <f t="shared" si="5"/>
        <v>0</v>
      </c>
      <c r="Q46" s="706">
        <f t="shared" si="5"/>
        <v>0</v>
      </c>
      <c r="R46" s="706">
        <f ca="1">SUM(R39:R45)</f>
        <v>33609.595033807709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349.55151889714148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349.55151889714148</v>
      </c>
    </row>
    <row r="50" spans="1:18">
      <c r="A50" s="799" t="s">
        <v>306</v>
      </c>
      <c r="B50" s="809"/>
      <c r="C50" s="677">
        <f ca="1">transport!B18</f>
        <v>3.9598220616130635</v>
      </c>
      <c r="D50" s="677">
        <f>transport!C18</f>
        <v>0</v>
      </c>
      <c r="E50" s="677">
        <f>transport!D18</f>
        <v>10.628567173541127</v>
      </c>
      <c r="F50" s="677">
        <f>transport!E18</f>
        <v>20.254882831554056</v>
      </c>
      <c r="G50" s="677">
        <f>transport!F18</f>
        <v>0</v>
      </c>
      <c r="H50" s="677">
        <f>transport!G18</f>
        <v>11519.392286438786</v>
      </c>
      <c r="I50" s="677">
        <f>transport!H18</f>
        <v>2214.2207068554731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13768.456265360966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3.9598220616130635</v>
      </c>
      <c r="D52" s="706">
        <f t="shared" ref="D52:Q52" ca="1" si="6">SUM(D48:D51)</f>
        <v>0</v>
      </c>
      <c r="E52" s="706">
        <f t="shared" si="6"/>
        <v>10.628567173541127</v>
      </c>
      <c r="F52" s="706">
        <f t="shared" si="6"/>
        <v>20.254882831554056</v>
      </c>
      <c r="G52" s="706">
        <f t="shared" si="6"/>
        <v>0</v>
      </c>
      <c r="H52" s="706">
        <f t="shared" si="6"/>
        <v>11868.943805335928</v>
      </c>
      <c r="I52" s="706">
        <f t="shared" si="6"/>
        <v>2214.2207068554731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14118.007784258109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1181.6174560261161</v>
      </c>
      <c r="D54" s="677">
        <f ca="1">+landbouw!C12</f>
        <v>41364.847058823536</v>
      </c>
      <c r="E54" s="677">
        <f>+landbouw!D12</f>
        <v>0</v>
      </c>
      <c r="F54" s="677">
        <f>+landbouw!E12</f>
        <v>38.091983203873902</v>
      </c>
      <c r="G54" s="677">
        <f>+landbouw!F12</f>
        <v>6350.2073007113086</v>
      </c>
      <c r="H54" s="677">
        <f>+landbouw!G12</f>
        <v>0</v>
      </c>
      <c r="I54" s="677">
        <f>+landbouw!H12</f>
        <v>0</v>
      </c>
      <c r="J54" s="677">
        <f>+landbouw!I12</f>
        <v>0</v>
      </c>
      <c r="K54" s="677">
        <f>+landbouw!J12</f>
        <v>292.79947004028651</v>
      </c>
      <c r="L54" s="677">
        <f>+landbouw!K12</f>
        <v>0</v>
      </c>
      <c r="M54" s="677">
        <f>+landbouw!L12</f>
        <v>0</v>
      </c>
      <c r="N54" s="677">
        <f>+landbouw!M12</f>
        <v>0</v>
      </c>
      <c r="O54" s="677">
        <f>+landbouw!N12</f>
        <v>0</v>
      </c>
      <c r="P54" s="677">
        <f>+landbouw!O12</f>
        <v>0</v>
      </c>
      <c r="Q54" s="678">
        <f>+landbouw!P12</f>
        <v>0</v>
      </c>
      <c r="R54" s="705">
        <f ca="1">SUM(C54:Q54)</f>
        <v>49227.563268805112</v>
      </c>
    </row>
    <row r="55" spans="1:18" ht="15" thickBot="1">
      <c r="A55" s="799" t="s">
        <v>823</v>
      </c>
      <c r="B55" s="809"/>
      <c r="C55" s="677">
        <f ca="1">C25*'EF ele_warmte'!B12</f>
        <v>137.52859412432593</v>
      </c>
      <c r="D55" s="677"/>
      <c r="E55" s="677">
        <f>E25*EF_CO2_aardgas</f>
        <v>178.01996946294813</v>
      </c>
      <c r="F55" s="677"/>
      <c r="G55" s="677"/>
      <c r="H55" s="677"/>
      <c r="I55" s="677"/>
      <c r="J55" s="677"/>
      <c r="K55" s="677"/>
      <c r="L55" s="677"/>
      <c r="M55" s="677"/>
      <c r="N55" s="677"/>
      <c r="O55" s="677"/>
      <c r="P55" s="677"/>
      <c r="Q55" s="678"/>
      <c r="R55" s="705">
        <f ca="1">SUM(C55:Q55)</f>
        <v>315.54856358727409</v>
      </c>
    </row>
    <row r="56" spans="1:18" ht="15.75" thickBot="1">
      <c r="A56" s="797" t="s">
        <v>824</v>
      </c>
      <c r="B56" s="810"/>
      <c r="C56" s="706">
        <f ca="1">SUM(C54:C55)</f>
        <v>1319.1460501504421</v>
      </c>
      <c r="D56" s="706">
        <f t="shared" ref="D56:Q56" ca="1" si="7">SUM(D54:D55)</f>
        <v>41364.847058823536</v>
      </c>
      <c r="E56" s="706">
        <f t="shared" si="7"/>
        <v>178.01996946294813</v>
      </c>
      <c r="F56" s="706">
        <f t="shared" si="7"/>
        <v>38.091983203873902</v>
      </c>
      <c r="G56" s="706">
        <f t="shared" si="7"/>
        <v>6350.2073007113086</v>
      </c>
      <c r="H56" s="706">
        <f t="shared" si="7"/>
        <v>0</v>
      </c>
      <c r="I56" s="706">
        <f t="shared" si="7"/>
        <v>0</v>
      </c>
      <c r="J56" s="706">
        <f t="shared" si="7"/>
        <v>0</v>
      </c>
      <c r="K56" s="706">
        <f t="shared" si="7"/>
        <v>292.79947004028651</v>
      </c>
      <c r="L56" s="706">
        <f t="shared" si="7"/>
        <v>0</v>
      </c>
      <c r="M56" s="706">
        <f t="shared" si="7"/>
        <v>0</v>
      </c>
      <c r="N56" s="706">
        <f t="shared" si="7"/>
        <v>0</v>
      </c>
      <c r="O56" s="706">
        <f t="shared" si="7"/>
        <v>0</v>
      </c>
      <c r="P56" s="706">
        <f t="shared" si="7"/>
        <v>0</v>
      </c>
      <c r="Q56" s="707">
        <f t="shared" si="7"/>
        <v>0</v>
      </c>
      <c r="R56" s="708">
        <f ca="1">SUM(R54:R55)</f>
        <v>49543.111832392387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13140.814287865265</v>
      </c>
      <c r="D61" s="714">
        <f t="shared" ref="D61:Q61" ca="1" si="8">D46+D52+D56</f>
        <v>41364.847058823536</v>
      </c>
      <c r="E61" s="714">
        <f t="shared" ca="1" si="8"/>
        <v>16118.696307344806</v>
      </c>
      <c r="F61" s="714">
        <f t="shared" si="8"/>
        <v>3610.8678535200565</v>
      </c>
      <c r="G61" s="714">
        <f t="shared" ca="1" si="8"/>
        <v>8647.6097492212684</v>
      </c>
      <c r="H61" s="714">
        <f t="shared" si="8"/>
        <v>11868.943805335928</v>
      </c>
      <c r="I61" s="714">
        <f t="shared" si="8"/>
        <v>2214.2207068554731</v>
      </c>
      <c r="J61" s="714">
        <f t="shared" si="8"/>
        <v>0</v>
      </c>
      <c r="K61" s="714">
        <f t="shared" si="8"/>
        <v>304.71488149188667</v>
      </c>
      <c r="L61" s="714">
        <f t="shared" si="8"/>
        <v>0</v>
      </c>
      <c r="M61" s="714">
        <f t="shared" ca="1" si="8"/>
        <v>0</v>
      </c>
      <c r="N61" s="714">
        <f t="shared" si="8"/>
        <v>0</v>
      </c>
      <c r="O61" s="714">
        <f t="shared" ca="1" si="8"/>
        <v>0</v>
      </c>
      <c r="P61" s="714">
        <f t="shared" si="8"/>
        <v>0</v>
      </c>
      <c r="Q61" s="714">
        <f t="shared" si="8"/>
        <v>0</v>
      </c>
      <c r="R61" s="714">
        <f ca="1">R46+R52+R56</f>
        <v>97270.714650458205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0.20697309259326527</v>
      </c>
      <c r="D63" s="755">
        <f t="shared" ca="1" si="9"/>
        <v>0.21441220671393577</v>
      </c>
      <c r="E63" s="990">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4853.8604774173509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13203.449999999995</v>
      </c>
      <c r="C76" s="724">
        <f>'lokale energieproductie'!B8*IFERROR(SUM(D76:H76)/SUM(D76:O76),0)</f>
        <v>121841.99999999999</v>
      </c>
      <c r="D76" s="1000">
        <f>'lokale energieproductie'!C8</f>
        <v>143343.5294117647</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15533.47058823529</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28955.392941176469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18057.310477417348</v>
      </c>
      <c r="C78" s="729">
        <f>SUM(C72:C77)</f>
        <v>121841.99999999999</v>
      </c>
      <c r="D78" s="730">
        <f t="shared" ref="D78:H78" si="10">SUM(D76:D77)</f>
        <v>143343.5294117647</v>
      </c>
      <c r="E78" s="730">
        <f t="shared" si="10"/>
        <v>0</v>
      </c>
      <c r="F78" s="730">
        <f t="shared" si="10"/>
        <v>0</v>
      </c>
      <c r="G78" s="730">
        <f t="shared" si="10"/>
        <v>0</v>
      </c>
      <c r="H78" s="730">
        <f t="shared" si="10"/>
        <v>0</v>
      </c>
      <c r="I78" s="730">
        <f>SUM(I76:I77)</f>
        <v>0</v>
      </c>
      <c r="J78" s="730">
        <f>SUM(J76:J77)</f>
        <v>15533.47058823529</v>
      </c>
      <c r="K78" s="730">
        <f t="shared" ref="K78:L78" si="11">SUM(K76:K77)</f>
        <v>0</v>
      </c>
      <c r="L78" s="730">
        <f t="shared" si="11"/>
        <v>0</v>
      </c>
      <c r="M78" s="730">
        <f>SUM(M76:M77)</f>
        <v>0</v>
      </c>
      <c r="N78" s="730">
        <f>SUM(N76:N77)</f>
        <v>0</v>
      </c>
      <c r="O78" s="834">
        <f>SUM(O76:O77)</f>
        <v>0</v>
      </c>
      <c r="P78" s="731">
        <v>0</v>
      </c>
      <c r="Q78" s="731">
        <f>SUM(Q76:Q77)</f>
        <v>28955.392941176469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18862.071428571424</v>
      </c>
      <c r="C87" s="740">
        <f>'lokale energieproductie'!B17*IFERROR(SUM(D87:H87)/SUM(D87:O87),0)</f>
        <v>174060</v>
      </c>
      <c r="D87" s="751">
        <f>'lokale energieproductie'!C17</f>
        <v>204776.47058823533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22190.672268907561</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41364.847058823536</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18862.071428571424</v>
      </c>
      <c r="C90" s="729">
        <f>SUM(C87:C89)</f>
        <v>174060</v>
      </c>
      <c r="D90" s="729">
        <f t="shared" ref="D90:H90" si="12">SUM(D87:D89)</f>
        <v>204776.47058823533</v>
      </c>
      <c r="E90" s="729">
        <f t="shared" si="12"/>
        <v>0</v>
      </c>
      <c r="F90" s="729">
        <f t="shared" si="12"/>
        <v>0</v>
      </c>
      <c r="G90" s="729">
        <f t="shared" si="12"/>
        <v>0</v>
      </c>
      <c r="H90" s="729">
        <f t="shared" si="12"/>
        <v>0</v>
      </c>
      <c r="I90" s="729">
        <f>SUM(I87:I89)</f>
        <v>0</v>
      </c>
      <c r="J90" s="729">
        <f>SUM(J87:J89)</f>
        <v>22190.672268907561</v>
      </c>
      <c r="K90" s="729">
        <f t="shared" ref="K90:L90" si="13">SUM(K87:K89)</f>
        <v>0</v>
      </c>
      <c r="L90" s="729">
        <f t="shared" si="13"/>
        <v>0</v>
      </c>
      <c r="M90" s="729">
        <f>SUM(M87:M89)</f>
        <v>0</v>
      </c>
      <c r="N90" s="729">
        <f>SUM(N87:N89)</f>
        <v>0</v>
      </c>
      <c r="O90" s="729">
        <f>SUM(O87:O89)</f>
        <v>0</v>
      </c>
      <c r="P90" s="729">
        <v>0</v>
      </c>
      <c r="Q90" s="729">
        <f>SUM(Q87:Q89)</f>
        <v>41364.847058823536</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22025.916716820546</v>
      </c>
      <c r="C4" s="451">
        <f>huishoudens!C8</f>
        <v>0</v>
      </c>
      <c r="D4" s="451">
        <f>huishoudens!D8</f>
        <v>48750.292157022966</v>
      </c>
      <c r="E4" s="451">
        <f>huishoudens!E8</f>
        <v>13773.82273044903</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17485.382000035101</v>
      </c>
      <c r="O4" s="451">
        <f>huishoudens!O8</f>
        <v>173.53000000000003</v>
      </c>
      <c r="P4" s="452">
        <f>huishoudens!P8</f>
        <v>1029.5999999999999</v>
      </c>
      <c r="Q4" s="453">
        <f>SUM(B4:P4)</f>
        <v>103238.54360432764</v>
      </c>
    </row>
    <row r="5" spans="1:17">
      <c r="A5" s="450" t="s">
        <v>155</v>
      </c>
      <c r="B5" s="451">
        <f ca="1">tertiair!B16</f>
        <v>20702.024673604057</v>
      </c>
      <c r="C5" s="451">
        <f ca="1">tertiair!C16</f>
        <v>0</v>
      </c>
      <c r="D5" s="451">
        <f ca="1">tertiair!D16</f>
        <v>11263.749714707545</v>
      </c>
      <c r="E5" s="451">
        <f>tertiair!E16</f>
        <v>312.81465876275166</v>
      </c>
      <c r="F5" s="451">
        <f ca="1">tertiair!F16</f>
        <v>3816.1516467815713</v>
      </c>
      <c r="G5" s="451">
        <f>tertiair!G16</f>
        <v>0</v>
      </c>
      <c r="H5" s="451">
        <f>tertiair!H16</f>
        <v>0</v>
      </c>
      <c r="I5" s="451">
        <f>tertiair!I16</f>
        <v>0</v>
      </c>
      <c r="J5" s="451">
        <f>tertiair!J16</f>
        <v>8.9037231521841231E-2</v>
      </c>
      <c r="K5" s="451">
        <f>tertiair!K16</f>
        <v>0</v>
      </c>
      <c r="L5" s="451">
        <f ca="1">tertiair!L16</f>
        <v>0</v>
      </c>
      <c r="M5" s="451">
        <f>tertiair!M16</f>
        <v>0</v>
      </c>
      <c r="N5" s="451">
        <f ca="1">tertiair!N16</f>
        <v>3514.3680115953016</v>
      </c>
      <c r="O5" s="451">
        <f>tertiair!O16</f>
        <v>1.5633333333333335</v>
      </c>
      <c r="P5" s="452">
        <f>tertiair!P16</f>
        <v>38.133333333333333</v>
      </c>
      <c r="Q5" s="450">
        <f t="shared" ref="Q5:Q14" ca="1" si="0">SUM(B5:P5)</f>
        <v>39648.894409349414</v>
      </c>
    </row>
    <row r="6" spans="1:17">
      <c r="A6" s="450" t="s">
        <v>193</v>
      </c>
      <c r="B6" s="451">
        <f>'openbare verlichting'!B8</f>
        <v>547.327</v>
      </c>
      <c r="C6" s="451"/>
      <c r="D6" s="451"/>
      <c r="E6" s="451"/>
      <c r="F6" s="451"/>
      <c r="G6" s="451"/>
      <c r="H6" s="451"/>
      <c r="I6" s="451"/>
      <c r="J6" s="451"/>
      <c r="K6" s="451"/>
      <c r="L6" s="451"/>
      <c r="M6" s="451"/>
      <c r="N6" s="451"/>
      <c r="O6" s="451"/>
      <c r="P6" s="452"/>
      <c r="Q6" s="450">
        <f t="shared" si="0"/>
        <v>547.327</v>
      </c>
    </row>
    <row r="7" spans="1:17">
      <c r="A7" s="450" t="s">
        <v>111</v>
      </c>
      <c r="B7" s="451">
        <f>landbouw!B8</f>
        <v>5709.038992562093</v>
      </c>
      <c r="C7" s="451">
        <f>landbouw!C8</f>
        <v>192922.07142857142</v>
      </c>
      <c r="D7" s="451">
        <f>landbouw!D8</f>
        <v>0</v>
      </c>
      <c r="E7" s="451">
        <f>landbouw!E8</f>
        <v>167.80609340913611</v>
      </c>
      <c r="F7" s="451">
        <f>landbouw!F8</f>
        <v>23783.547942738984</v>
      </c>
      <c r="G7" s="451">
        <f>landbouw!G8</f>
        <v>0</v>
      </c>
      <c r="H7" s="451">
        <f>landbouw!H8</f>
        <v>0</v>
      </c>
      <c r="I7" s="451">
        <f>landbouw!I8</f>
        <v>0</v>
      </c>
      <c r="J7" s="451">
        <f>landbouw!J8</f>
        <v>827.11714700645916</v>
      </c>
      <c r="K7" s="451">
        <f>landbouw!K8</f>
        <v>0</v>
      </c>
      <c r="L7" s="451">
        <f>landbouw!L8</f>
        <v>0</v>
      </c>
      <c r="M7" s="451">
        <f>landbouw!M8</f>
        <v>0</v>
      </c>
      <c r="N7" s="451">
        <f>landbouw!N8</f>
        <v>0</v>
      </c>
      <c r="O7" s="451">
        <f>landbouw!O8</f>
        <v>0</v>
      </c>
      <c r="P7" s="452">
        <f>landbouw!P8</f>
        <v>0</v>
      </c>
      <c r="Q7" s="450">
        <f t="shared" si="0"/>
        <v>223409.58160428811</v>
      </c>
    </row>
    <row r="8" spans="1:17">
      <c r="A8" s="450" t="s">
        <v>634</v>
      </c>
      <c r="B8" s="451">
        <f>industrie!B18</f>
        <v>13822.532427949725</v>
      </c>
      <c r="C8" s="451">
        <f>industrie!C18</f>
        <v>0</v>
      </c>
      <c r="D8" s="451">
        <f>industrie!D18</f>
        <v>18847.58075553838</v>
      </c>
      <c r="E8" s="451">
        <f>industrie!E18</f>
        <v>1563.2348023504594</v>
      </c>
      <c r="F8" s="451">
        <f>industrie!F18</f>
        <v>4788.351905690186</v>
      </c>
      <c r="G8" s="451">
        <f>industrie!G18</f>
        <v>0</v>
      </c>
      <c r="H8" s="451">
        <f>industrie!H18</f>
        <v>0</v>
      </c>
      <c r="I8" s="451">
        <f>industrie!I18</f>
        <v>0</v>
      </c>
      <c r="J8" s="451">
        <f>industrie!J18</f>
        <v>33.570317151529537</v>
      </c>
      <c r="K8" s="451">
        <f>industrie!K18</f>
        <v>0</v>
      </c>
      <c r="L8" s="451">
        <f>industrie!L18</f>
        <v>0</v>
      </c>
      <c r="M8" s="451">
        <f>industrie!M18</f>
        <v>0</v>
      </c>
      <c r="N8" s="451">
        <f>industrie!N18</f>
        <v>969.81752967605939</v>
      </c>
      <c r="O8" s="451">
        <f>industrie!O18</f>
        <v>0</v>
      </c>
      <c r="P8" s="452">
        <f>industrie!P18</f>
        <v>0</v>
      </c>
      <c r="Q8" s="450">
        <f t="shared" si="0"/>
        <v>40025.087738356335</v>
      </c>
    </row>
    <row r="9" spans="1:17" s="456" customFormat="1">
      <c r="A9" s="454" t="s">
        <v>560</v>
      </c>
      <c r="B9" s="455">
        <f>transport!B14</f>
        <v>19.132062105264751</v>
      </c>
      <c r="C9" s="455">
        <f>transport!C14</f>
        <v>0</v>
      </c>
      <c r="D9" s="455">
        <f>transport!D14</f>
        <v>52.616669175946171</v>
      </c>
      <c r="E9" s="455">
        <f>transport!E14</f>
        <v>89.228558729313022</v>
      </c>
      <c r="F9" s="455">
        <f>transport!F14</f>
        <v>0</v>
      </c>
      <c r="G9" s="455">
        <f>transport!G14</f>
        <v>43143.791334976726</v>
      </c>
      <c r="H9" s="455">
        <f>transport!H14</f>
        <v>8892.4526379737872</v>
      </c>
      <c r="I9" s="455">
        <f>transport!I14</f>
        <v>0</v>
      </c>
      <c r="J9" s="455">
        <f>transport!J14</f>
        <v>0</v>
      </c>
      <c r="K9" s="455">
        <f>transport!K14</f>
        <v>0</v>
      </c>
      <c r="L9" s="455">
        <f>transport!L14</f>
        <v>0</v>
      </c>
      <c r="M9" s="455">
        <f>transport!M14</f>
        <v>2782.4907163371477</v>
      </c>
      <c r="N9" s="455">
        <f>transport!N14</f>
        <v>0</v>
      </c>
      <c r="O9" s="455">
        <f>transport!O14</f>
        <v>0</v>
      </c>
      <c r="P9" s="455">
        <f>transport!P14</f>
        <v>0</v>
      </c>
      <c r="Q9" s="454">
        <f>SUM(B9:P9)</f>
        <v>54979.711979298183</v>
      </c>
    </row>
    <row r="10" spans="1:17">
      <c r="A10" s="450" t="s">
        <v>550</v>
      </c>
      <c r="B10" s="451">
        <f>transport!B54</f>
        <v>0</v>
      </c>
      <c r="C10" s="451">
        <f>transport!C54</f>
        <v>0</v>
      </c>
      <c r="D10" s="451">
        <f>transport!D54</f>
        <v>0</v>
      </c>
      <c r="E10" s="451">
        <f>transport!E54</f>
        <v>0</v>
      </c>
      <c r="F10" s="451">
        <f>transport!F54</f>
        <v>0</v>
      </c>
      <c r="G10" s="451">
        <f>transport!G54</f>
        <v>1309.1817187158856</v>
      </c>
      <c r="H10" s="451">
        <f>transport!H54</f>
        <v>0</v>
      </c>
      <c r="I10" s="451">
        <f>transport!I54</f>
        <v>0</v>
      </c>
      <c r="J10" s="451">
        <f>transport!J54</f>
        <v>0</v>
      </c>
      <c r="K10" s="451">
        <f>transport!K54</f>
        <v>0</v>
      </c>
      <c r="L10" s="451">
        <f>transport!L54</f>
        <v>0</v>
      </c>
      <c r="M10" s="451">
        <f>transport!M54</f>
        <v>74.350125371148891</v>
      </c>
      <c r="N10" s="451">
        <f>transport!N54</f>
        <v>0</v>
      </c>
      <c r="O10" s="451">
        <f>transport!O54</f>
        <v>0</v>
      </c>
      <c r="P10" s="452">
        <f>transport!P54</f>
        <v>0</v>
      </c>
      <c r="Q10" s="450">
        <f t="shared" si="0"/>
        <v>1383.5318440870344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664.47571711454907</v>
      </c>
      <c r="C14" s="458"/>
      <c r="D14" s="458">
        <f>'SEAP template'!E25</f>
        <v>881.28697753934705</v>
      </c>
      <c r="E14" s="458"/>
      <c r="F14" s="458"/>
      <c r="G14" s="458"/>
      <c r="H14" s="458"/>
      <c r="I14" s="458"/>
      <c r="J14" s="458"/>
      <c r="K14" s="458"/>
      <c r="L14" s="458"/>
      <c r="M14" s="458"/>
      <c r="N14" s="458"/>
      <c r="O14" s="458"/>
      <c r="P14" s="459"/>
      <c r="Q14" s="450">
        <f t="shared" si="0"/>
        <v>1545.7626946538962</v>
      </c>
    </row>
    <row r="15" spans="1:17" s="460" customFormat="1">
      <c r="A15" s="1005" t="s">
        <v>554</v>
      </c>
      <c r="B15" s="953">
        <f ca="1">SUM(B4:B14)</f>
        <v>63490.447590156233</v>
      </c>
      <c r="C15" s="953">
        <f t="shared" ref="C15:Q15" ca="1" si="1">SUM(C4:C14)</f>
        <v>192922.07142857142</v>
      </c>
      <c r="D15" s="953">
        <f t="shared" ca="1" si="1"/>
        <v>79795.526273984186</v>
      </c>
      <c r="E15" s="953">
        <f t="shared" si="1"/>
        <v>15906.906843700692</v>
      </c>
      <c r="F15" s="953">
        <f t="shared" ca="1" si="1"/>
        <v>32388.051495210741</v>
      </c>
      <c r="G15" s="953">
        <f t="shared" si="1"/>
        <v>44452.973053692614</v>
      </c>
      <c r="H15" s="953">
        <f t="shared" si="1"/>
        <v>8892.4526379737872</v>
      </c>
      <c r="I15" s="953">
        <f t="shared" si="1"/>
        <v>0</v>
      </c>
      <c r="J15" s="953">
        <f t="shared" si="1"/>
        <v>860.77650138951049</v>
      </c>
      <c r="K15" s="953">
        <f t="shared" si="1"/>
        <v>0</v>
      </c>
      <c r="L15" s="953">
        <f t="shared" ca="1" si="1"/>
        <v>0</v>
      </c>
      <c r="M15" s="953">
        <f t="shared" si="1"/>
        <v>2856.8408417082965</v>
      </c>
      <c r="N15" s="953">
        <f t="shared" ca="1" si="1"/>
        <v>21969.567541306464</v>
      </c>
      <c r="O15" s="953">
        <f t="shared" si="1"/>
        <v>175.09333333333336</v>
      </c>
      <c r="P15" s="953">
        <f t="shared" si="1"/>
        <v>1067.7333333333333</v>
      </c>
      <c r="Q15" s="953">
        <f t="shared" ca="1" si="1"/>
        <v>464778.44087436056</v>
      </c>
    </row>
    <row r="17" spans="1:17">
      <c r="A17" s="461" t="s">
        <v>555</v>
      </c>
      <c r="B17" s="760">
        <f ca="1">huishoudens!B10</f>
        <v>0.2069730925932653</v>
      </c>
      <c r="C17" s="760">
        <f ca="1">huishoudens!C10</f>
        <v>0.21441220671393577</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4558.7721000820484</v>
      </c>
      <c r="C22" s="451">
        <f t="shared" ref="C22:C32" ca="1" si="3">C4*$C$17</f>
        <v>0</v>
      </c>
      <c r="D22" s="451">
        <f t="shared" ref="D22:D32" si="4">D4*$D$17</f>
        <v>9847.5590157186398</v>
      </c>
      <c r="E22" s="451">
        <f t="shared" ref="E22:E32" si="5">E4*$E$17</f>
        <v>3126.6577598119297</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17532.988875612617</v>
      </c>
    </row>
    <row r="23" spans="1:17">
      <c r="A23" s="450" t="s">
        <v>155</v>
      </c>
      <c r="B23" s="451">
        <f t="shared" ca="1" si="2"/>
        <v>4284.7620696379154</v>
      </c>
      <c r="C23" s="451">
        <f t="shared" ca="1" si="3"/>
        <v>0</v>
      </c>
      <c r="D23" s="451">
        <f t="shared" ca="1" si="4"/>
        <v>2275.2774423709243</v>
      </c>
      <c r="E23" s="451">
        <f t="shared" si="5"/>
        <v>71.008927539144636</v>
      </c>
      <c r="F23" s="451">
        <f t="shared" ca="1" si="6"/>
        <v>1018.9124896906796</v>
      </c>
      <c r="G23" s="451">
        <f t="shared" si="7"/>
        <v>0</v>
      </c>
      <c r="H23" s="451">
        <f t="shared" si="8"/>
        <v>0</v>
      </c>
      <c r="I23" s="451">
        <f t="shared" si="9"/>
        <v>0</v>
      </c>
      <c r="J23" s="451">
        <f t="shared" si="10"/>
        <v>3.1519179958731797E-2</v>
      </c>
      <c r="K23" s="451">
        <f t="shared" si="11"/>
        <v>0</v>
      </c>
      <c r="L23" s="451">
        <f t="shared" ca="1" si="12"/>
        <v>0</v>
      </c>
      <c r="M23" s="451">
        <f t="shared" si="13"/>
        <v>0</v>
      </c>
      <c r="N23" s="451">
        <f t="shared" ca="1" si="14"/>
        <v>0</v>
      </c>
      <c r="O23" s="451">
        <f t="shared" si="15"/>
        <v>0</v>
      </c>
      <c r="P23" s="452">
        <f t="shared" si="16"/>
        <v>0</v>
      </c>
      <c r="Q23" s="450">
        <f t="shared" ref="Q23:Q32" ca="1" si="17">SUM(B23:P23)</f>
        <v>7649.9924484186231</v>
      </c>
    </row>
    <row r="24" spans="1:17">
      <c r="A24" s="450" t="s">
        <v>193</v>
      </c>
      <c r="B24" s="451">
        <f t="shared" ca="1" si="2"/>
        <v>113.28196184979411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113.28196184979411</v>
      </c>
    </row>
    <row r="25" spans="1:17">
      <c r="A25" s="450" t="s">
        <v>111</v>
      </c>
      <c r="B25" s="451">
        <f t="shared" ca="1" si="2"/>
        <v>1181.6174560261161</v>
      </c>
      <c r="C25" s="451">
        <f t="shared" ca="1" si="3"/>
        <v>41364.847058823536</v>
      </c>
      <c r="D25" s="451">
        <f t="shared" si="4"/>
        <v>0</v>
      </c>
      <c r="E25" s="451">
        <f t="shared" si="5"/>
        <v>38.091983203873902</v>
      </c>
      <c r="F25" s="451">
        <f t="shared" si="6"/>
        <v>6350.2073007113086</v>
      </c>
      <c r="G25" s="451">
        <f t="shared" si="7"/>
        <v>0</v>
      </c>
      <c r="H25" s="451">
        <f t="shared" si="8"/>
        <v>0</v>
      </c>
      <c r="I25" s="451">
        <f t="shared" si="9"/>
        <v>0</v>
      </c>
      <c r="J25" s="451">
        <f t="shared" si="10"/>
        <v>292.79947004028651</v>
      </c>
      <c r="K25" s="451">
        <f t="shared" si="11"/>
        <v>0</v>
      </c>
      <c r="L25" s="451">
        <f t="shared" si="12"/>
        <v>0</v>
      </c>
      <c r="M25" s="451">
        <f t="shared" si="13"/>
        <v>0</v>
      </c>
      <c r="N25" s="451">
        <f t="shared" si="14"/>
        <v>0</v>
      </c>
      <c r="O25" s="451">
        <f t="shared" si="15"/>
        <v>0</v>
      </c>
      <c r="P25" s="452">
        <f t="shared" si="16"/>
        <v>0</v>
      </c>
      <c r="Q25" s="450">
        <f t="shared" ca="1" si="17"/>
        <v>49227.563268805112</v>
      </c>
    </row>
    <row r="26" spans="1:17">
      <c r="A26" s="450" t="s">
        <v>634</v>
      </c>
      <c r="B26" s="451">
        <f t="shared" ca="1" si="2"/>
        <v>2860.8922840834507</v>
      </c>
      <c r="C26" s="451">
        <f t="shared" ca="1" si="3"/>
        <v>0</v>
      </c>
      <c r="D26" s="451">
        <f t="shared" si="4"/>
        <v>3807.2113126187528</v>
      </c>
      <c r="E26" s="451">
        <f t="shared" si="5"/>
        <v>354.85430013355432</v>
      </c>
      <c r="F26" s="451">
        <f t="shared" si="6"/>
        <v>1278.4899588192798</v>
      </c>
      <c r="G26" s="451">
        <f t="shared" si="7"/>
        <v>0</v>
      </c>
      <c r="H26" s="451">
        <f t="shared" si="8"/>
        <v>0</v>
      </c>
      <c r="I26" s="451">
        <f t="shared" si="9"/>
        <v>0</v>
      </c>
      <c r="J26" s="451">
        <f t="shared" si="10"/>
        <v>11.883892271641455</v>
      </c>
      <c r="K26" s="451">
        <f t="shared" si="11"/>
        <v>0</v>
      </c>
      <c r="L26" s="451">
        <f t="shared" si="12"/>
        <v>0</v>
      </c>
      <c r="M26" s="451">
        <f t="shared" si="13"/>
        <v>0</v>
      </c>
      <c r="N26" s="451">
        <f t="shared" si="14"/>
        <v>0</v>
      </c>
      <c r="O26" s="451">
        <f t="shared" si="15"/>
        <v>0</v>
      </c>
      <c r="P26" s="452">
        <f t="shared" si="16"/>
        <v>0</v>
      </c>
      <c r="Q26" s="450">
        <f t="shared" ca="1" si="17"/>
        <v>8313.3317479266807</v>
      </c>
    </row>
    <row r="27" spans="1:17" s="456" customFormat="1">
      <c r="A27" s="454" t="s">
        <v>560</v>
      </c>
      <c r="B27" s="754">
        <f t="shared" ca="1" si="2"/>
        <v>3.9598220616130635</v>
      </c>
      <c r="C27" s="455">
        <f t="shared" ca="1" si="3"/>
        <v>0</v>
      </c>
      <c r="D27" s="455">
        <f t="shared" si="4"/>
        <v>10.628567173541127</v>
      </c>
      <c r="E27" s="455">
        <f t="shared" si="5"/>
        <v>20.254882831554056</v>
      </c>
      <c r="F27" s="455">
        <f t="shared" si="6"/>
        <v>0</v>
      </c>
      <c r="G27" s="455">
        <f t="shared" si="7"/>
        <v>11519.392286438786</v>
      </c>
      <c r="H27" s="455">
        <f t="shared" si="8"/>
        <v>2214.2207068554731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13768.456265360966</v>
      </c>
    </row>
    <row r="28" spans="1:17">
      <c r="A28" s="450" t="s">
        <v>550</v>
      </c>
      <c r="B28" s="451">
        <f t="shared" ca="1" si="2"/>
        <v>0</v>
      </c>
      <c r="C28" s="451">
        <f t="shared" ca="1" si="3"/>
        <v>0</v>
      </c>
      <c r="D28" s="451">
        <f t="shared" si="4"/>
        <v>0</v>
      </c>
      <c r="E28" s="451">
        <f t="shared" si="5"/>
        <v>0</v>
      </c>
      <c r="F28" s="451">
        <f t="shared" si="6"/>
        <v>0</v>
      </c>
      <c r="G28" s="451">
        <f t="shared" si="7"/>
        <v>349.55151889714148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349.55151889714148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137.52859412432593</v>
      </c>
      <c r="C32" s="451">
        <f t="shared" ca="1" si="3"/>
        <v>0</v>
      </c>
      <c r="D32" s="451">
        <f t="shared" si="4"/>
        <v>178.01996946294813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315.54856358727409</v>
      </c>
    </row>
    <row r="33" spans="1:17" s="460" customFormat="1">
      <c r="A33" s="1005" t="s">
        <v>554</v>
      </c>
      <c r="B33" s="953">
        <f ca="1">SUM(B22:B32)</f>
        <v>13140.814287865265</v>
      </c>
      <c r="C33" s="953">
        <f t="shared" ref="C33:Q33" ca="1" si="18">SUM(C22:C32)</f>
        <v>41364.847058823536</v>
      </c>
      <c r="D33" s="953">
        <f t="shared" ca="1" si="18"/>
        <v>16118.696307344806</v>
      </c>
      <c r="E33" s="953">
        <f t="shared" si="18"/>
        <v>3610.8678535200565</v>
      </c>
      <c r="F33" s="953">
        <f t="shared" ca="1" si="18"/>
        <v>8647.6097492212684</v>
      </c>
      <c r="G33" s="953">
        <f t="shared" si="18"/>
        <v>11868.943805335928</v>
      </c>
      <c r="H33" s="953">
        <f t="shared" si="18"/>
        <v>2214.2207068554731</v>
      </c>
      <c r="I33" s="953">
        <f t="shared" si="18"/>
        <v>0</v>
      </c>
      <c r="J33" s="953">
        <f t="shared" si="18"/>
        <v>304.71488149188667</v>
      </c>
      <c r="K33" s="953">
        <f t="shared" si="18"/>
        <v>0</v>
      </c>
      <c r="L33" s="953">
        <f t="shared" ca="1" si="18"/>
        <v>0</v>
      </c>
      <c r="M33" s="953">
        <f t="shared" si="18"/>
        <v>0</v>
      </c>
      <c r="N33" s="953">
        <f t="shared" ca="1" si="18"/>
        <v>0</v>
      </c>
      <c r="O33" s="953">
        <f t="shared" si="18"/>
        <v>0</v>
      </c>
      <c r="P33" s="953">
        <f t="shared" si="18"/>
        <v>0</v>
      </c>
      <c r="Q33" s="953">
        <f t="shared" ca="1" si="18"/>
        <v>97270.71465045822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4853.8604774173509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13203.449999999995</v>
      </c>
      <c r="C8" s="1022">
        <f>'SEAP template'!C76</f>
        <v>121841.99999999999</v>
      </c>
      <c r="D8" s="1022">
        <f>'SEAP template'!D76</f>
        <v>143343.5294117647</v>
      </c>
      <c r="E8" s="1022">
        <f>'SEAP template'!E76</f>
        <v>0</v>
      </c>
      <c r="F8" s="1022">
        <f>'SEAP template'!F76</f>
        <v>0</v>
      </c>
      <c r="G8" s="1022">
        <f>'SEAP template'!G76</f>
        <v>0</v>
      </c>
      <c r="H8" s="1022">
        <f>'SEAP template'!H76</f>
        <v>0</v>
      </c>
      <c r="I8" s="1022">
        <f>'SEAP template'!I76</f>
        <v>0</v>
      </c>
      <c r="J8" s="1022">
        <f>'SEAP template'!J76</f>
        <v>15533.47058823529</v>
      </c>
      <c r="K8" s="1022">
        <f>'SEAP template'!K76</f>
        <v>0</v>
      </c>
      <c r="L8" s="1022">
        <f>'SEAP template'!L76</f>
        <v>0</v>
      </c>
      <c r="M8" s="1022">
        <f>'SEAP template'!M76</f>
        <v>0</v>
      </c>
      <c r="N8" s="1022">
        <f>'SEAP template'!N76</f>
        <v>0</v>
      </c>
      <c r="O8" s="1022">
        <f>'SEAP template'!O76</f>
        <v>0</v>
      </c>
      <c r="P8" s="1023">
        <f>'SEAP template'!Q76</f>
        <v>28955.392941176469</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18057.310477417348</v>
      </c>
      <c r="C10" s="1026">
        <f>SUM(C4:C9)</f>
        <v>121841.99999999999</v>
      </c>
      <c r="D10" s="1026">
        <f t="shared" ref="D10:H10" si="0">SUM(D8:D9)</f>
        <v>143343.5294117647</v>
      </c>
      <c r="E10" s="1026">
        <f t="shared" si="0"/>
        <v>0</v>
      </c>
      <c r="F10" s="1026">
        <f t="shared" si="0"/>
        <v>0</v>
      </c>
      <c r="G10" s="1026">
        <f t="shared" si="0"/>
        <v>0</v>
      </c>
      <c r="H10" s="1026">
        <f t="shared" si="0"/>
        <v>0</v>
      </c>
      <c r="I10" s="1026">
        <f>SUM(I8:I9)</f>
        <v>0</v>
      </c>
      <c r="J10" s="1026">
        <f>SUM(J8:J9)</f>
        <v>15533.47058823529</v>
      </c>
      <c r="K10" s="1026">
        <f t="shared" ref="K10:L10" si="1">SUM(K8:K9)</f>
        <v>0</v>
      </c>
      <c r="L10" s="1026">
        <f t="shared" si="1"/>
        <v>0</v>
      </c>
      <c r="M10" s="1026">
        <f>SUM(M8:M9)</f>
        <v>0</v>
      </c>
      <c r="N10" s="1026">
        <f>SUM(N8:N9)</f>
        <v>0</v>
      </c>
      <c r="O10" s="1026">
        <f>SUM(O8:O9)</f>
        <v>0</v>
      </c>
      <c r="P10" s="1026">
        <f>SUM(P8:P9)</f>
        <v>28955.392941176469</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0.2069730925932653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18862.071428571424</v>
      </c>
      <c r="C17" s="1028">
        <f>'SEAP template'!C87</f>
        <v>174060</v>
      </c>
      <c r="D17" s="1023">
        <f>'SEAP template'!D87</f>
        <v>204776.47058823533</v>
      </c>
      <c r="E17" s="1023">
        <f>'SEAP template'!E87</f>
        <v>0</v>
      </c>
      <c r="F17" s="1023">
        <f>'SEAP template'!F87</f>
        <v>0</v>
      </c>
      <c r="G17" s="1023">
        <f>'SEAP template'!G87</f>
        <v>0</v>
      </c>
      <c r="H17" s="1023">
        <f>'SEAP template'!H87</f>
        <v>0</v>
      </c>
      <c r="I17" s="1023">
        <f>'SEAP template'!I87</f>
        <v>0</v>
      </c>
      <c r="J17" s="1023">
        <f>'SEAP template'!J87</f>
        <v>22190.672268907561</v>
      </c>
      <c r="K17" s="1023">
        <f>'SEAP template'!K87</f>
        <v>0</v>
      </c>
      <c r="L17" s="1023">
        <f>'SEAP template'!L87</f>
        <v>0</v>
      </c>
      <c r="M17" s="1023">
        <f>'SEAP template'!M87</f>
        <v>0</v>
      </c>
      <c r="N17" s="1023">
        <f>'SEAP template'!N87</f>
        <v>0</v>
      </c>
      <c r="O17" s="1023">
        <f>'SEAP template'!O87</f>
        <v>0</v>
      </c>
      <c r="P17" s="1023">
        <f>'SEAP template'!Q87</f>
        <v>41364.847058823536</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18862.071428571424</v>
      </c>
      <c r="C20" s="1026">
        <f>SUM(C17:C19)</f>
        <v>174060</v>
      </c>
      <c r="D20" s="1026">
        <f t="shared" ref="D20:H20" si="2">SUM(D17:D19)</f>
        <v>204776.47058823533</v>
      </c>
      <c r="E20" s="1026">
        <f t="shared" si="2"/>
        <v>0</v>
      </c>
      <c r="F20" s="1026">
        <f t="shared" si="2"/>
        <v>0</v>
      </c>
      <c r="G20" s="1026">
        <f t="shared" si="2"/>
        <v>0</v>
      </c>
      <c r="H20" s="1026">
        <f t="shared" si="2"/>
        <v>0</v>
      </c>
      <c r="I20" s="1026">
        <f>SUM(I17:I19)</f>
        <v>0</v>
      </c>
      <c r="J20" s="1026">
        <f>SUM(J17:J19)</f>
        <v>22190.672268907561</v>
      </c>
      <c r="K20" s="1026">
        <f t="shared" ref="K20:L20" si="3">SUM(K17:K19)</f>
        <v>0</v>
      </c>
      <c r="L20" s="1026">
        <f t="shared" si="3"/>
        <v>0</v>
      </c>
      <c r="M20" s="1026">
        <f>SUM(M17:M19)</f>
        <v>0</v>
      </c>
      <c r="N20" s="1026">
        <f>SUM(N17:N19)</f>
        <v>0</v>
      </c>
      <c r="O20" s="1026">
        <f>SUM(O17:O19)</f>
        <v>0</v>
      </c>
      <c r="P20" s="1026">
        <f>SUM(P17:P19)</f>
        <v>41364.847058823536</v>
      </c>
    </row>
    <row r="22" spans="1:16">
      <c r="A22" s="461" t="s">
        <v>848</v>
      </c>
      <c r="B22" s="760" t="s">
        <v>842</v>
      </c>
      <c r="C22" s="760">
        <f ca="1">'EF ele_warmte'!B22</f>
        <v>0.21441220671393577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0.2069730925932653</v>
      </c>
      <c r="C17" s="498">
        <f ca="1">'EF ele_warmte'!B22</f>
        <v>0.21441220671393577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0.2069730925932653</v>
      </c>
      <c r="C17" s="498">
        <f ca="1">'EF ele_warmte'!B22</f>
        <v>0.21441220671393577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0.2069730925932653</v>
      </c>
      <c r="C29" s="499">
        <f ca="1">'EF ele_warmte'!B22</f>
        <v>0.21441220671393577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4656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2862.22</v>
      </c>
      <c r="C14" s="330"/>
      <c r="D14" s="330"/>
      <c r="E14" s="330"/>
      <c r="F14" s="330"/>
    </row>
    <row r="15" spans="1:6">
      <c r="A15" s="1293" t="s">
        <v>183</v>
      </c>
      <c r="B15" s="1294">
        <v>2227</v>
      </c>
      <c r="C15" s="330"/>
      <c r="D15" s="330"/>
      <c r="E15" s="330"/>
      <c r="F15" s="330"/>
    </row>
    <row r="16" spans="1:6">
      <c r="A16" s="1293" t="s">
        <v>6</v>
      </c>
      <c r="B16" s="1294">
        <v>2651</v>
      </c>
      <c r="C16" s="330"/>
      <c r="D16" s="330"/>
      <c r="E16" s="330"/>
      <c r="F16" s="330"/>
    </row>
    <row r="17" spans="1:6">
      <c r="A17" s="1293" t="s">
        <v>7</v>
      </c>
      <c r="B17" s="1294">
        <v>637</v>
      </c>
      <c r="C17" s="330"/>
      <c r="D17" s="330"/>
      <c r="E17" s="330"/>
      <c r="F17" s="330"/>
    </row>
    <row r="18" spans="1:6">
      <c r="A18" s="1293" t="s">
        <v>8</v>
      </c>
      <c r="B18" s="1294">
        <v>1927</v>
      </c>
      <c r="C18" s="330"/>
      <c r="D18" s="330"/>
      <c r="E18" s="330"/>
      <c r="F18" s="330"/>
    </row>
    <row r="19" spans="1:6">
      <c r="A19" s="1293" t="s">
        <v>9</v>
      </c>
      <c r="B19" s="1294">
        <v>2097</v>
      </c>
      <c r="C19" s="330"/>
      <c r="D19" s="330"/>
      <c r="E19" s="330"/>
      <c r="F19" s="330"/>
    </row>
    <row r="20" spans="1:6">
      <c r="A20" s="1293" t="s">
        <v>10</v>
      </c>
      <c r="B20" s="1294">
        <v>1096</v>
      </c>
      <c r="C20" s="330"/>
      <c r="D20" s="330"/>
      <c r="E20" s="330"/>
      <c r="F20" s="330"/>
    </row>
    <row r="21" spans="1:6">
      <c r="A21" s="1293" t="s">
        <v>11</v>
      </c>
      <c r="B21" s="1294">
        <v>16804</v>
      </c>
      <c r="C21" s="330"/>
      <c r="D21" s="330"/>
      <c r="E21" s="330"/>
      <c r="F21" s="330"/>
    </row>
    <row r="22" spans="1:6">
      <c r="A22" s="1293" t="s">
        <v>12</v>
      </c>
      <c r="B22" s="1294">
        <v>39768</v>
      </c>
      <c r="C22" s="330"/>
      <c r="D22" s="330"/>
      <c r="E22" s="330"/>
      <c r="F22" s="330"/>
    </row>
    <row r="23" spans="1:6">
      <c r="A23" s="1293" t="s">
        <v>13</v>
      </c>
      <c r="B23" s="1294">
        <v>516</v>
      </c>
      <c r="C23" s="330"/>
      <c r="D23" s="330"/>
      <c r="E23" s="330"/>
      <c r="F23" s="330"/>
    </row>
    <row r="24" spans="1:6">
      <c r="A24" s="1293" t="s">
        <v>14</v>
      </c>
      <c r="B24" s="1294">
        <v>48</v>
      </c>
      <c r="C24" s="330"/>
      <c r="D24" s="330"/>
      <c r="E24" s="330"/>
      <c r="F24" s="330"/>
    </row>
    <row r="25" spans="1:6">
      <c r="A25" s="1293" t="s">
        <v>15</v>
      </c>
      <c r="B25" s="1294">
        <v>2392</v>
      </c>
      <c r="C25" s="330"/>
      <c r="D25" s="330"/>
      <c r="E25" s="330"/>
      <c r="F25" s="330"/>
    </row>
    <row r="26" spans="1:6">
      <c r="A26" s="1293" t="s">
        <v>16</v>
      </c>
      <c r="B26" s="1294">
        <v>111</v>
      </c>
      <c r="C26" s="330"/>
      <c r="D26" s="330"/>
      <c r="E26" s="330"/>
      <c r="F26" s="330"/>
    </row>
    <row r="27" spans="1:6">
      <c r="A27" s="1293" t="s">
        <v>17</v>
      </c>
      <c r="B27" s="1294">
        <v>468</v>
      </c>
      <c r="C27" s="330"/>
      <c r="D27" s="330"/>
      <c r="E27" s="330"/>
      <c r="F27" s="330"/>
    </row>
    <row r="28" spans="1:6" s="43" customFormat="1">
      <c r="A28" s="1295" t="s">
        <v>18</v>
      </c>
      <c r="B28" s="1296">
        <v>788027</v>
      </c>
      <c r="C28" s="336"/>
      <c r="D28" s="336"/>
      <c r="E28" s="336"/>
      <c r="F28" s="336"/>
    </row>
    <row r="29" spans="1:6">
      <c r="A29" s="1295" t="s">
        <v>734</v>
      </c>
      <c r="B29" s="1296">
        <v>92</v>
      </c>
      <c r="C29" s="336"/>
      <c r="D29" s="336"/>
      <c r="E29" s="336"/>
      <c r="F29" s="336"/>
    </row>
    <row r="30" spans="1:6">
      <c r="A30" s="1288" t="s">
        <v>735</v>
      </c>
      <c r="B30" s="1297">
        <v>18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6</v>
      </c>
      <c r="F35" s="1294">
        <v>223912</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3</v>
      </c>
      <c r="D38" s="1294">
        <v>83828256.754761398</v>
      </c>
      <c r="E38" s="1294">
        <v>4</v>
      </c>
      <c r="F38" s="1294">
        <v>335731.46500626497</v>
      </c>
    </row>
    <row r="39" spans="1:6">
      <c r="A39" s="1293" t="s">
        <v>29</v>
      </c>
      <c r="B39" s="1293" t="s">
        <v>30</v>
      </c>
      <c r="C39" s="1294">
        <v>3231</v>
      </c>
      <c r="D39" s="1294">
        <v>54046887.092043199</v>
      </c>
      <c r="E39" s="1294">
        <v>4646</v>
      </c>
      <c r="F39" s="1294">
        <v>18822336.610941201</v>
      </c>
    </row>
    <row r="40" spans="1:6">
      <c r="A40" s="1293" t="s">
        <v>29</v>
      </c>
      <c r="B40" s="1293" t="s">
        <v>28</v>
      </c>
      <c r="C40" s="1294">
        <v>0</v>
      </c>
      <c r="D40" s="1294">
        <v>0</v>
      </c>
      <c r="E40" s="1294">
        <v>0</v>
      </c>
      <c r="F40" s="1294">
        <v>0</v>
      </c>
    </row>
    <row r="41" spans="1:6">
      <c r="A41" s="1293" t="s">
        <v>31</v>
      </c>
      <c r="B41" s="1293" t="s">
        <v>32</v>
      </c>
      <c r="C41" s="1294">
        <v>67</v>
      </c>
      <c r="D41" s="1294">
        <v>1038162.9092982</v>
      </c>
      <c r="E41" s="1294">
        <v>146</v>
      </c>
      <c r="F41" s="1294">
        <v>3557318.4923886298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132434.649162191</v>
      </c>
      <c r="E44" s="1294">
        <v>25</v>
      </c>
      <c r="F44" s="1294">
        <v>523599.30297493399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22</v>
      </c>
      <c r="D48" s="1294">
        <v>19031165.7383263</v>
      </c>
      <c r="E48" s="1294">
        <v>33</v>
      </c>
      <c r="F48" s="1294">
        <v>9377233.3702538498</v>
      </c>
    </row>
    <row r="49" spans="1:6">
      <c r="A49" s="1293" t="s">
        <v>31</v>
      </c>
      <c r="B49" s="1293" t="s">
        <v>39</v>
      </c>
      <c r="C49" s="1294">
        <v>4</v>
      </c>
      <c r="D49" s="1294">
        <v>28849.402052466099</v>
      </c>
      <c r="E49" s="1294">
        <v>4</v>
      </c>
      <c r="F49" s="1294">
        <v>4380.9895684940002</v>
      </c>
    </row>
    <row r="50" spans="1:6">
      <c r="A50" s="1293" t="s">
        <v>31</v>
      </c>
      <c r="B50" s="1293" t="s">
        <v>40</v>
      </c>
      <c r="C50" s="1294">
        <v>7</v>
      </c>
      <c r="D50" s="1294">
        <v>664709.64654707396</v>
      </c>
      <c r="E50" s="1294">
        <v>10</v>
      </c>
      <c r="F50" s="1294">
        <v>360000.27276381903</v>
      </c>
    </row>
    <row r="51" spans="1:6">
      <c r="A51" s="1293" t="s">
        <v>41</v>
      </c>
      <c r="B51" s="1293" t="s">
        <v>42</v>
      </c>
      <c r="C51" s="1294">
        <v>13</v>
      </c>
      <c r="D51" s="1294">
        <v>271748313.38596803</v>
      </c>
      <c r="E51" s="1294">
        <v>130</v>
      </c>
      <c r="F51" s="1294">
        <v>5641417.0091601899</v>
      </c>
    </row>
    <row r="52" spans="1:6">
      <c r="A52" s="1293" t="s">
        <v>41</v>
      </c>
      <c r="B52" s="1293" t="s">
        <v>28</v>
      </c>
      <c r="C52" s="1294">
        <v>9</v>
      </c>
      <c r="D52" s="1294">
        <v>3623053.0732753202</v>
      </c>
      <c r="E52" s="1294">
        <v>6</v>
      </c>
      <c r="F52" s="1294">
        <v>67621.9834019025</v>
      </c>
    </row>
    <row r="53" spans="1:6">
      <c r="A53" s="1293" t="s">
        <v>43</v>
      </c>
      <c r="B53" s="1293" t="s">
        <v>44</v>
      </c>
      <c r="C53" s="1294">
        <v>53</v>
      </c>
      <c r="D53" s="1294">
        <v>881286.97753934702</v>
      </c>
      <c r="E53" s="1294">
        <v>153</v>
      </c>
      <c r="F53" s="1294">
        <v>664475.71711454901</v>
      </c>
    </row>
    <row r="54" spans="1:6">
      <c r="A54" s="1293" t="s">
        <v>45</v>
      </c>
      <c r="B54" s="1293" t="s">
        <v>46</v>
      </c>
      <c r="C54" s="1294">
        <v>0</v>
      </c>
      <c r="D54" s="1294">
        <v>0</v>
      </c>
      <c r="E54" s="1294">
        <v>1</v>
      </c>
      <c r="F54" s="1294">
        <v>547327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19</v>
      </c>
      <c r="D57" s="1294">
        <v>1217503.64981049</v>
      </c>
      <c r="E57" s="1294">
        <v>64</v>
      </c>
      <c r="F57" s="1294">
        <v>2968999.9353026701</v>
      </c>
    </row>
    <row r="58" spans="1:6">
      <c r="A58" s="1293" t="s">
        <v>48</v>
      </c>
      <c r="B58" s="1293" t="s">
        <v>50</v>
      </c>
      <c r="C58" s="1294">
        <v>9</v>
      </c>
      <c r="D58" s="1294">
        <v>376551.14383603103</v>
      </c>
      <c r="E58" s="1294">
        <v>12</v>
      </c>
      <c r="F58" s="1294">
        <v>116495.23059794299</v>
      </c>
    </row>
    <row r="59" spans="1:6">
      <c r="A59" s="1293" t="s">
        <v>48</v>
      </c>
      <c r="B59" s="1293" t="s">
        <v>51</v>
      </c>
      <c r="C59" s="1294">
        <v>36</v>
      </c>
      <c r="D59" s="1294">
        <v>3081958.3665756499</v>
      </c>
      <c r="E59" s="1294">
        <v>112</v>
      </c>
      <c r="F59" s="1294">
        <v>4331830.1634918097</v>
      </c>
    </row>
    <row r="60" spans="1:6">
      <c r="A60" s="1293" t="s">
        <v>48</v>
      </c>
      <c r="B60" s="1293" t="s">
        <v>52</v>
      </c>
      <c r="C60" s="1294">
        <v>37</v>
      </c>
      <c r="D60" s="1294">
        <v>1609517.5582311801</v>
      </c>
      <c r="E60" s="1294">
        <v>54</v>
      </c>
      <c r="F60" s="1294">
        <v>1727634.6367147099</v>
      </c>
    </row>
    <row r="61" spans="1:6">
      <c r="A61" s="1293" t="s">
        <v>48</v>
      </c>
      <c r="B61" s="1293" t="s">
        <v>53</v>
      </c>
      <c r="C61" s="1294">
        <v>28</v>
      </c>
      <c r="D61" s="1294">
        <v>1289238.72239356</v>
      </c>
      <c r="E61" s="1294">
        <v>117</v>
      </c>
      <c r="F61" s="1294">
        <v>1315733.11004921</v>
      </c>
    </row>
    <row r="62" spans="1:6">
      <c r="A62" s="1293" t="s">
        <v>48</v>
      </c>
      <c r="B62" s="1293" t="s">
        <v>54</v>
      </c>
      <c r="C62" s="1294">
        <v>4</v>
      </c>
      <c r="D62" s="1294">
        <v>233881.37232592999</v>
      </c>
      <c r="E62" s="1294">
        <v>4</v>
      </c>
      <c r="F62" s="1294">
        <v>85797.922244512505</v>
      </c>
    </row>
    <row r="63" spans="1:6">
      <c r="A63" s="1293" t="s">
        <v>48</v>
      </c>
      <c r="B63" s="1293" t="s">
        <v>28</v>
      </c>
      <c r="C63" s="1294">
        <v>66</v>
      </c>
      <c r="D63" s="1294">
        <v>4678876.5867246604</v>
      </c>
      <c r="E63" s="1294">
        <v>80</v>
      </c>
      <c r="F63" s="1294">
        <v>10155533.6752032</v>
      </c>
    </row>
    <row r="64" spans="1:6">
      <c r="A64" s="1293" t="s">
        <v>55</v>
      </c>
      <c r="B64" s="1293" t="s">
        <v>56</v>
      </c>
      <c r="C64" s="1294">
        <v>0</v>
      </c>
      <c r="D64" s="1294">
        <v>0</v>
      </c>
      <c r="E64" s="1294">
        <v>0</v>
      </c>
      <c r="F64" s="1294">
        <v>0</v>
      </c>
    </row>
    <row r="65" spans="1:6">
      <c r="A65" s="1293" t="s">
        <v>55</v>
      </c>
      <c r="B65" s="1293" t="s">
        <v>28</v>
      </c>
      <c r="C65" s="1294">
        <v>3</v>
      </c>
      <c r="D65" s="1294">
        <v>76605.034425555597</v>
      </c>
      <c r="E65" s="1294">
        <v>3</v>
      </c>
      <c r="F65" s="1294">
        <v>118788.86208403599</v>
      </c>
    </row>
    <row r="66" spans="1:6">
      <c r="A66" s="1293" t="s">
        <v>55</v>
      </c>
      <c r="B66" s="1293" t="s">
        <v>57</v>
      </c>
      <c r="C66" s="1294">
        <v>0</v>
      </c>
      <c r="D66" s="1294">
        <v>0</v>
      </c>
      <c r="E66" s="1294">
        <v>3</v>
      </c>
      <c r="F66" s="1294">
        <v>2222.0262479809999</v>
      </c>
    </row>
    <row r="67" spans="1:6">
      <c r="A67" s="1295" t="s">
        <v>55</v>
      </c>
      <c r="B67" s="1295" t="s">
        <v>58</v>
      </c>
      <c r="C67" s="1294">
        <v>0</v>
      </c>
      <c r="D67" s="1294">
        <v>0</v>
      </c>
      <c r="E67" s="1294">
        <v>0</v>
      </c>
      <c r="F67" s="1294">
        <v>0</v>
      </c>
    </row>
    <row r="68" spans="1:6">
      <c r="A68" s="1288" t="s">
        <v>55</v>
      </c>
      <c r="B68" s="1288" t="s">
        <v>59</v>
      </c>
      <c r="C68" s="1297">
        <v>0</v>
      </c>
      <c r="D68" s="1297">
        <v>0</v>
      </c>
      <c r="E68" s="1297">
        <v>13</v>
      </c>
      <c r="F68" s="1297">
        <v>76591.560791064796</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48112239</v>
      </c>
      <c r="E73" s="449"/>
      <c r="F73" s="330"/>
    </row>
    <row r="74" spans="1:6">
      <c r="A74" s="1293" t="s">
        <v>63</v>
      </c>
      <c r="B74" s="1293" t="s">
        <v>656</v>
      </c>
      <c r="C74" s="1307" t="s">
        <v>658</v>
      </c>
      <c r="D74" s="1308">
        <v>6078238.5</v>
      </c>
      <c r="E74" s="449"/>
      <c r="F74" s="330"/>
    </row>
    <row r="75" spans="1:6">
      <c r="A75" s="1293" t="s">
        <v>64</v>
      </c>
      <c r="B75" s="1293" t="s">
        <v>655</v>
      </c>
      <c r="C75" s="1307" t="s">
        <v>659</v>
      </c>
      <c r="D75" s="1308">
        <v>9094740</v>
      </c>
      <c r="E75" s="449"/>
      <c r="F75" s="330"/>
    </row>
    <row r="76" spans="1:6">
      <c r="A76" s="1293" t="s">
        <v>64</v>
      </c>
      <c r="B76" s="1293" t="s">
        <v>656</v>
      </c>
      <c r="C76" s="1307" t="s">
        <v>660</v>
      </c>
      <c r="D76" s="1308">
        <v>94831.5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377333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3203.5801058793422</v>
      </c>
      <c r="C91" s="330"/>
      <c r="D91" s="330"/>
      <c r="E91" s="330"/>
      <c r="F91" s="330"/>
    </row>
    <row r="92" spans="1:6">
      <c r="A92" s="1288" t="s">
        <v>68</v>
      </c>
      <c r="B92" s="1289">
        <v>1650.2803715380091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1914</v>
      </c>
      <c r="C97" s="330"/>
      <c r="D97" s="330"/>
      <c r="E97" s="330"/>
      <c r="F97" s="330"/>
    </row>
    <row r="98" spans="1:6">
      <c r="A98" s="1293" t="s">
        <v>71</v>
      </c>
      <c r="B98" s="1294">
        <v>6</v>
      </c>
      <c r="C98" s="330"/>
      <c r="D98" s="330"/>
      <c r="E98" s="330"/>
      <c r="F98" s="330"/>
    </row>
    <row r="99" spans="1:6">
      <c r="A99" s="1293" t="s">
        <v>72</v>
      </c>
      <c r="B99" s="1294">
        <v>114</v>
      </c>
      <c r="C99" s="330"/>
      <c r="D99" s="330"/>
      <c r="E99" s="330"/>
      <c r="F99" s="330"/>
    </row>
    <row r="100" spans="1:6">
      <c r="A100" s="1293" t="s">
        <v>73</v>
      </c>
      <c r="B100" s="1294">
        <v>381</v>
      </c>
      <c r="C100" s="330"/>
      <c r="D100" s="330"/>
      <c r="E100" s="330"/>
      <c r="F100" s="330"/>
    </row>
    <row r="101" spans="1:6">
      <c r="A101" s="1293" t="s">
        <v>74</v>
      </c>
      <c r="B101" s="1294">
        <v>105</v>
      </c>
      <c r="C101" s="330"/>
      <c r="D101" s="330"/>
      <c r="E101" s="330"/>
      <c r="F101" s="330"/>
    </row>
    <row r="102" spans="1:6">
      <c r="A102" s="1293" t="s">
        <v>75</v>
      </c>
      <c r="B102" s="1294">
        <v>41</v>
      </c>
      <c r="C102" s="330"/>
      <c r="D102" s="330"/>
      <c r="E102" s="330"/>
      <c r="F102" s="330"/>
    </row>
    <row r="103" spans="1:6">
      <c r="A103" s="1293" t="s">
        <v>76</v>
      </c>
      <c r="B103" s="1294">
        <v>117</v>
      </c>
      <c r="C103" s="330"/>
      <c r="D103" s="330"/>
      <c r="E103" s="330"/>
      <c r="F103" s="330"/>
    </row>
    <row r="104" spans="1:6">
      <c r="A104" s="1293" t="s">
        <v>77</v>
      </c>
      <c r="B104" s="1294">
        <v>1106</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2</v>
      </c>
      <c r="C121" s="1294">
        <v>0</v>
      </c>
      <c r="D121" s="330"/>
      <c r="E121" s="330"/>
      <c r="F121" s="330"/>
    </row>
    <row r="122" spans="1:6">
      <c r="A122" s="1293" t="s">
        <v>86</v>
      </c>
      <c r="B122" s="1294">
        <v>0</v>
      </c>
      <c r="C122" s="1294">
        <v>0</v>
      </c>
      <c r="D122" s="330"/>
      <c r="E122" s="330"/>
      <c r="F122" s="330"/>
    </row>
    <row r="123" spans="1:6">
      <c r="A123" s="1293" t="s">
        <v>87</v>
      </c>
      <c r="B123" s="1294">
        <v>33</v>
      </c>
      <c r="C123" s="1294">
        <v>13</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98</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19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63490.447590156247</v>
      </c>
      <c r="C3" s="43" t="s">
        <v>169</v>
      </c>
      <c r="D3" s="43"/>
      <c r="E3" s="154"/>
      <c r="F3" s="43"/>
      <c r="G3" s="43"/>
      <c r="H3" s="43"/>
      <c r="I3" s="43"/>
      <c r="J3" s="43"/>
      <c r="K3" s="96"/>
    </row>
    <row r="4" spans="1:11">
      <c r="A4" s="358" t="s">
        <v>170</v>
      </c>
      <c r="B4" s="49">
        <f>IF(ISERROR('SEAP template'!B78+'SEAP template'!C78),0,'SEAP template'!B78+'SEAP template'!C78)</f>
        <v>139899.31047741734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28955.392941176469</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0.2069730925932653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41364.847058823536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192922.07142857142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0.21441220671393577</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547.327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547.327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0.2069730925932653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113.28196184979411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18822.336610941202</v>
      </c>
      <c r="C5" s="17">
        <f>IF(ISERROR('Eigen informatie GS &amp; warmtenet'!B57),0,'Eigen informatie GS &amp; warmtenet'!B57)</f>
        <v>0</v>
      </c>
      <c r="D5" s="30">
        <f>(SUM(HH_hh_gas_kWh,HH_rest_gas_kWh)/1000)*0.902</f>
        <v>48750.292157022966</v>
      </c>
      <c r="E5" s="17">
        <f>B46*B57</f>
        <v>13773.82273044903</v>
      </c>
      <c r="F5" s="17">
        <f>B51*B62</f>
        <v>0</v>
      </c>
      <c r="G5" s="18"/>
      <c r="H5" s="17"/>
      <c r="I5" s="17"/>
      <c r="J5" s="17">
        <f>B50*B61+C50*C61</f>
        <v>0</v>
      </c>
      <c r="K5" s="17"/>
      <c r="L5" s="17"/>
      <c r="M5" s="17"/>
      <c r="N5" s="17">
        <f>B48*B59+C48*C59</f>
        <v>17485.382000035101</v>
      </c>
      <c r="O5" s="17">
        <f>B69*B70*B71</f>
        <v>173.53000000000003</v>
      </c>
      <c r="P5" s="17">
        <f>B77*B78*B79/1000-B77*B78*B79/1000/B80</f>
        <v>1029.5999999999999</v>
      </c>
    </row>
    <row r="6" spans="1:16">
      <c r="A6" s="16" t="s">
        <v>620</v>
      </c>
      <c r="B6" s="762">
        <f>kWh_PV_kleiner_dan_10kW</f>
        <v>3203.5801058793422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22025.916716820546</v>
      </c>
      <c r="C8" s="21">
        <f>C5</f>
        <v>0</v>
      </c>
      <c r="D8" s="21">
        <f>D5</f>
        <v>48750.292157022966</v>
      </c>
      <c r="E8" s="21">
        <f>E5</f>
        <v>13773.82273044903</v>
      </c>
      <c r="F8" s="21">
        <f>F5</f>
        <v>0</v>
      </c>
      <c r="G8" s="21"/>
      <c r="H8" s="21"/>
      <c r="I8" s="21"/>
      <c r="J8" s="21">
        <f>J5</f>
        <v>0</v>
      </c>
      <c r="K8" s="21"/>
      <c r="L8" s="21">
        <f>L5</f>
        <v>0</v>
      </c>
      <c r="M8" s="21">
        <f>M5</f>
        <v>0</v>
      </c>
      <c r="N8" s="21">
        <f>N5</f>
        <v>17485.382000035101</v>
      </c>
      <c r="O8" s="21">
        <f>O5</f>
        <v>173.53000000000003</v>
      </c>
      <c r="P8" s="21">
        <f>P5</f>
        <v>1029.5999999999999</v>
      </c>
    </row>
    <row r="9" spans="1:16">
      <c r="B9" s="19"/>
      <c r="C9" s="19"/>
      <c r="D9" s="258"/>
      <c r="E9" s="19"/>
      <c r="F9" s="19"/>
      <c r="G9" s="19"/>
      <c r="H9" s="19"/>
      <c r="I9" s="19"/>
      <c r="J9" s="19"/>
      <c r="K9" s="19"/>
      <c r="L9" s="19"/>
      <c r="M9" s="19"/>
      <c r="N9" s="19"/>
      <c r="O9" s="19"/>
      <c r="P9" s="19"/>
    </row>
    <row r="10" spans="1:16">
      <c r="A10" s="24" t="s">
        <v>213</v>
      </c>
      <c r="B10" s="25">
        <f ca="1">'EF ele_warmte'!B12</f>
        <v>0.2069730925932653</v>
      </c>
      <c r="C10" s="25">
        <f ca="1">'EF ele_warmte'!B22</f>
        <v>0.21441220671393577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4558.7721000820484</v>
      </c>
      <c r="C12" s="23">
        <f ca="1">C10*C8</f>
        <v>0</v>
      </c>
      <c r="D12" s="23">
        <f>D8*D10</f>
        <v>9847.5590157186398</v>
      </c>
      <c r="E12" s="23">
        <f>E10*E8</f>
        <v>3126.6577598119297</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1914</v>
      </c>
      <c r="C18" s="166" t="s">
        <v>110</v>
      </c>
      <c r="D18" s="228"/>
      <c r="E18" s="15"/>
    </row>
    <row r="19" spans="1:7">
      <c r="A19" s="171" t="s">
        <v>71</v>
      </c>
      <c r="B19" s="37">
        <f>aantalw2001_ander</f>
        <v>6</v>
      </c>
      <c r="C19" s="166" t="s">
        <v>110</v>
      </c>
      <c r="D19" s="229"/>
      <c r="E19" s="15"/>
    </row>
    <row r="20" spans="1:7">
      <c r="A20" s="171" t="s">
        <v>72</v>
      </c>
      <c r="B20" s="37">
        <f>aantalw2001_propaan</f>
        <v>114</v>
      </c>
      <c r="C20" s="167">
        <f>IF(ISERROR(B20/SUM($B$20,$B$21,$B$22)*100),0,B20/SUM($B$20,$B$21,$B$22)*100)</f>
        <v>19</v>
      </c>
      <c r="D20" s="229"/>
      <c r="E20" s="15"/>
    </row>
    <row r="21" spans="1:7">
      <c r="A21" s="171" t="s">
        <v>73</v>
      </c>
      <c r="B21" s="37">
        <f>aantalw2001_elektriciteit</f>
        <v>381</v>
      </c>
      <c r="C21" s="167">
        <f>IF(ISERROR(B21/SUM($B$20,$B$21,$B$22)*100),0,B21/SUM($B$20,$B$21,$B$22)*100)</f>
        <v>63.5</v>
      </c>
      <c r="D21" s="229"/>
      <c r="E21" s="15"/>
    </row>
    <row r="22" spans="1:7">
      <c r="A22" s="171" t="s">
        <v>74</v>
      </c>
      <c r="B22" s="37">
        <f>aantalw2001_hout</f>
        <v>105</v>
      </c>
      <c r="C22" s="167">
        <f>IF(ISERROR(B22/SUM($B$20,$B$21,$B$22)*100),0,B22/SUM($B$20,$B$21,$B$22)*100)</f>
        <v>17.5</v>
      </c>
      <c r="D22" s="229"/>
      <c r="E22" s="15"/>
    </row>
    <row r="23" spans="1:7">
      <c r="A23" s="171" t="s">
        <v>75</v>
      </c>
      <c r="B23" s="37">
        <f>aantalw2001_niet_gespec</f>
        <v>41</v>
      </c>
      <c r="C23" s="166" t="s">
        <v>110</v>
      </c>
      <c r="D23" s="228"/>
      <c r="E23" s="15"/>
    </row>
    <row r="24" spans="1:7">
      <c r="A24" s="171" t="s">
        <v>76</v>
      </c>
      <c r="B24" s="37">
        <f>aantalw2001_steenkool</f>
        <v>117</v>
      </c>
      <c r="C24" s="166" t="s">
        <v>110</v>
      </c>
      <c r="D24" s="229"/>
      <c r="E24" s="15"/>
    </row>
    <row r="25" spans="1:7">
      <c r="A25" s="171" t="s">
        <v>77</v>
      </c>
      <c r="B25" s="37">
        <f>aantalw2001_stookolie</f>
        <v>1106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4656</v>
      </c>
      <c r="C28" s="36"/>
      <c r="D28" s="228"/>
    </row>
    <row r="29" spans="1:7" s="15" customFormat="1">
      <c r="A29" s="230" t="s">
        <v>781</v>
      </c>
      <c r="B29" s="37">
        <f>SUM(HH_hh_gas_aantal,HH_rest_gas_aantal)</f>
        <v>3231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3231</v>
      </c>
      <c r="C32" s="167">
        <f>IF(ISERROR(B32/SUM($B$32,$B$34,$B$35,$B$36,$B$38,$B$39)*100),0,B32/SUM($B$32,$B$34,$B$35,$B$36,$B$38,$B$39)*100)</f>
        <v>70.208604954367672</v>
      </c>
      <c r="D32" s="233"/>
      <c r="G32" s="15"/>
    </row>
    <row r="33" spans="1:7">
      <c r="A33" s="171" t="s">
        <v>71</v>
      </c>
      <c r="B33" s="34" t="s">
        <v>110</v>
      </c>
      <c r="C33" s="167"/>
      <c r="D33" s="233"/>
      <c r="G33" s="15"/>
    </row>
    <row r="34" spans="1:7">
      <c r="A34" s="171" t="s">
        <v>72</v>
      </c>
      <c r="B34" s="33">
        <f>IF((($B$28-$B$32-$B$39-$B$77-$B$38)*C20/100)&lt;0,0,($B$28-$B$32-$B$39-$B$77-$B$38)*C20/100)</f>
        <v>260.49</v>
      </c>
      <c r="C34" s="167">
        <f>IF(ISERROR(B34/SUM($B$32,$B$34,$B$35,$B$36,$B$38,$B$39)*100),0,B34/SUM($B$32,$B$34,$B$35,$B$36,$B$38,$B$39)*100)</f>
        <v>5.6603650586701439</v>
      </c>
      <c r="D34" s="233"/>
      <c r="G34" s="15"/>
    </row>
    <row r="35" spans="1:7">
      <c r="A35" s="171" t="s">
        <v>73</v>
      </c>
      <c r="B35" s="33">
        <f>IF((($B$28-$B$32-$B$39-$B$77-$B$38)*C21/100)&lt;0,0,($B$28-$B$32-$B$39-$B$77-$B$38)*C21/100)</f>
        <v>870.58500000000004</v>
      </c>
      <c r="C35" s="167">
        <f>IF(ISERROR(B35/SUM($B$32,$B$34,$B$35,$B$36,$B$38,$B$39)*100),0,B35/SUM($B$32,$B$34,$B$35,$B$36,$B$38,$B$39)*100)</f>
        <v>18.917535853976535</v>
      </c>
      <c r="D35" s="233"/>
      <c r="G35" s="15"/>
    </row>
    <row r="36" spans="1:7">
      <c r="A36" s="171" t="s">
        <v>74</v>
      </c>
      <c r="B36" s="33">
        <f>IF((($B$28-$B$32-$B$39-$B$77-$B$38)*C22/100)&lt;0,0,($B$28-$B$32-$B$39-$B$77-$B$38)*C22/100)</f>
        <v>239.92500000000001</v>
      </c>
      <c r="C36" s="167">
        <f>IF(ISERROR(B36/SUM($B$32,$B$34,$B$35,$B$36,$B$38,$B$39)*100),0,B36/SUM($B$32,$B$34,$B$35,$B$36,$B$38,$B$39)*100)</f>
        <v>5.2134941329856588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3231</v>
      </c>
      <c r="C44" s="34" t="s">
        <v>110</v>
      </c>
      <c r="D44" s="174"/>
    </row>
    <row r="45" spans="1:7">
      <c r="A45" s="171" t="s">
        <v>71</v>
      </c>
      <c r="B45" s="33" t="str">
        <f t="shared" si="0"/>
        <v>-</v>
      </c>
      <c r="C45" s="34" t="s">
        <v>110</v>
      </c>
      <c r="D45" s="174"/>
    </row>
    <row r="46" spans="1:7">
      <c r="A46" s="171" t="s">
        <v>72</v>
      </c>
      <c r="B46" s="33">
        <f t="shared" si="0"/>
        <v>260.49</v>
      </c>
      <c r="C46" s="34" t="s">
        <v>110</v>
      </c>
      <c r="D46" s="174"/>
    </row>
    <row r="47" spans="1:7">
      <c r="A47" s="171" t="s">
        <v>73</v>
      </c>
      <c r="B47" s="33">
        <f t="shared" si="0"/>
        <v>870.58500000000004</v>
      </c>
      <c r="C47" s="34" t="s">
        <v>110</v>
      </c>
      <c r="D47" s="174"/>
    </row>
    <row r="48" spans="1:7">
      <c r="A48" s="171" t="s">
        <v>74</v>
      </c>
      <c r="B48" s="33">
        <f t="shared" si="0"/>
        <v>239.92500000000001</v>
      </c>
      <c r="C48" s="33">
        <f>B48*10</f>
        <v>2399.25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20702.024673604057</v>
      </c>
      <c r="C5" s="17">
        <f>IF(ISERROR('Eigen informatie GS &amp; warmtenet'!B58),0,'Eigen informatie GS &amp; warmtenet'!B58)</f>
        <v>0</v>
      </c>
      <c r="D5" s="30">
        <f>SUM(D6:D12)</f>
        <v>11263.749714707545</v>
      </c>
      <c r="E5" s="17">
        <f>SUM(E6:E12)</f>
        <v>312.81465876275166</v>
      </c>
      <c r="F5" s="17">
        <f>SUM(F6:F12)</f>
        <v>3816.1516467815713</v>
      </c>
      <c r="G5" s="18"/>
      <c r="H5" s="17"/>
      <c r="I5" s="17"/>
      <c r="J5" s="17">
        <f>SUM(J6:J12)</f>
        <v>8.9037231521841231E-2</v>
      </c>
      <c r="K5" s="17"/>
      <c r="L5" s="17"/>
      <c r="M5" s="17"/>
      <c r="N5" s="17">
        <f>SUM(N6:N12)</f>
        <v>3514.3680115953016</v>
      </c>
      <c r="O5" s="17">
        <f>B38*B39*B40</f>
        <v>1.5633333333333335</v>
      </c>
      <c r="P5" s="17">
        <f>B46*B47*B48/1000-B46*B47*B48/1000/B49</f>
        <v>38.133333333333333</v>
      </c>
      <c r="R5" s="32"/>
    </row>
    <row r="6" spans="1:18">
      <c r="A6" s="32" t="s">
        <v>53</v>
      </c>
      <c r="B6" s="37">
        <f>B26</f>
        <v>1315.7331100492099</v>
      </c>
      <c r="C6" s="33"/>
      <c r="D6" s="37">
        <f>IF(ISERROR(TER_kantoor_gas_kWh/1000),0,TER_kantoor_gas_kWh/1000)*0.902</f>
        <v>1162.8933275989912</v>
      </c>
      <c r="E6" s="33">
        <f>$C$26*'E Balans VL '!I12/100/3.6*1000000</f>
        <v>8.2465775278117593E-3</v>
      </c>
      <c r="F6" s="33">
        <f>$C$26*('E Balans VL '!L12+'E Balans VL '!N12)/100/3.6*1000000</f>
        <v>197.71792135087654</v>
      </c>
      <c r="G6" s="34"/>
      <c r="H6" s="33"/>
      <c r="I6" s="33"/>
      <c r="J6" s="33">
        <f>$C$26*('E Balans VL '!D12+'E Balans VL '!E12)/100/3.6*1000000</f>
        <v>0</v>
      </c>
      <c r="K6" s="33"/>
      <c r="L6" s="33"/>
      <c r="M6" s="33"/>
      <c r="N6" s="33">
        <f>$C$26*'E Balans VL '!Y12/100/3.6*1000000</f>
        <v>1.2583036409197397</v>
      </c>
      <c r="O6" s="33"/>
      <c r="P6" s="33"/>
      <c r="R6" s="32"/>
    </row>
    <row r="7" spans="1:18">
      <c r="A7" s="32" t="s">
        <v>52</v>
      </c>
      <c r="B7" s="37">
        <f t="shared" ref="B7:B12" si="0">B27</f>
        <v>1727.6346367147098</v>
      </c>
      <c r="C7" s="33"/>
      <c r="D7" s="37">
        <f>IF(ISERROR(TER_horeca_gas_kWh/1000),0,TER_horeca_gas_kWh/1000)*0.902</f>
        <v>1451.7848375245246</v>
      </c>
      <c r="E7" s="33">
        <f>$C$27*'E Balans VL '!I9/100/3.6*1000000</f>
        <v>24.739440228758721</v>
      </c>
      <c r="F7" s="33">
        <f>$C$27*('E Balans VL '!L9+'E Balans VL '!N9)/100/3.6*1000000</f>
        <v>218.77552459358887</v>
      </c>
      <c r="G7" s="34"/>
      <c r="H7" s="33"/>
      <c r="I7" s="33"/>
      <c r="J7" s="33">
        <f>$C$27*('E Balans VL '!D9+'E Balans VL '!E9)/100/3.6*1000000</f>
        <v>0</v>
      </c>
      <c r="K7" s="33"/>
      <c r="L7" s="33"/>
      <c r="M7" s="33"/>
      <c r="N7" s="33">
        <f>$C$27*'E Balans VL '!Y9/100/3.6*1000000</f>
        <v>0.49665686698146455</v>
      </c>
      <c r="O7" s="33"/>
      <c r="P7" s="33"/>
      <c r="R7" s="32"/>
    </row>
    <row r="8" spans="1:18">
      <c r="A8" s="6" t="s">
        <v>51</v>
      </c>
      <c r="B8" s="37">
        <f t="shared" si="0"/>
        <v>4331.8301634918098</v>
      </c>
      <c r="C8" s="33"/>
      <c r="D8" s="37">
        <f>IF(ISERROR(TER_handel_gas_kWh/1000),0,TER_handel_gas_kWh/1000)*0.902</f>
        <v>2779.9264466512363</v>
      </c>
      <c r="E8" s="33">
        <f>$C$28*'E Balans VL '!I13/100/3.6*1000000</f>
        <v>157.11494585248417</v>
      </c>
      <c r="F8" s="33">
        <f>$C$28*('E Balans VL '!L13+'E Balans VL '!N13)/100/3.6*1000000</f>
        <v>834.35435205762315</v>
      </c>
      <c r="G8" s="34"/>
      <c r="H8" s="33"/>
      <c r="I8" s="33"/>
      <c r="J8" s="33">
        <f>$C$28*('E Balans VL '!D13+'E Balans VL '!E13)/100/3.6*1000000</f>
        <v>0</v>
      </c>
      <c r="K8" s="33"/>
      <c r="L8" s="33"/>
      <c r="M8" s="33"/>
      <c r="N8" s="33">
        <f>$C$28*'E Balans VL '!Y13/100/3.6*1000000</f>
        <v>6.0005814861048572</v>
      </c>
      <c r="O8" s="33"/>
      <c r="P8" s="33"/>
      <c r="R8" s="32"/>
    </row>
    <row r="9" spans="1:18">
      <c r="A9" s="32" t="s">
        <v>50</v>
      </c>
      <c r="B9" s="37">
        <f t="shared" si="0"/>
        <v>116.49523059794299</v>
      </c>
      <c r="C9" s="33"/>
      <c r="D9" s="37">
        <f>IF(ISERROR(TER_gezond_gas_kWh/1000),0,TER_gezond_gas_kWh/1000)*0.902</f>
        <v>339.64913174010002</v>
      </c>
      <c r="E9" s="33">
        <f>$C$29*'E Balans VL '!I10/100/3.6*1000000</f>
        <v>7.2937516180408835E-3</v>
      </c>
      <c r="F9" s="33">
        <f>$C$29*('E Balans VL '!L10+'E Balans VL '!N10)/100/3.6*1000000</f>
        <v>17.305721199522317</v>
      </c>
      <c r="G9" s="34"/>
      <c r="H9" s="33"/>
      <c r="I9" s="33"/>
      <c r="J9" s="33">
        <f>$C$29*('E Balans VL '!D10+'E Balans VL '!E10)/100/3.6*1000000</f>
        <v>0</v>
      </c>
      <c r="K9" s="33"/>
      <c r="L9" s="33"/>
      <c r="M9" s="33"/>
      <c r="N9" s="33">
        <f>$C$29*'E Balans VL '!Y10/100/3.6*1000000</f>
        <v>1.8019594677178672</v>
      </c>
      <c r="O9" s="33"/>
      <c r="P9" s="33"/>
      <c r="R9" s="32"/>
    </row>
    <row r="10" spans="1:18">
      <c r="A10" s="32" t="s">
        <v>49</v>
      </c>
      <c r="B10" s="37">
        <f t="shared" si="0"/>
        <v>2968.9999353026701</v>
      </c>
      <c r="C10" s="33"/>
      <c r="D10" s="37">
        <f>IF(ISERROR(TER_ander_gas_kWh/1000),0,TER_ander_gas_kWh/1000)*0.902</f>
        <v>1098.1882921290621</v>
      </c>
      <c r="E10" s="33">
        <f>$C$30*'E Balans VL '!I14/100/3.6*1000000</f>
        <v>3.538941828749854</v>
      </c>
      <c r="F10" s="33">
        <f>$C$30*('E Balans VL '!L14+'E Balans VL '!N14)/100/3.6*1000000</f>
        <v>776.82237444528528</v>
      </c>
      <c r="G10" s="34"/>
      <c r="H10" s="33"/>
      <c r="I10" s="33"/>
      <c r="J10" s="33">
        <f>$C$30*('E Balans VL '!D14+'E Balans VL '!E14)/100/3.6*1000000</f>
        <v>6.4445350437026941E-2</v>
      </c>
      <c r="K10" s="33"/>
      <c r="L10" s="33"/>
      <c r="M10" s="33"/>
      <c r="N10" s="33">
        <f>$C$30*'E Balans VL '!Y14/100/3.6*1000000</f>
        <v>2521.202094653238</v>
      </c>
      <c r="O10" s="33"/>
      <c r="P10" s="33"/>
      <c r="R10" s="32"/>
    </row>
    <row r="11" spans="1:18">
      <c r="A11" s="32" t="s">
        <v>54</v>
      </c>
      <c r="B11" s="37">
        <f t="shared" si="0"/>
        <v>85.797922244512506</v>
      </c>
      <c r="C11" s="33"/>
      <c r="D11" s="37">
        <f>IF(ISERROR(TER_onderwijs_gas_kWh/1000),0,TER_onderwijs_gas_kWh/1000)*0.902</f>
        <v>210.96099783798886</v>
      </c>
      <c r="E11" s="33">
        <f>$C$31*'E Balans VL '!I11/100/3.6*1000000</f>
        <v>1.294552455975408</v>
      </c>
      <c r="F11" s="33">
        <f>$C$31*('E Balans VL '!L11+'E Balans VL '!N11)/100/3.6*1000000</f>
        <v>15.033166639823204</v>
      </c>
      <c r="G11" s="34"/>
      <c r="H11" s="33"/>
      <c r="I11" s="33"/>
      <c r="J11" s="33">
        <f>$C$31*('E Balans VL '!D11+'E Balans VL '!E11)/100/3.6*1000000</f>
        <v>0</v>
      </c>
      <c r="K11" s="33"/>
      <c r="L11" s="33"/>
      <c r="M11" s="33"/>
      <c r="N11" s="33">
        <f>$C$31*'E Balans VL '!Y11/100/3.6*1000000</f>
        <v>0.24144187580250029</v>
      </c>
      <c r="O11" s="33"/>
      <c r="P11" s="33"/>
      <c r="R11" s="32"/>
    </row>
    <row r="12" spans="1:18">
      <c r="A12" s="32" t="s">
        <v>259</v>
      </c>
      <c r="B12" s="37">
        <f t="shared" si="0"/>
        <v>10155.5336752032</v>
      </c>
      <c r="C12" s="33"/>
      <c r="D12" s="37">
        <f>IF(ISERROR(TER_rest_gas_kWh/1000),0,TER_rest_gas_kWh/1000)*0.902</f>
        <v>4220.3466812256438</v>
      </c>
      <c r="E12" s="33">
        <f>$C$32*'E Balans VL '!I8/100/3.6*1000000</f>
        <v>126.11123806763767</v>
      </c>
      <c r="F12" s="33">
        <f>$C$32*('E Balans VL '!L8+'E Balans VL '!N8)/100/3.6*1000000</f>
        <v>1756.1425864948519</v>
      </c>
      <c r="G12" s="34"/>
      <c r="H12" s="33"/>
      <c r="I12" s="33"/>
      <c r="J12" s="33">
        <f>$C$32*('E Balans VL '!D8+'E Balans VL '!E8)/100/3.6*1000000</f>
        <v>2.4591881084814294E-2</v>
      </c>
      <c r="K12" s="33"/>
      <c r="L12" s="33"/>
      <c r="M12" s="33"/>
      <c r="N12" s="33">
        <f>$C$32*'E Balans VL '!Y8/100/3.6*1000000</f>
        <v>983.36697360453729</v>
      </c>
      <c r="O12" s="33"/>
      <c r="P12" s="33"/>
      <c r="R12" s="32"/>
    </row>
    <row r="13" spans="1:18">
      <c r="A13" s="16" t="s">
        <v>487</v>
      </c>
      <c r="B13" s="247">
        <f ca="1">'lokale energieproductie'!N49+'lokale energieproductie'!N42</f>
        <v>0</v>
      </c>
      <c r="C13" s="247">
        <f ca="1">'lokale energieproductie'!O49+'lokale energieproductie'!O42</f>
        <v>0</v>
      </c>
      <c r="D13" s="308">
        <f ca="1">('lokale energieproductie'!P42+'lokale energieproductie'!P49)*(-1)</f>
        <v>0</v>
      </c>
      <c r="E13" s="248"/>
      <c r="F13" s="308">
        <f ca="1">('lokale energieproductie'!S42+'lokale energieproductie'!S49)*(-1)</f>
        <v>0</v>
      </c>
      <c r="G13" s="249"/>
      <c r="H13" s="248"/>
      <c r="I13" s="248"/>
      <c r="J13" s="248"/>
      <c r="K13" s="248"/>
      <c r="L13" s="308">
        <f ca="1">('lokale energieproductie'!U42+'lokale energieproductie'!T42+'lokale energieproductie'!U49+'lokale energieproductie'!T49)*(-1)</f>
        <v>0</v>
      </c>
      <c r="M13" s="248"/>
      <c r="N13" s="308">
        <f ca="1">('lokale energieproductie'!Q42+'lokale energieproductie'!R42+'lokale energieproductie'!V42+'lokale energieproductie'!Q49+'lokale energieproductie'!R49+'lokale energieproductie'!V49)*(-1)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20702.024673604057</v>
      </c>
      <c r="C16" s="21">
        <f t="shared" ca="1" si="1"/>
        <v>0</v>
      </c>
      <c r="D16" s="21">
        <f t="shared" ca="1" si="1"/>
        <v>11263.749714707545</v>
      </c>
      <c r="E16" s="21">
        <f t="shared" si="1"/>
        <v>312.81465876275166</v>
      </c>
      <c r="F16" s="21">
        <f t="shared" ca="1" si="1"/>
        <v>3816.1516467815713</v>
      </c>
      <c r="G16" s="21">
        <f t="shared" si="1"/>
        <v>0</v>
      </c>
      <c r="H16" s="21">
        <f t="shared" si="1"/>
        <v>0</v>
      </c>
      <c r="I16" s="21">
        <f t="shared" si="1"/>
        <v>0</v>
      </c>
      <c r="J16" s="21">
        <f t="shared" si="1"/>
        <v>8.9037231521841231E-2</v>
      </c>
      <c r="K16" s="21">
        <f t="shared" si="1"/>
        <v>0</v>
      </c>
      <c r="L16" s="21">
        <f t="shared" ca="1" si="1"/>
        <v>0</v>
      </c>
      <c r="M16" s="21">
        <f t="shared" si="1"/>
        <v>0</v>
      </c>
      <c r="N16" s="21">
        <f t="shared" ca="1" si="1"/>
        <v>3514.3680115953016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0.2069730925932653</v>
      </c>
      <c r="C18" s="25">
        <f ca="1">'EF ele_warmte'!B22</f>
        <v>0.21441220671393577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4284.7620696379154</v>
      </c>
      <c r="C20" s="23">
        <f t="shared" ref="C20:P20" ca="1" si="2">C16*C18</f>
        <v>0</v>
      </c>
      <c r="D20" s="23">
        <f t="shared" ca="1" si="2"/>
        <v>2275.2774423709243</v>
      </c>
      <c r="E20" s="23">
        <f t="shared" si="2"/>
        <v>71.008927539144636</v>
      </c>
      <c r="F20" s="23">
        <f t="shared" ca="1" si="2"/>
        <v>1018.9124896906796</v>
      </c>
      <c r="G20" s="23">
        <f t="shared" si="2"/>
        <v>0</v>
      </c>
      <c r="H20" s="23">
        <f t="shared" si="2"/>
        <v>0</v>
      </c>
      <c r="I20" s="23">
        <f t="shared" si="2"/>
        <v>0</v>
      </c>
      <c r="J20" s="23">
        <f t="shared" si="2"/>
        <v>3.1519179958731797E-2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1315.7331100492099</v>
      </c>
      <c r="C26" s="39">
        <f>IF(ISERROR(B26*3.6/1000000/'E Balans VL '!Z12*100),0,B26*3.6/1000000/'E Balans VL '!Z12*100)</f>
        <v>2.781251365683534E-2</v>
      </c>
      <c r="D26" s="237" t="s">
        <v>744</v>
      </c>
      <c r="F26" s="6"/>
    </row>
    <row r="27" spans="1:18">
      <c r="A27" s="231" t="s">
        <v>52</v>
      </c>
      <c r="B27" s="33">
        <f>IF(ISERROR(TER_horeca_ele_kWh/1000),0,TER_horeca_ele_kWh/1000)</f>
        <v>1727.6346367147098</v>
      </c>
      <c r="C27" s="39">
        <f>IF(ISERROR(B27*3.6/1000000/'E Balans VL '!Z9*100),0,B27*3.6/1000000/'E Balans VL '!Z9*100)</f>
        <v>0.13618879448991805</v>
      </c>
      <c r="D27" s="237" t="s">
        <v>744</v>
      </c>
      <c r="F27" s="6"/>
    </row>
    <row r="28" spans="1:18">
      <c r="A28" s="171" t="s">
        <v>51</v>
      </c>
      <c r="B28" s="33">
        <f>IF(ISERROR(TER_handel_ele_kWh/1000),0,TER_handel_ele_kWh/1000)</f>
        <v>4331.8301634918098</v>
      </c>
      <c r="C28" s="39">
        <f>IF(ISERROR(B28*3.6/1000000/'E Balans VL '!Z13*100),0,B28*3.6/1000000/'E Balans VL '!Z13*100)</f>
        <v>0.12572721389966099</v>
      </c>
      <c r="D28" s="237" t="s">
        <v>744</v>
      </c>
      <c r="F28" s="6"/>
    </row>
    <row r="29" spans="1:18">
      <c r="A29" s="231" t="s">
        <v>50</v>
      </c>
      <c r="B29" s="33">
        <f>IF(ISERROR(TER_gezond_ele_kWh/1000),0,TER_gezond_ele_kWh/1000)</f>
        <v>116.49523059794299</v>
      </c>
      <c r="C29" s="39">
        <f>IF(ISERROR(B29*3.6/1000000/'E Balans VL '!Z10*100),0,B29*3.6/1000000/'E Balans VL '!Z10*100)</f>
        <v>1.226886068414304E-2</v>
      </c>
      <c r="D29" s="237" t="s">
        <v>744</v>
      </c>
      <c r="F29" s="6"/>
    </row>
    <row r="30" spans="1:18">
      <c r="A30" s="231" t="s">
        <v>49</v>
      </c>
      <c r="B30" s="33">
        <f>IF(ISERROR(TER_ander_ele_kWh/1000),0,TER_ander_ele_kWh/1000)</f>
        <v>2968.9999353026701</v>
      </c>
      <c r="C30" s="39">
        <f>IF(ISERROR(B30*3.6/1000000/'E Balans VL '!Z14*100),0,B30*3.6/1000000/'E Balans VL '!Z14*100)</f>
        <v>0.21899408009150315</v>
      </c>
      <c r="D30" s="237" t="s">
        <v>744</v>
      </c>
      <c r="F30" s="6"/>
    </row>
    <row r="31" spans="1:18">
      <c r="A31" s="231" t="s">
        <v>54</v>
      </c>
      <c r="B31" s="33">
        <f>IF(ISERROR(TER_onderwijs_ele_kWh/1000),0,TER_onderwijs_ele_kWh/1000)</f>
        <v>85.797922244512506</v>
      </c>
      <c r="C31" s="39">
        <f>IF(ISERROR(B31*3.6/1000000/'E Balans VL '!Z11*100),0,B31*3.6/1000000/'E Balans VL '!Z11*100)</f>
        <v>2.1307643104678246E-2</v>
      </c>
      <c r="D31" s="237" t="s">
        <v>744</v>
      </c>
    </row>
    <row r="32" spans="1:18">
      <c r="A32" s="231" t="s">
        <v>259</v>
      </c>
      <c r="B32" s="33">
        <f>IF(ISERROR(TER_rest_ele_kWh/1000),0,TER_rest_ele_kWh/1000)</f>
        <v>10155.5336752032</v>
      </c>
      <c r="C32" s="39">
        <f>IF(ISERROR(B32*3.6/1000000/'E Balans VL '!Z8*100),0,B32*3.6/1000000/'E Balans VL '!Z8*100)</f>
        <v>8.3566562046256301E-2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13822.532427949725</v>
      </c>
      <c r="C5" s="17">
        <f>IF(ISERROR('Eigen informatie GS &amp; warmtenet'!B59),0,'Eigen informatie GS &amp; warmtenet'!B59)</f>
        <v>0</v>
      </c>
      <c r="D5" s="30">
        <f>SUM(D6:D15)</f>
        <v>18847.58075553838</v>
      </c>
      <c r="E5" s="17">
        <f>SUM(E6:E15)</f>
        <v>1563.2348023504594</v>
      </c>
      <c r="F5" s="17">
        <f>SUM(F6:F15)</f>
        <v>4788.351905690186</v>
      </c>
      <c r="G5" s="18"/>
      <c r="H5" s="17"/>
      <c r="I5" s="17"/>
      <c r="J5" s="17">
        <f>SUM(J6:J15)</f>
        <v>33.570317151529537</v>
      </c>
      <c r="K5" s="17"/>
      <c r="L5" s="17"/>
      <c r="M5" s="17"/>
      <c r="N5" s="17">
        <f>SUM(N6:N15)</f>
        <v>969.81752967605939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523.59930297493395</v>
      </c>
      <c r="C8" s="33"/>
      <c r="D8" s="37">
        <f>IF( ISERROR(IND_metaal_Gas_kWH/1000),0,IND_metaal_Gas_kWH/1000)*0.902</f>
        <v>119.45605354429628</v>
      </c>
      <c r="E8" s="33">
        <f>C30*'E Balans VL '!I18/100/3.6*1000000</f>
        <v>4.8139898938385111</v>
      </c>
      <c r="F8" s="33">
        <f>C30*'E Balans VL '!L18/100/3.6*1000000+C30*'E Balans VL '!N18/100/3.6*1000000</f>
        <v>49.096182233666802</v>
      </c>
      <c r="G8" s="34"/>
      <c r="H8" s="33"/>
      <c r="I8" s="33"/>
      <c r="J8" s="40">
        <f>C30*'E Balans VL '!D18/100/3.6*1000000+C30*'E Balans VL '!E18/100/3.6*1000000</f>
        <v>0</v>
      </c>
      <c r="K8" s="33"/>
      <c r="L8" s="33"/>
      <c r="M8" s="33"/>
      <c r="N8" s="33">
        <f>C30*'E Balans VL '!Y18/100/3.6*1000000</f>
        <v>7.4700093412236264</v>
      </c>
      <c r="O8" s="33"/>
      <c r="P8" s="33"/>
      <c r="R8" s="32"/>
    </row>
    <row r="9" spans="1:18">
      <c r="A9" s="6" t="s">
        <v>32</v>
      </c>
      <c r="B9" s="37">
        <f t="shared" si="0"/>
        <v>3557.3184923886297</v>
      </c>
      <c r="C9" s="33"/>
      <c r="D9" s="37">
        <f>IF( ISERROR(IND_andere_gas_kWh/1000),0,IND_andere_gas_kWh/1000)*0.902</f>
        <v>936.42294418697645</v>
      </c>
      <c r="E9" s="33">
        <f>C31*'E Balans VL '!I19/100/3.6*1000000</f>
        <v>1039.87344814792</v>
      </c>
      <c r="F9" s="33">
        <f>C31*'E Balans VL '!L19/100/3.6*1000000+C31*'E Balans VL '!N19/100/3.6*1000000</f>
        <v>2858.5746729025423</v>
      </c>
      <c r="G9" s="34"/>
      <c r="H9" s="33"/>
      <c r="I9" s="33"/>
      <c r="J9" s="40">
        <f>C31*'E Balans VL '!D19/100/3.6*1000000+C31*'E Balans VL '!E19/100/3.6*1000000</f>
        <v>0</v>
      </c>
      <c r="K9" s="33"/>
      <c r="L9" s="33"/>
      <c r="M9" s="33"/>
      <c r="N9" s="33">
        <f>C31*'E Balans VL '!Y19/100/3.6*1000000</f>
        <v>279.03123110372655</v>
      </c>
      <c r="O9" s="33"/>
      <c r="P9" s="33"/>
      <c r="R9" s="32"/>
    </row>
    <row r="10" spans="1:18">
      <c r="A10" s="6" t="s">
        <v>40</v>
      </c>
      <c r="B10" s="37">
        <f t="shared" si="0"/>
        <v>360.000272763819</v>
      </c>
      <c r="C10" s="33"/>
      <c r="D10" s="37">
        <f>IF( ISERROR(IND_voed_gas_kWh/1000),0,IND_voed_gas_kWh/1000)*0.902</f>
        <v>599.5681011854607</v>
      </c>
      <c r="E10" s="33">
        <f>C32*'E Balans VL '!I20/100/3.6*1000000</f>
        <v>0.76158615890219916</v>
      </c>
      <c r="F10" s="33">
        <f>C32*'E Balans VL '!L20/100/3.6*1000000+C32*'E Balans VL '!N20/100/3.6*1000000</f>
        <v>22.889185071818737</v>
      </c>
      <c r="G10" s="34"/>
      <c r="H10" s="33"/>
      <c r="I10" s="33"/>
      <c r="J10" s="40">
        <f>C32*'E Balans VL '!D20/100/3.6*1000000+C32*'E Balans VL '!E20/100/3.6*1000000</f>
        <v>0</v>
      </c>
      <c r="K10" s="33"/>
      <c r="L10" s="33"/>
      <c r="M10" s="33"/>
      <c r="N10" s="33">
        <f>C32*'E Balans VL '!Y20/100/3.6*1000000</f>
        <v>24.84357139020069</v>
      </c>
      <c r="O10" s="33"/>
      <c r="P10" s="33"/>
      <c r="R10" s="32"/>
    </row>
    <row r="11" spans="1:18">
      <c r="A11" s="6" t="s">
        <v>39</v>
      </c>
      <c r="B11" s="37">
        <f t="shared" si="0"/>
        <v>4.3809895684939999</v>
      </c>
      <c r="C11" s="33"/>
      <c r="D11" s="37">
        <f>IF( ISERROR(IND_textiel_gas_kWh/1000),0,IND_textiel_gas_kWh/1000)*0.902</f>
        <v>26.022160651324423</v>
      </c>
      <c r="E11" s="33">
        <f>C33*'E Balans VL '!I21/100/3.6*1000000</f>
        <v>1.3011161304513684E-2</v>
      </c>
      <c r="F11" s="33">
        <f>C33*'E Balans VL '!L21/100/3.6*1000000+C33*'E Balans VL '!N21/100/3.6*1000000</f>
        <v>0.44260022261638754</v>
      </c>
      <c r="G11" s="34"/>
      <c r="H11" s="33"/>
      <c r="I11" s="33"/>
      <c r="J11" s="40">
        <f>C33*'E Balans VL '!D21/100/3.6*1000000+C33*'E Balans VL '!E21/100/3.6*1000000</f>
        <v>0</v>
      </c>
      <c r="K11" s="33"/>
      <c r="L11" s="33"/>
      <c r="M11" s="33"/>
      <c r="N11" s="33">
        <f>C33*'E Balans VL '!Y21/100/3.6*1000000</f>
        <v>0.24162555599212837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9377.233370253849</v>
      </c>
      <c r="C15" s="33"/>
      <c r="D15" s="37">
        <f>IF( ISERROR(IND_rest_gas_kWh/1000),0,IND_rest_gas_kWh/1000)*0.902</f>
        <v>17166.111495970323</v>
      </c>
      <c r="E15" s="33">
        <f>C37*'E Balans VL '!I15/100/3.6*1000000</f>
        <v>517.77276698849414</v>
      </c>
      <c r="F15" s="33">
        <f>C37*'E Balans VL '!L15/100/3.6*1000000+C37*'E Balans VL '!N15/100/3.6*1000000</f>
        <v>1857.3492652595414</v>
      </c>
      <c r="G15" s="34"/>
      <c r="H15" s="33"/>
      <c r="I15" s="33"/>
      <c r="J15" s="40">
        <f>C37*'E Balans VL '!D15/100/3.6*1000000+C37*'E Balans VL '!E15/100/3.6*1000000</f>
        <v>33.570317151529537</v>
      </c>
      <c r="K15" s="33"/>
      <c r="L15" s="33"/>
      <c r="M15" s="33"/>
      <c r="N15" s="33">
        <f>C37*'E Balans VL '!Y15/100/3.6*1000000</f>
        <v>658.23109228491637</v>
      </c>
      <c r="O15" s="33"/>
      <c r="P15" s="33"/>
      <c r="R15" s="32"/>
    </row>
    <row r="16" spans="1:18">
      <c r="A16" s="16" t="s">
        <v>487</v>
      </c>
      <c r="B16" s="247">
        <f>'lokale energieproductie'!N48+'lokale energieproductie'!N41</f>
        <v>0</v>
      </c>
      <c r="C16" s="247">
        <f>'lokale energieproductie'!O48+'lokale energieproductie'!O41</f>
        <v>0</v>
      </c>
      <c r="D16" s="308">
        <f>('lokale energieproductie'!P41+'lokale energieproductie'!P48)*(-1)</f>
        <v>0</v>
      </c>
      <c r="E16" s="248"/>
      <c r="F16" s="308">
        <f>('lokale energieproductie'!S41+'lokale energieproductie'!S48)*(-1)</f>
        <v>0</v>
      </c>
      <c r="G16" s="249"/>
      <c r="H16" s="248"/>
      <c r="I16" s="248"/>
      <c r="J16" s="248"/>
      <c r="K16" s="248"/>
      <c r="L16" s="308">
        <f>('lokale energieproductie'!T41+'lokale energieproductie'!U41+'lokale energieproductie'!T48+'lokale energieproductie'!U48)*(-1)</f>
        <v>0</v>
      </c>
      <c r="M16" s="248"/>
      <c r="N16" s="308">
        <f>('lokale energieproductie'!Q41+'lokale energieproductie'!R41+'lokale energieproductie'!V41+'lokale energieproductie'!Q48+'lokale energieproductie'!R48+'lokale energieproductie'!V48)*(-1)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13822.532427949725</v>
      </c>
      <c r="C18" s="21">
        <f>C5+C16</f>
        <v>0</v>
      </c>
      <c r="D18" s="21">
        <f>MAX((D5+D16),0)</f>
        <v>18847.58075553838</v>
      </c>
      <c r="E18" s="21">
        <f>MAX((E5+E16),0)</f>
        <v>1563.2348023504594</v>
      </c>
      <c r="F18" s="21">
        <f>MAX((F5+F16),0)</f>
        <v>4788.351905690186</v>
      </c>
      <c r="G18" s="21"/>
      <c r="H18" s="21"/>
      <c r="I18" s="21"/>
      <c r="J18" s="21">
        <f>MAX((J5+J16),0)</f>
        <v>33.570317151529537</v>
      </c>
      <c r="K18" s="21"/>
      <c r="L18" s="21">
        <f>MAX((L5+L16),0)</f>
        <v>0</v>
      </c>
      <c r="M18" s="21"/>
      <c r="N18" s="21">
        <f>MAX((N5+N16),0)</f>
        <v>969.81752967605939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0.2069730925932653</v>
      </c>
      <c r="C20" s="25">
        <f ca="1">'EF ele_warmte'!B22</f>
        <v>0.21441220671393577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2860.8922840834507</v>
      </c>
      <c r="C22" s="23">
        <f ca="1">C18*C20</f>
        <v>0</v>
      </c>
      <c r="D22" s="23">
        <f>D18*D20</f>
        <v>3807.2113126187528</v>
      </c>
      <c r="E22" s="23">
        <f>E18*E20</f>
        <v>354.85430013355432</v>
      </c>
      <c r="F22" s="23">
        <f>F18*F20</f>
        <v>1278.4899588192798</v>
      </c>
      <c r="G22" s="23"/>
      <c r="H22" s="23"/>
      <c r="I22" s="23"/>
      <c r="J22" s="23">
        <f>J18*J20</f>
        <v>11.883892271641455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523.59930297493395</v>
      </c>
      <c r="C30" s="39">
        <f>IF(ISERROR(B30*3.6/1000000/'E Balans VL '!Z18*100),0,B30*3.6/1000000/'E Balans VL '!Z18*100)</f>
        <v>2.967371509601464E-2</v>
      </c>
      <c r="D30" s="237" t="s">
        <v>744</v>
      </c>
    </row>
    <row r="31" spans="1:18">
      <c r="A31" s="6" t="s">
        <v>32</v>
      </c>
      <c r="B31" s="37">
        <f>IF( ISERROR(IND_ander_ele_kWh/1000),0,IND_ander_ele_kWh/1000)</f>
        <v>3557.3184923886297</v>
      </c>
      <c r="C31" s="39">
        <f>IF(ISERROR(B31*3.6/1000000/'E Balans VL '!Z19*100),0,B31*3.6/1000000/'E Balans VL '!Z19*100)</f>
        <v>0.16134515439835151</v>
      </c>
      <c r="D31" s="237" t="s">
        <v>744</v>
      </c>
    </row>
    <row r="32" spans="1:18">
      <c r="A32" s="171" t="s">
        <v>40</v>
      </c>
      <c r="B32" s="37">
        <f>IF( ISERROR(IND_voed_ele_kWh/1000),0,IND_voed_ele_kWh/1000)</f>
        <v>360.000272763819</v>
      </c>
      <c r="C32" s="39">
        <f>IF(ISERROR(B32*3.6/1000000/'E Balans VL '!Z20*100),0,B32*3.6/1000000/'E Balans VL '!Z20*100)</f>
        <v>1.1136442699833445E-2</v>
      </c>
      <c r="D32" s="237" t="s">
        <v>744</v>
      </c>
    </row>
    <row r="33" spans="1:5">
      <c r="A33" s="171" t="s">
        <v>39</v>
      </c>
      <c r="B33" s="37">
        <f>IF( ISERROR(IND_textiel_ele_kWh/1000),0,IND_textiel_ele_kWh/1000)</f>
        <v>4.3809895684939999</v>
      </c>
      <c r="C33" s="39">
        <f>IF(ISERROR(B33*3.6/1000000/'E Balans VL '!Z21*100),0,B33*3.6/1000000/'E Balans VL '!Z21*100)</f>
        <v>5.7123234255289693E-4</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9377.233370253849</v>
      </c>
      <c r="C37" s="39">
        <f>IF(ISERROR(B37*3.6/1000000/'E Balans VL '!Z15*100),0,B37*3.6/1000000/'E Balans VL '!Z15*100)</f>
        <v>7.4326090797099578E-2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5709.038992562093</v>
      </c>
      <c r="C5" s="17">
        <f>'Eigen informatie GS &amp; warmtenet'!B60</f>
        <v>0</v>
      </c>
      <c r="D5" s="30">
        <f>IF(ISERROR(SUM(LB_lb_gas_kWh,LB_rest_gas_kWh)/1000),0,SUM(LB_lb_gas_kWh,LB_rest_gas_kWh)/1000)*0.902</f>
        <v>248384.97254623752</v>
      </c>
      <c r="E5" s="17">
        <f>B17*'E Balans VL '!I25/3.6*1000000/100</f>
        <v>167.80609340913611</v>
      </c>
      <c r="F5" s="17">
        <f>B17*('E Balans VL '!L25/3.6*1000000+'E Balans VL '!N25/3.6*1000000)/100</f>
        <v>23783.547942738984</v>
      </c>
      <c r="G5" s="18"/>
      <c r="H5" s="17"/>
      <c r="I5" s="17"/>
      <c r="J5" s="17">
        <f>('E Balans VL '!D25+'E Balans VL '!E25)/3.6*1000000*landbouw!B17/100</f>
        <v>827.11714700645916</v>
      </c>
      <c r="K5" s="17"/>
      <c r="L5" s="17">
        <f>L6*(-1)</f>
        <v>0</v>
      </c>
      <c r="M5" s="17"/>
      <c r="N5" s="17">
        <f>N6*(-1)</f>
        <v>37724.142857142855</v>
      </c>
      <c r="O5" s="17"/>
      <c r="P5" s="17"/>
      <c r="R5" s="32"/>
    </row>
    <row r="6" spans="1:18">
      <c r="A6" s="16" t="s">
        <v>487</v>
      </c>
      <c r="B6" s="17" t="s">
        <v>210</v>
      </c>
      <c r="C6" s="17">
        <f>'lokale energieproductie'!O50+'lokale energieproductie'!O43</f>
        <v>192922.07142857142</v>
      </c>
      <c r="D6" s="308">
        <f>('lokale energieproductie'!P43+'lokale energieproductie'!P50)*(-1)</f>
        <v>-348120.00000000006</v>
      </c>
      <c r="E6" s="248"/>
      <c r="F6" s="308">
        <f>('lokale energieproductie'!S43+'lokale energieproductie'!S50)*(-1)</f>
        <v>0</v>
      </c>
      <c r="G6" s="249"/>
      <c r="H6" s="248"/>
      <c r="I6" s="248"/>
      <c r="J6" s="248"/>
      <c r="K6" s="248"/>
      <c r="L6" s="308">
        <f>('lokale energieproductie'!T43+'lokale energieproductie'!U43+'lokale energieproductie'!T50+'lokale energieproductie'!U50)*(-1)</f>
        <v>0</v>
      </c>
      <c r="M6" s="248"/>
      <c r="N6" s="308">
        <f>('lokale energieproductie'!V43+'lokale energieproductie'!R43+'lokale energieproductie'!Q43+'lokale energieproductie'!Q50+'lokale energieproductie'!R50+'lokale energieproductie'!V50)*(-1)</f>
        <v>-37724.142857142855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5709.038992562093</v>
      </c>
      <c r="C8" s="21">
        <f>C5+C6</f>
        <v>192922.07142857142</v>
      </c>
      <c r="D8" s="21">
        <f>MAX((D5+D6),0)</f>
        <v>0</v>
      </c>
      <c r="E8" s="21">
        <f>MAX((E5+E6),0)</f>
        <v>167.80609340913611</v>
      </c>
      <c r="F8" s="21">
        <f>MAX((F5+F6),0)</f>
        <v>23783.547942738984</v>
      </c>
      <c r="G8" s="21"/>
      <c r="H8" s="21"/>
      <c r="I8" s="21"/>
      <c r="J8" s="21">
        <f>MAX((J5+J6),0)</f>
        <v>827.11714700645916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0.2069730925932653</v>
      </c>
      <c r="C10" s="31">
        <f ca="1">'EF ele_warmte'!B22</f>
        <v>0.21441220671393577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1181.6174560261161</v>
      </c>
      <c r="C12" s="23">
        <f ca="1">C8*C10</f>
        <v>41364.847058823536</v>
      </c>
      <c r="D12" s="23">
        <f>D8*D10</f>
        <v>0</v>
      </c>
      <c r="E12" s="23">
        <f>E8*E10</f>
        <v>38.091983203873902</v>
      </c>
      <c r="F12" s="23">
        <f>F8*F10</f>
        <v>6350.2073007113086</v>
      </c>
      <c r="G12" s="23"/>
      <c r="H12" s="23"/>
      <c r="I12" s="23"/>
      <c r="J12" s="23">
        <f>J8*J10</f>
        <v>292.79947004028651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0.81013054460815326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772.92650829128343</v>
      </c>
      <c r="C26" s="247">
        <f>B26*'GWP N2O_CH4'!B5</f>
        <v>16231.456674116951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397.09153516778832</v>
      </c>
      <c r="C27" s="247">
        <f>B27*'GWP N2O_CH4'!B5</f>
        <v>8338.9222385235553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12.174466780901351</v>
      </c>
      <c r="C28" s="247">
        <f>B28*'GWP N2O_CH4'!B4</f>
        <v>3774.084702079419</v>
      </c>
      <c r="D28" s="50"/>
    </row>
    <row r="29" spans="1:4">
      <c r="A29" s="41" t="s">
        <v>276</v>
      </c>
      <c r="B29" s="247">
        <f>B34*'ha_N2O bodem landbouw'!B4</f>
        <v>18.622291354809796</v>
      </c>
      <c r="C29" s="247">
        <f>B29*'GWP N2O_CH4'!B4</f>
        <v>5772.9103199910369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4.2495427118966166E-3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6.8875423578953102E-5</v>
      </c>
      <c r="C5" s="437" t="s">
        <v>210</v>
      </c>
      <c r="D5" s="422">
        <f>SUM(D6:D11)</f>
        <v>1.894200090334062E-4</v>
      </c>
      <c r="E5" s="422">
        <f>SUM(E6:E11)</f>
        <v>3.2122281142552684E-4</v>
      </c>
      <c r="F5" s="435" t="s">
        <v>210</v>
      </c>
      <c r="G5" s="422">
        <f>SUM(G6:G11)</f>
        <v>0.15531764880591623</v>
      </c>
      <c r="H5" s="422">
        <f>SUM(H6:H11)</f>
        <v>3.2012829496705635E-2</v>
      </c>
      <c r="I5" s="437" t="s">
        <v>210</v>
      </c>
      <c r="J5" s="437" t="s">
        <v>210</v>
      </c>
      <c r="K5" s="437" t="s">
        <v>210</v>
      </c>
      <c r="L5" s="437" t="s">
        <v>210</v>
      </c>
      <c r="M5" s="422">
        <f>SUM(M6:M11)</f>
        <v>1.0016966578813732E-2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5.7925639465367104E-5</v>
      </c>
      <c r="C6" s="423"/>
      <c r="D6" s="865">
        <f>vkm_GW_PW*SUMIFS(TableVerdeelsleutelVkm[CNG],TableVerdeelsleutelVkm[Voertuigtype],"Lichte voertuigen")*SUMIFS(TableECFTransport[EnergieConsumptieFactor (PJ per km)],TableECFTransport[Index],CONCATENATE($A6,"_CNG_CNG"))</f>
        <v>1.4355387821015503E-4</v>
      </c>
      <c r="E6" s="865">
        <f>vkm_GW_PW*SUMIFS(TableVerdeelsleutelVkm[LPG],TableVerdeelsleutelVkm[Voertuigtype],"Lichte voertuigen")*SUMIFS(TableECFTransport[EnergieConsumptieFactor (PJ per km)],TableECFTransport[Index],CONCATENATE($A6,"_LPG_LPG"))</f>
        <v>2.464461615001153E-4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7.5514682764470542E-2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2.4390403592779976E-2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5.1300534331612784E-3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5.7104308371789869E-2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9.5525120769992102E-7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3.3363509676062686E-3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1.0949784113585999E-5</v>
      </c>
      <c r="C8" s="423"/>
      <c r="D8" s="425">
        <f>vkm_NGW_PW*SUMIFS(TableVerdeelsleutelVkm[CNG],TableVerdeelsleutelVkm[Voertuigtype],"Lichte voertuigen")*SUMIFS(TableECFTransport[EnergieConsumptieFactor (PJ per km)],TableECFTransport[Index],CONCATENATE($A8,"_CNG_CNG"))</f>
        <v>4.5866130823251176E-5</v>
      </c>
      <c r="E8" s="425">
        <f>vkm_NGW_PW*SUMIFS(TableVerdeelsleutelVkm[LPG],TableVerdeelsleutelVkm[Voertuigtype],"Lichte voertuigen")*SUMIFS(TableECFTransport[EnergieConsumptieFactor (PJ per km)],TableECFTransport[Index],CONCATENATE($A8,"_LPG_LPG"))</f>
        <v>7.4776649925411548E-5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2.1552405256360881E-2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7.6214470319611724E-3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1.4835916125627649E-3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1.146252413294947E-3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2.3620756790849568E-8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6.6970565483417542E-5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19.132062105264751</v>
      </c>
      <c r="C14" s="21"/>
      <c r="D14" s="21">
        <f t="shared" ref="D14:M14" si="0">((D5)*10^9/3600)+D12</f>
        <v>52.616669175946171</v>
      </c>
      <c r="E14" s="21">
        <f t="shared" si="0"/>
        <v>89.228558729313022</v>
      </c>
      <c r="F14" s="21"/>
      <c r="G14" s="21">
        <f t="shared" si="0"/>
        <v>43143.791334976726</v>
      </c>
      <c r="H14" s="21">
        <f t="shared" si="0"/>
        <v>8892.4526379737872</v>
      </c>
      <c r="I14" s="21"/>
      <c r="J14" s="21"/>
      <c r="K14" s="21"/>
      <c r="L14" s="21"/>
      <c r="M14" s="21">
        <f t="shared" si="0"/>
        <v>2782.4907163371477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0.2069730925932653</v>
      </c>
      <c r="C16" s="56">
        <f ca="1">'EF ele_warmte'!B22</f>
        <v>0.21441220671393577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3.9598220616130635</v>
      </c>
      <c r="C18" s="23"/>
      <c r="D18" s="23">
        <f t="shared" ref="D18:M18" si="1">D14*D16</f>
        <v>10.628567173541127</v>
      </c>
      <c r="E18" s="23">
        <f t="shared" si="1"/>
        <v>20.254882831554056</v>
      </c>
      <c r="F18" s="23"/>
      <c r="G18" s="23">
        <f t="shared" si="1"/>
        <v>11519.392286438786</v>
      </c>
      <c r="H18" s="23">
        <f t="shared" si="1"/>
        <v>2214.2207068554731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4.7130541873771888E-3</v>
      </c>
      <c r="H50" s="319">
        <f t="shared" si="2"/>
        <v>0</v>
      </c>
      <c r="I50" s="319">
        <f t="shared" si="2"/>
        <v>0</v>
      </c>
      <c r="J50" s="319">
        <f t="shared" si="2"/>
        <v>0</v>
      </c>
      <c r="K50" s="319">
        <f t="shared" si="2"/>
        <v>0</v>
      </c>
      <c r="L50" s="319">
        <f t="shared" si="2"/>
        <v>0</v>
      </c>
      <c r="M50" s="319">
        <f t="shared" si="2"/>
        <v>2.6766045133613602E-4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4.7130541873771888E-3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2.6766045133613602E-4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1309.1817187158856</v>
      </c>
      <c r="H54" s="21">
        <f t="shared" si="3"/>
        <v>0</v>
      </c>
      <c r="I54" s="21">
        <f t="shared" si="3"/>
        <v>0</v>
      </c>
      <c r="J54" s="21">
        <f t="shared" si="3"/>
        <v>0</v>
      </c>
      <c r="K54" s="21">
        <f t="shared" si="3"/>
        <v>0</v>
      </c>
      <c r="L54" s="21">
        <f t="shared" si="3"/>
        <v>0</v>
      </c>
      <c r="M54" s="21">
        <f t="shared" si="3"/>
        <v>74.350125371148891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0.2069730925932653</v>
      </c>
      <c r="C56" s="56">
        <f ca="1">'EF ele_warmte'!B22</f>
        <v>0.21441220671393577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349.55151889714148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2"/>
  <sheetViews>
    <sheetView showGridLines="0" topLeftCell="A316" zoomScaleNormal="100" workbookViewId="0">
      <selection activeCell="M39" sqref="M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4853.8604774173509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N40</f>
        <v>135045.44999999998</v>
      </c>
      <c r="C8" s="544">
        <f>B59</f>
        <v>143343.5294117647</v>
      </c>
      <c r="D8" s="1010"/>
      <c r="E8" s="1010">
        <f>E59</f>
        <v>0</v>
      </c>
      <c r="F8" s="1011"/>
      <c r="G8" s="545"/>
      <c r="H8" s="1010">
        <f>I59</f>
        <v>0</v>
      </c>
      <c r="I8" s="1010">
        <f>G59+F59</f>
        <v>0</v>
      </c>
      <c r="J8" s="1010">
        <f>H59+D59+C59</f>
        <v>15533.47058823529</v>
      </c>
      <c r="K8" s="1010"/>
      <c r="L8" s="1010"/>
      <c r="M8" s="1010"/>
      <c r="N8" s="546"/>
      <c r="O8" s="547">
        <f>C8*$C$12+D8*$D$12+E8*$E$12+F8*$F$12+G8*$G$12+H8*$H$12+I8*$I$12+J8*$J$12</f>
        <v>28955.392941176469</v>
      </c>
      <c r="P8" s="1250"/>
      <c r="Q8" s="1251"/>
      <c r="S8" s="973"/>
      <c r="T8" s="1225"/>
      <c r="U8" s="1225"/>
    </row>
    <row r="9" spans="1:21" s="533" customFormat="1" ht="17.45" customHeight="1" thickBot="1">
      <c r="A9" s="548" t="s">
        <v>247</v>
      </c>
      <c r="B9" s="549">
        <f>N47+'Eigen informatie GS &amp; warmtenet'!B12</f>
        <v>0</v>
      </c>
      <c r="C9" s="550">
        <f>P47+IF(ISERROR(('Eigen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(T47+U47)+IF(ISERROR('Eigen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V47+Q47+R47+IF(ISERROR('Eigen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139899.31047741734</v>
      </c>
      <c r="C10" s="557">
        <f t="shared" ref="C10:L10" si="0">SUM(C8:C9)</f>
        <v>143343.5294117647</v>
      </c>
      <c r="D10" s="557">
        <f t="shared" si="0"/>
        <v>0</v>
      </c>
      <c r="E10" s="557">
        <f t="shared" si="0"/>
        <v>0</v>
      </c>
      <c r="F10" s="557">
        <f t="shared" si="0"/>
        <v>0</v>
      </c>
      <c r="G10" s="557">
        <f t="shared" si="0"/>
        <v>0</v>
      </c>
      <c r="H10" s="557">
        <f t="shared" si="0"/>
        <v>0</v>
      </c>
      <c r="I10" s="557">
        <f t="shared" si="0"/>
        <v>0</v>
      </c>
      <c r="J10" s="557">
        <f t="shared" si="0"/>
        <v>15533.47058823529</v>
      </c>
      <c r="K10" s="557">
        <f t="shared" si="0"/>
        <v>0</v>
      </c>
      <c r="L10" s="557">
        <f t="shared" si="0"/>
        <v>0</v>
      </c>
      <c r="M10" s="1013"/>
      <c r="N10" s="1013"/>
      <c r="O10" s="558">
        <f>SUM(O4:O9)</f>
        <v>28955.392941176469</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O40</f>
        <v>192922.07142857142</v>
      </c>
      <c r="C17" s="569">
        <f>B60</f>
        <v>204776.47058823533</v>
      </c>
      <c r="D17" s="570"/>
      <c r="E17" s="570">
        <f>E60</f>
        <v>0</v>
      </c>
      <c r="F17" s="1016"/>
      <c r="G17" s="571"/>
      <c r="H17" s="569">
        <f>I60</f>
        <v>0</v>
      </c>
      <c r="I17" s="570">
        <f>G60+F60</f>
        <v>0</v>
      </c>
      <c r="J17" s="570">
        <f>H60+D60+C60</f>
        <v>22190.672268907561</v>
      </c>
      <c r="K17" s="570"/>
      <c r="L17" s="570"/>
      <c r="M17" s="570"/>
      <c r="N17" s="1017"/>
      <c r="O17" s="572">
        <f>C17*$C$22+E17*$E$22+H17*$H$22+I17*$I$22+J17*$J$22+D17*$D$22+F17*$F$22+G17*$G$22+K17*$K$22+L17*$L$22</f>
        <v>41364.847058823536</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192922.07142857142</v>
      </c>
      <c r="C20" s="556">
        <f>SUM(C17:C19)</f>
        <v>204776.47058823533</v>
      </c>
      <c r="D20" s="556">
        <f t="shared" ref="D20:L20" si="1">SUM(D17:D19)</f>
        <v>0</v>
      </c>
      <c r="E20" s="556">
        <f t="shared" si="1"/>
        <v>0</v>
      </c>
      <c r="F20" s="556">
        <f t="shared" si="1"/>
        <v>0</v>
      </c>
      <c r="G20" s="556">
        <f t="shared" si="1"/>
        <v>0</v>
      </c>
      <c r="H20" s="556">
        <f t="shared" si="1"/>
        <v>0</v>
      </c>
      <c r="I20" s="556">
        <f t="shared" si="1"/>
        <v>0</v>
      </c>
      <c r="J20" s="556">
        <f t="shared" si="1"/>
        <v>22190.672268907561</v>
      </c>
      <c r="K20" s="556">
        <f t="shared" si="1"/>
        <v>0</v>
      </c>
      <c r="L20" s="556">
        <f t="shared" si="1"/>
        <v>0</v>
      </c>
      <c r="M20" s="556"/>
      <c r="N20" s="556"/>
      <c r="O20" s="575">
        <f>SUM(O17:O19)</f>
        <v>41364.847058823536</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13037</v>
      </c>
      <c r="C28" s="770">
        <v>2310</v>
      </c>
      <c r="D28" s="627" t="s">
        <v>887</v>
      </c>
      <c r="E28" s="626" t="s">
        <v>888</v>
      </c>
      <c r="F28" s="626" t="s">
        <v>889</v>
      </c>
      <c r="G28" s="626" t="s">
        <v>890</v>
      </c>
      <c r="H28" s="626" t="s">
        <v>891</v>
      </c>
      <c r="I28" s="626" t="s">
        <v>892</v>
      </c>
      <c r="J28" s="769">
        <v>39240</v>
      </c>
      <c r="K28" s="769">
        <v>38534</v>
      </c>
      <c r="L28" s="626" t="s">
        <v>893</v>
      </c>
      <c r="M28" s="626">
        <v>5145</v>
      </c>
      <c r="N28" s="626">
        <v>23152.499999999996</v>
      </c>
      <c r="O28" s="626">
        <v>33074.999999999993</v>
      </c>
      <c r="P28" s="626">
        <v>66150</v>
      </c>
      <c r="Q28" s="626">
        <v>0</v>
      </c>
      <c r="R28" s="626">
        <v>0</v>
      </c>
      <c r="S28" s="626">
        <v>0</v>
      </c>
      <c r="T28" s="626">
        <v>0</v>
      </c>
      <c r="U28" s="626">
        <v>0</v>
      </c>
      <c r="V28" s="626">
        <v>0</v>
      </c>
      <c r="W28" s="626">
        <v>0</v>
      </c>
      <c r="X28" s="626">
        <v>10</v>
      </c>
      <c r="Y28" s="626" t="s">
        <v>111</v>
      </c>
      <c r="Z28" s="628" t="s">
        <v>111</v>
      </c>
    </row>
    <row r="29" spans="1:26" s="580" customFormat="1" ht="25.5">
      <c r="A29" s="579"/>
      <c r="B29" s="770">
        <v>13037</v>
      </c>
      <c r="C29" s="770">
        <v>2310</v>
      </c>
      <c r="D29" s="627" t="s">
        <v>894</v>
      </c>
      <c r="E29" s="626" t="s">
        <v>895</v>
      </c>
      <c r="F29" s="626" t="s">
        <v>896</v>
      </c>
      <c r="G29" s="626" t="s">
        <v>890</v>
      </c>
      <c r="H29" s="626" t="s">
        <v>891</v>
      </c>
      <c r="I29" s="626" t="s">
        <v>895</v>
      </c>
      <c r="J29" s="769">
        <v>40941</v>
      </c>
      <c r="K29" s="769">
        <v>39554</v>
      </c>
      <c r="L29" s="626" t="s">
        <v>893</v>
      </c>
      <c r="M29" s="626">
        <v>6900</v>
      </c>
      <c r="N29" s="626">
        <v>31050</v>
      </c>
      <c r="O29" s="626">
        <v>44357.142857142855</v>
      </c>
      <c r="P29" s="626">
        <v>88714.285714285725</v>
      </c>
      <c r="Q29" s="626">
        <v>0</v>
      </c>
      <c r="R29" s="626">
        <v>0</v>
      </c>
      <c r="S29" s="626">
        <v>0</v>
      </c>
      <c r="T29" s="626">
        <v>0</v>
      </c>
      <c r="U29" s="626">
        <v>0</v>
      </c>
      <c r="V29" s="626">
        <v>0</v>
      </c>
      <c r="W29" s="626">
        <v>0</v>
      </c>
      <c r="X29" s="626">
        <v>10</v>
      </c>
      <c r="Y29" s="626" t="s">
        <v>111</v>
      </c>
      <c r="Z29" s="628" t="s">
        <v>111</v>
      </c>
    </row>
    <row r="30" spans="1:26" s="580" customFormat="1" ht="25.5">
      <c r="A30" s="579"/>
      <c r="B30" s="770">
        <v>13037</v>
      </c>
      <c r="C30" s="770">
        <v>2310</v>
      </c>
      <c r="D30" s="627" t="s">
        <v>897</v>
      </c>
      <c r="E30" s="626" t="s">
        <v>898</v>
      </c>
      <c r="F30" s="626" t="s">
        <v>899</v>
      </c>
      <c r="G30" s="626" t="s">
        <v>890</v>
      </c>
      <c r="H30" s="626" t="s">
        <v>891</v>
      </c>
      <c r="I30" s="626" t="s">
        <v>898</v>
      </c>
      <c r="J30" s="769">
        <v>39717</v>
      </c>
      <c r="K30" s="769">
        <v>39722</v>
      </c>
      <c r="L30" s="626" t="s">
        <v>893</v>
      </c>
      <c r="M30" s="626">
        <v>1400</v>
      </c>
      <c r="N30" s="626">
        <v>6300</v>
      </c>
      <c r="O30" s="626">
        <v>9000</v>
      </c>
      <c r="P30" s="626">
        <v>18000</v>
      </c>
      <c r="Q30" s="626">
        <v>0</v>
      </c>
      <c r="R30" s="626">
        <v>0</v>
      </c>
      <c r="S30" s="626">
        <v>0</v>
      </c>
      <c r="T30" s="626">
        <v>0</v>
      </c>
      <c r="U30" s="626">
        <v>0</v>
      </c>
      <c r="V30" s="626">
        <v>0</v>
      </c>
      <c r="W30" s="626">
        <v>0</v>
      </c>
      <c r="X30" s="626">
        <v>10</v>
      </c>
      <c r="Y30" s="626" t="s">
        <v>111</v>
      </c>
      <c r="Z30" s="628" t="s">
        <v>111</v>
      </c>
    </row>
    <row r="31" spans="1:26" s="580" customFormat="1" ht="25.5">
      <c r="A31" s="579"/>
      <c r="B31" s="770">
        <v>13037</v>
      </c>
      <c r="C31" s="770">
        <v>2310</v>
      </c>
      <c r="D31" s="627" t="s">
        <v>900</v>
      </c>
      <c r="E31" s="626" t="s">
        <v>901</v>
      </c>
      <c r="F31" s="626" t="s">
        <v>902</v>
      </c>
      <c r="G31" s="626" t="s">
        <v>890</v>
      </c>
      <c r="H31" s="626" t="s">
        <v>891</v>
      </c>
      <c r="I31" s="626" t="s">
        <v>901</v>
      </c>
      <c r="J31" s="769">
        <v>39682</v>
      </c>
      <c r="K31" s="769">
        <v>39728</v>
      </c>
      <c r="L31" s="626" t="s">
        <v>893</v>
      </c>
      <c r="M31" s="626">
        <v>2425</v>
      </c>
      <c r="N31" s="626">
        <v>10912.5</v>
      </c>
      <c r="O31" s="626">
        <v>15589.285714285714</v>
      </c>
      <c r="P31" s="626">
        <v>31178.571428571431</v>
      </c>
      <c r="Q31" s="626">
        <v>0</v>
      </c>
      <c r="R31" s="626">
        <v>0</v>
      </c>
      <c r="S31" s="626">
        <v>0</v>
      </c>
      <c r="T31" s="626">
        <v>0</v>
      </c>
      <c r="U31" s="626">
        <v>0</v>
      </c>
      <c r="V31" s="626">
        <v>0</v>
      </c>
      <c r="W31" s="626">
        <v>0</v>
      </c>
      <c r="X31" s="626">
        <v>10</v>
      </c>
      <c r="Y31" s="626" t="s">
        <v>111</v>
      </c>
      <c r="Z31" s="628" t="s">
        <v>111</v>
      </c>
    </row>
    <row r="32" spans="1:26" s="580" customFormat="1" ht="25.5">
      <c r="A32" s="579"/>
      <c r="B32" s="770">
        <v>13037</v>
      </c>
      <c r="C32" s="770">
        <v>2310</v>
      </c>
      <c r="D32" s="627" t="s">
        <v>903</v>
      </c>
      <c r="E32" s="626" t="s">
        <v>904</v>
      </c>
      <c r="F32" s="626" t="s">
        <v>905</v>
      </c>
      <c r="G32" s="626" t="s">
        <v>890</v>
      </c>
      <c r="H32" s="626" t="s">
        <v>891</v>
      </c>
      <c r="I32" s="626" t="s">
        <v>906</v>
      </c>
      <c r="J32" s="769">
        <v>39710</v>
      </c>
      <c r="K32" s="769">
        <v>39749</v>
      </c>
      <c r="L32" s="626" t="s">
        <v>893</v>
      </c>
      <c r="M32" s="626">
        <v>2905</v>
      </c>
      <c r="N32" s="626">
        <v>13072.5</v>
      </c>
      <c r="O32" s="626">
        <v>18675</v>
      </c>
      <c r="P32" s="626">
        <v>0</v>
      </c>
      <c r="Q32" s="626">
        <v>37350</v>
      </c>
      <c r="R32" s="626">
        <v>0</v>
      </c>
      <c r="S32" s="626">
        <v>0</v>
      </c>
      <c r="T32" s="626">
        <v>0</v>
      </c>
      <c r="U32" s="626">
        <v>0</v>
      </c>
      <c r="V32" s="626">
        <v>0</v>
      </c>
      <c r="W32" s="626">
        <v>0</v>
      </c>
      <c r="X32" s="626">
        <v>10</v>
      </c>
      <c r="Y32" s="626" t="s">
        <v>111</v>
      </c>
      <c r="Z32" s="628" t="s">
        <v>111</v>
      </c>
    </row>
    <row r="33" spans="1:26" s="580" customFormat="1" ht="25.5">
      <c r="A33" s="579"/>
      <c r="B33" s="770">
        <v>13037</v>
      </c>
      <c r="C33" s="770">
        <v>2310</v>
      </c>
      <c r="D33" s="627" t="s">
        <v>907</v>
      </c>
      <c r="E33" s="626" t="s">
        <v>908</v>
      </c>
      <c r="F33" s="626" t="s">
        <v>909</v>
      </c>
      <c r="G33" s="626" t="s">
        <v>890</v>
      </c>
      <c r="H33" s="626" t="s">
        <v>891</v>
      </c>
      <c r="I33" s="626" t="s">
        <v>908</v>
      </c>
      <c r="J33" s="769">
        <v>39791</v>
      </c>
      <c r="K33" s="769">
        <v>39819</v>
      </c>
      <c r="L33" s="626" t="s">
        <v>893</v>
      </c>
      <c r="M33" s="626">
        <v>4028</v>
      </c>
      <c r="N33" s="626">
        <v>18125.999999999996</v>
      </c>
      <c r="O33" s="626">
        <v>25894.28571428571</v>
      </c>
      <c r="P33" s="626">
        <v>51788.57142857142</v>
      </c>
      <c r="Q33" s="626">
        <v>0</v>
      </c>
      <c r="R33" s="626">
        <v>0</v>
      </c>
      <c r="S33" s="626">
        <v>0</v>
      </c>
      <c r="T33" s="626">
        <v>0</v>
      </c>
      <c r="U33" s="626">
        <v>0</v>
      </c>
      <c r="V33" s="626">
        <v>0</v>
      </c>
      <c r="W33" s="626">
        <v>0</v>
      </c>
      <c r="X33" s="626">
        <v>10</v>
      </c>
      <c r="Y33" s="626" t="s">
        <v>111</v>
      </c>
      <c r="Z33" s="628" t="s">
        <v>111</v>
      </c>
    </row>
    <row r="34" spans="1:26" s="580" customFormat="1" ht="25.5">
      <c r="A34" s="579"/>
      <c r="B34" s="770">
        <v>13037</v>
      </c>
      <c r="C34" s="770">
        <v>2310</v>
      </c>
      <c r="D34" s="627" t="s">
        <v>910</v>
      </c>
      <c r="E34" s="626" t="s">
        <v>911</v>
      </c>
      <c r="F34" s="626" t="s">
        <v>912</v>
      </c>
      <c r="G34" s="626" t="s">
        <v>890</v>
      </c>
      <c r="H34" s="626" t="s">
        <v>891</v>
      </c>
      <c r="I34" s="626" t="s">
        <v>911</v>
      </c>
      <c r="J34" s="769">
        <v>39826</v>
      </c>
      <c r="K34" s="769">
        <v>39826</v>
      </c>
      <c r="L34" s="626" t="s">
        <v>893</v>
      </c>
      <c r="M34" s="626">
        <v>2941</v>
      </c>
      <c r="N34" s="626">
        <v>13234.5</v>
      </c>
      <c r="O34" s="626">
        <v>18906.428571428572</v>
      </c>
      <c r="P34" s="626">
        <v>37812.857142857145</v>
      </c>
      <c r="Q34" s="626">
        <v>0</v>
      </c>
      <c r="R34" s="626">
        <v>0</v>
      </c>
      <c r="S34" s="626">
        <v>0</v>
      </c>
      <c r="T34" s="626">
        <v>0</v>
      </c>
      <c r="U34" s="626">
        <v>0</v>
      </c>
      <c r="V34" s="626">
        <v>0</v>
      </c>
      <c r="W34" s="626">
        <v>0</v>
      </c>
      <c r="X34" s="626">
        <v>10</v>
      </c>
      <c r="Y34" s="626" t="s">
        <v>111</v>
      </c>
      <c r="Z34" s="628" t="s">
        <v>111</v>
      </c>
    </row>
    <row r="35" spans="1:26" s="580" customFormat="1" ht="25.5">
      <c r="A35" s="579"/>
      <c r="B35" s="770">
        <v>13037</v>
      </c>
      <c r="C35" s="770">
        <v>2310</v>
      </c>
      <c r="D35" s="627" t="s">
        <v>913</v>
      </c>
      <c r="E35" s="626" t="s">
        <v>914</v>
      </c>
      <c r="F35" s="626" t="s">
        <v>915</v>
      </c>
      <c r="G35" s="626" t="s">
        <v>890</v>
      </c>
      <c r="H35" s="626" t="s">
        <v>891</v>
      </c>
      <c r="I35" s="626" t="s">
        <v>914</v>
      </c>
      <c r="J35" s="769">
        <v>39959</v>
      </c>
      <c r="K35" s="769">
        <v>39959</v>
      </c>
      <c r="L35" s="626" t="s">
        <v>893</v>
      </c>
      <c r="M35" s="626">
        <v>1558</v>
      </c>
      <c r="N35" s="626">
        <v>7011</v>
      </c>
      <c r="O35" s="626">
        <v>10015.714285714286</v>
      </c>
      <c r="P35" s="626">
        <v>20031.428571428572</v>
      </c>
      <c r="Q35" s="626">
        <v>0</v>
      </c>
      <c r="R35" s="626">
        <v>0</v>
      </c>
      <c r="S35" s="626">
        <v>0</v>
      </c>
      <c r="T35" s="626">
        <v>0</v>
      </c>
      <c r="U35" s="626">
        <v>0</v>
      </c>
      <c r="V35" s="626">
        <v>0</v>
      </c>
      <c r="W35" s="626">
        <v>0</v>
      </c>
      <c r="X35" s="626">
        <v>10</v>
      </c>
      <c r="Y35" s="626" t="s">
        <v>111</v>
      </c>
      <c r="Z35" s="628" t="s">
        <v>111</v>
      </c>
    </row>
    <row r="36" spans="1:26" s="580" customFormat="1" ht="25.5">
      <c r="A36" s="579"/>
      <c r="B36" s="770">
        <v>13037</v>
      </c>
      <c r="C36" s="770">
        <v>2310</v>
      </c>
      <c r="D36" s="627" t="s">
        <v>916</v>
      </c>
      <c r="E36" s="626" t="s">
        <v>917</v>
      </c>
      <c r="F36" s="626" t="s">
        <v>918</v>
      </c>
      <c r="G36" s="626" t="s">
        <v>890</v>
      </c>
      <c r="H36" s="626" t="s">
        <v>891</v>
      </c>
      <c r="I36" s="626" t="s">
        <v>919</v>
      </c>
      <c r="J36" s="769">
        <v>41172</v>
      </c>
      <c r="K36" s="769">
        <v>41275</v>
      </c>
      <c r="L36" s="626" t="s">
        <v>893</v>
      </c>
      <c r="M36" s="626">
        <v>9.6999999999999993</v>
      </c>
      <c r="N36" s="626">
        <v>43.649999999999991</v>
      </c>
      <c r="O36" s="626">
        <v>62.357142857142847</v>
      </c>
      <c r="P36" s="626">
        <v>0</v>
      </c>
      <c r="Q36" s="626">
        <v>124.71428571428569</v>
      </c>
      <c r="R36" s="626">
        <v>0</v>
      </c>
      <c r="S36" s="626">
        <v>0</v>
      </c>
      <c r="T36" s="626">
        <v>0</v>
      </c>
      <c r="U36" s="626">
        <v>0</v>
      </c>
      <c r="V36" s="626">
        <v>0</v>
      </c>
      <c r="W36" s="626">
        <v>0</v>
      </c>
      <c r="X36" s="626">
        <v>10</v>
      </c>
      <c r="Y36" s="626" t="s">
        <v>111</v>
      </c>
      <c r="Z36" s="628" t="s">
        <v>111</v>
      </c>
    </row>
    <row r="37" spans="1:26" s="580" customFormat="1" ht="25.5">
      <c r="A37" s="579"/>
      <c r="B37" s="770">
        <v>13037</v>
      </c>
      <c r="C37" s="770">
        <v>2310</v>
      </c>
      <c r="D37" s="627" t="s">
        <v>900</v>
      </c>
      <c r="E37" s="626" t="s">
        <v>901</v>
      </c>
      <c r="F37" s="626" t="s">
        <v>920</v>
      </c>
      <c r="G37" s="626" t="s">
        <v>890</v>
      </c>
      <c r="H37" s="626" t="s">
        <v>891</v>
      </c>
      <c r="I37" s="626" t="s">
        <v>921</v>
      </c>
      <c r="J37" s="769">
        <v>41676</v>
      </c>
      <c r="K37" s="769">
        <v>41680</v>
      </c>
      <c r="L37" s="626" t="s">
        <v>893</v>
      </c>
      <c r="M37" s="626">
        <v>2679</v>
      </c>
      <c r="N37" s="626">
        <v>12055.5</v>
      </c>
      <c r="O37" s="626">
        <v>17222.142857142859</v>
      </c>
      <c r="P37" s="626">
        <v>34444.285714285717</v>
      </c>
      <c r="Q37" s="626">
        <v>0</v>
      </c>
      <c r="R37" s="626">
        <v>0</v>
      </c>
      <c r="S37" s="626">
        <v>0</v>
      </c>
      <c r="T37" s="626">
        <v>0</v>
      </c>
      <c r="U37" s="626">
        <v>0</v>
      </c>
      <c r="V37" s="626">
        <v>0</v>
      </c>
      <c r="W37" s="626">
        <v>0</v>
      </c>
      <c r="X37" s="626">
        <v>10</v>
      </c>
      <c r="Y37" s="626" t="s">
        <v>111</v>
      </c>
      <c r="Z37" s="628" t="s">
        <v>111</v>
      </c>
    </row>
    <row r="38" spans="1:26" s="580" customFormat="1" ht="38.25">
      <c r="A38" s="579"/>
      <c r="B38" s="770">
        <v>13037</v>
      </c>
      <c r="C38" s="770">
        <v>2310</v>
      </c>
      <c r="D38" s="627" t="s">
        <v>922</v>
      </c>
      <c r="E38" s="626"/>
      <c r="F38" s="626" t="s">
        <v>923</v>
      </c>
      <c r="G38" s="626" t="s">
        <v>924</v>
      </c>
      <c r="H38" s="626" t="s">
        <v>891</v>
      </c>
      <c r="I38" s="626" t="s">
        <v>925</v>
      </c>
      <c r="J38" s="769">
        <v>42352</v>
      </c>
      <c r="K38" s="769">
        <v>42353</v>
      </c>
      <c r="L38" s="626" t="s">
        <v>926</v>
      </c>
      <c r="M38" s="626">
        <v>19.399999999999999</v>
      </c>
      <c r="N38" s="626">
        <v>87.299999999999983</v>
      </c>
      <c r="O38" s="626">
        <v>124.71428571428569</v>
      </c>
      <c r="P38" s="626">
        <v>0</v>
      </c>
      <c r="Q38" s="626">
        <v>249.42857142857139</v>
      </c>
      <c r="R38" s="626">
        <v>0</v>
      </c>
      <c r="S38" s="626">
        <v>0</v>
      </c>
      <c r="T38" s="626">
        <v>0</v>
      </c>
      <c r="U38" s="626">
        <v>0</v>
      </c>
      <c r="V38" s="626">
        <v>0</v>
      </c>
      <c r="W38" s="626">
        <v>0</v>
      </c>
      <c r="X38" s="626">
        <v>10</v>
      </c>
      <c r="Y38" s="626" t="s">
        <v>111</v>
      </c>
      <c r="Z38" s="628" t="s">
        <v>111</v>
      </c>
    </row>
    <row r="39" spans="1:26" s="580" customFormat="1" ht="25.5">
      <c r="A39" s="579"/>
      <c r="B39" s="770">
        <v>13037</v>
      </c>
      <c r="C39" s="770">
        <v>2310</v>
      </c>
      <c r="D39" s="627" t="s">
        <v>927</v>
      </c>
      <c r="E39" s="626"/>
      <c r="F39" s="626" t="s">
        <v>928</v>
      </c>
      <c r="G39" s="626" t="s">
        <v>929</v>
      </c>
      <c r="H39" s="626" t="s">
        <v>891</v>
      </c>
      <c r="I39" s="626" t="s">
        <v>930</v>
      </c>
      <c r="J39" s="769">
        <v>42723</v>
      </c>
      <c r="K39" s="769">
        <v>42723</v>
      </c>
      <c r="L39" s="626" t="s">
        <v>926</v>
      </c>
      <c r="M39" s="626">
        <v>2004</v>
      </c>
      <c r="N39" s="626">
        <v>0</v>
      </c>
      <c r="O39" s="626">
        <v>0</v>
      </c>
      <c r="P39" s="626">
        <v>0</v>
      </c>
      <c r="Q39" s="626">
        <v>0</v>
      </c>
      <c r="R39" s="626">
        <v>0</v>
      </c>
      <c r="S39" s="626">
        <v>0</v>
      </c>
      <c r="T39" s="626">
        <v>0</v>
      </c>
      <c r="U39" s="626">
        <v>0</v>
      </c>
      <c r="V39" s="626">
        <v>0</v>
      </c>
      <c r="W39" s="626">
        <v>0</v>
      </c>
      <c r="X39" s="626">
        <v>10</v>
      </c>
      <c r="Y39" s="626" t="s">
        <v>111</v>
      </c>
      <c r="Z39" s="628" t="s">
        <v>111</v>
      </c>
    </row>
    <row r="40" spans="1:26" s="564" customFormat="1">
      <c r="A40" s="582" t="s">
        <v>279</v>
      </c>
      <c r="B40" s="583"/>
      <c r="C40" s="583"/>
      <c r="D40" s="583"/>
      <c r="E40" s="583"/>
      <c r="F40" s="583"/>
      <c r="G40" s="583"/>
      <c r="H40" s="583"/>
      <c r="I40" s="583"/>
      <c r="J40" s="583"/>
      <c r="K40" s="583"/>
      <c r="L40" s="584"/>
      <c r="M40" s="584">
        <f>SUM(M28:M39)</f>
        <v>32014.100000000002</v>
      </c>
      <c r="N40" s="584">
        <f>SUM(N28:N39)</f>
        <v>135045.44999999998</v>
      </c>
      <c r="O40" s="584">
        <f>SUM(O28:O39)</f>
        <v>192922.07142857142</v>
      </c>
      <c r="P40" s="584">
        <f>SUM(P28:P39)</f>
        <v>348120.00000000006</v>
      </c>
      <c r="Q40" s="584">
        <f>SUM(Q28:Q39)</f>
        <v>37724.142857142855</v>
      </c>
      <c r="R40" s="584">
        <f>SUM(R28:R39)</f>
        <v>0</v>
      </c>
      <c r="S40" s="584">
        <f>SUM(S28:S39)</f>
        <v>0</v>
      </c>
      <c r="T40" s="584">
        <f>SUM(T28:T39)</f>
        <v>0</v>
      </c>
      <c r="U40" s="584">
        <f>SUM(U28:U39)</f>
        <v>0</v>
      </c>
      <c r="V40" s="584">
        <f>SUM(V28:V39)</f>
        <v>0</v>
      </c>
      <c r="W40" s="584">
        <f>SUM(W28:W39)</f>
        <v>0</v>
      </c>
      <c r="X40" s="585"/>
      <c r="Y40" s="585"/>
      <c r="Z40" s="586"/>
    </row>
    <row r="41" spans="1:26" s="564" customFormat="1">
      <c r="A41" s="582" t="s">
        <v>286</v>
      </c>
      <c r="B41" s="583"/>
      <c r="C41" s="583"/>
      <c r="D41" s="583"/>
      <c r="E41" s="583"/>
      <c r="F41" s="583"/>
      <c r="G41" s="583"/>
      <c r="H41" s="583"/>
      <c r="I41" s="583"/>
      <c r="J41" s="583"/>
      <c r="K41" s="583"/>
      <c r="L41" s="584"/>
      <c r="M41" s="584">
        <f>SUMIF($Z$28:$Z$39,"industrie",M28:M39)</f>
        <v>0</v>
      </c>
      <c r="N41" s="584">
        <f>SUMIF($Z$28:$Z$39,"industrie",N28:N39)</f>
        <v>0</v>
      </c>
      <c r="O41" s="584">
        <f>SUMIF($Z$28:$Z$39,"industrie",O28:O39)</f>
        <v>0</v>
      </c>
      <c r="P41" s="584">
        <f>SUMIF($Z$28:$Z$39,"industrie",P28:P39)</f>
        <v>0</v>
      </c>
      <c r="Q41" s="584">
        <f>SUMIF($Z$28:$Z$39,"industrie",Q28:Q39)</f>
        <v>0</v>
      </c>
      <c r="R41" s="584">
        <f>SUMIF($Z$28:$Z$39,"industrie",R28:R39)</f>
        <v>0</v>
      </c>
      <c r="S41" s="584">
        <f>SUMIF($Z$28:$Z$39,"industrie",S28:S39)</f>
        <v>0</v>
      </c>
      <c r="T41" s="584">
        <f>SUMIF($Z$28:$Z$39,"industrie",T28:T39)</f>
        <v>0</v>
      </c>
      <c r="U41" s="584">
        <f>SUMIF($Z$28:$Z$39,"industrie",U28:U39)</f>
        <v>0</v>
      </c>
      <c r="V41" s="584">
        <f>SUMIF($Z$28:$Z$39,"industrie",V28:V39)</f>
        <v>0</v>
      </c>
      <c r="W41" s="584">
        <f>SUMIF($Z$28:$Z$39,"industrie",W28:W39)</f>
        <v>0</v>
      </c>
      <c r="X41" s="585"/>
      <c r="Y41" s="585"/>
      <c r="Z41" s="586"/>
    </row>
    <row r="42" spans="1:26" s="564" customFormat="1">
      <c r="A42" s="582" t="s">
        <v>287</v>
      </c>
      <c r="B42" s="583"/>
      <c r="C42" s="583"/>
      <c r="D42" s="583"/>
      <c r="E42" s="583"/>
      <c r="F42" s="583"/>
      <c r="G42" s="583"/>
      <c r="H42" s="583"/>
      <c r="I42" s="583"/>
      <c r="J42" s="583"/>
      <c r="K42" s="583"/>
      <c r="L42" s="584"/>
      <c r="M42" s="584">
        <f ca="1">SUMIF($Z$28:AC39,"tertiair",M28:M39)</f>
        <v>0</v>
      </c>
      <c r="N42" s="584">
        <f ca="1">SUMIF($Z$28:AD39,"tertiair",N28:N39)</f>
        <v>0</v>
      </c>
      <c r="O42" s="584">
        <f ca="1">SUMIF($Z$28:AE39,"tertiair",O28:O39)</f>
        <v>0</v>
      </c>
      <c r="P42" s="584">
        <f ca="1">SUMIF($Z$28:AF39,"tertiair",P28:P39)</f>
        <v>0</v>
      </c>
      <c r="Q42" s="584">
        <f ca="1">SUMIF($Z$28:AG39,"tertiair",Q28:Q39)</f>
        <v>0</v>
      </c>
      <c r="R42" s="584">
        <f ca="1">SUMIF($Z$28:AH39,"tertiair",R28:R39)</f>
        <v>0</v>
      </c>
      <c r="S42" s="584">
        <f ca="1">SUMIF($Z$28:AI39,"tertiair",S28:S39)</f>
        <v>0</v>
      </c>
      <c r="T42" s="584">
        <f ca="1">SUMIF($Z$28:AJ39,"tertiair",T28:T39)</f>
        <v>0</v>
      </c>
      <c r="U42" s="584">
        <f ca="1">SUMIF($Z$28:AK39,"tertiair",U28:U39)</f>
        <v>0</v>
      </c>
      <c r="V42" s="584">
        <f ca="1">SUMIF($Z$28:AL39,"tertiair",V28:V39)</f>
        <v>0</v>
      </c>
      <c r="W42" s="584">
        <f ca="1">SUMIF($Z$28:AM39,"tertiair",W28:W39)</f>
        <v>0</v>
      </c>
      <c r="X42" s="585"/>
      <c r="Y42" s="585"/>
      <c r="Z42" s="586"/>
    </row>
    <row r="43" spans="1:26" s="564" customFormat="1" ht="15.75" thickBot="1">
      <c r="A43" s="587" t="s">
        <v>288</v>
      </c>
      <c r="B43" s="588"/>
      <c r="C43" s="588"/>
      <c r="D43" s="588"/>
      <c r="E43" s="588"/>
      <c r="F43" s="588"/>
      <c r="G43" s="588"/>
      <c r="H43" s="588"/>
      <c r="I43" s="588"/>
      <c r="J43" s="588"/>
      <c r="K43" s="588"/>
      <c r="L43" s="589"/>
      <c r="M43" s="589">
        <f>SUMIF($Z$28:$Z$39,"landbouw",M28:M39)</f>
        <v>32014.100000000002</v>
      </c>
      <c r="N43" s="589">
        <f>SUMIF($Z$28:$Z$39,"landbouw",N28:N39)</f>
        <v>135045.44999999998</v>
      </c>
      <c r="O43" s="589">
        <f>SUMIF($Z$28:$Z$39,"landbouw",O28:O39)</f>
        <v>192922.07142857142</v>
      </c>
      <c r="P43" s="589">
        <f>SUMIF($Z$28:$Z$39,"landbouw",P28:P39)</f>
        <v>348120.00000000006</v>
      </c>
      <c r="Q43" s="589">
        <f>SUMIF($Z$28:$Z$39,"landbouw",Q28:Q39)</f>
        <v>37724.142857142855</v>
      </c>
      <c r="R43" s="589">
        <f>SUMIF($Z$28:$Z$39,"landbouw",R28:R39)</f>
        <v>0</v>
      </c>
      <c r="S43" s="589">
        <f>SUMIF($Z$28:$Z$39,"landbouw",S28:S39)</f>
        <v>0</v>
      </c>
      <c r="T43" s="589">
        <f>SUMIF($Z$28:$Z$39,"landbouw",T28:T39)</f>
        <v>0</v>
      </c>
      <c r="U43" s="589">
        <f>SUMIF($Z$28:$Z$39,"landbouw",U28:U39)</f>
        <v>0</v>
      </c>
      <c r="V43" s="589">
        <f>SUMIF($Z$28:$Z$39,"landbouw",V28:V39)</f>
        <v>0</v>
      </c>
      <c r="W43" s="589">
        <f>SUMIF($Z$28:$Z$39,"landbouw",W28:W39)</f>
        <v>0</v>
      </c>
      <c r="X43" s="590"/>
      <c r="Y43" s="590"/>
      <c r="Z43" s="591"/>
    </row>
    <row r="44" spans="1:26" s="533" customFormat="1" ht="15.75" thickBot="1">
      <c r="A44" s="592"/>
      <c r="B44" s="593"/>
      <c r="C44" s="593"/>
      <c r="D44" s="593"/>
      <c r="E44" s="593"/>
      <c r="F44" s="593"/>
      <c r="G44" s="593"/>
      <c r="H44" s="593"/>
      <c r="I44" s="593"/>
      <c r="J44" s="593"/>
      <c r="K44" s="593"/>
      <c r="L44" s="576"/>
      <c r="M44" s="576"/>
      <c r="N44" s="576"/>
      <c r="O44" s="577"/>
      <c r="P44" s="577"/>
    </row>
    <row r="45" spans="1:26" s="533" customFormat="1" ht="45">
      <c r="A45" s="594" t="s">
        <v>280</v>
      </c>
      <c r="B45" s="623" t="s">
        <v>89</v>
      </c>
      <c r="C45" s="623" t="s">
        <v>90</v>
      </c>
      <c r="D45" s="623" t="s">
        <v>91</v>
      </c>
      <c r="E45" s="623" t="s">
        <v>92</v>
      </c>
      <c r="F45" s="623" t="s">
        <v>93</v>
      </c>
      <c r="G45" s="623" t="s">
        <v>94</v>
      </c>
      <c r="H45" s="623" t="s">
        <v>95</v>
      </c>
      <c r="I45" s="623" t="s">
        <v>96</v>
      </c>
      <c r="J45" s="623" t="s">
        <v>97</v>
      </c>
      <c r="K45" s="623" t="s">
        <v>98</v>
      </c>
      <c r="L45" s="623" t="s">
        <v>99</v>
      </c>
      <c r="M45" s="624" t="s">
        <v>297</v>
      </c>
      <c r="N45" s="624" t="s">
        <v>100</v>
      </c>
      <c r="O45" s="624" t="s">
        <v>101</v>
      </c>
      <c r="P45" s="624" t="s">
        <v>533</v>
      </c>
      <c r="Q45" s="624" t="s">
        <v>102</v>
      </c>
      <c r="R45" s="624" t="s">
        <v>103</v>
      </c>
      <c r="S45" s="624" t="s">
        <v>104</v>
      </c>
      <c r="T45" s="624" t="s">
        <v>105</v>
      </c>
      <c r="U45" s="624" t="s">
        <v>106</v>
      </c>
      <c r="V45" s="624" t="s">
        <v>107</v>
      </c>
      <c r="W45" s="623" t="s">
        <v>108</v>
      </c>
      <c r="X45" s="623" t="s">
        <v>298</v>
      </c>
      <c r="Y45" s="623" t="s">
        <v>109</v>
      </c>
      <c r="Z45" s="625" t="s">
        <v>299</v>
      </c>
    </row>
    <row r="46" spans="1:26" s="595" customFormat="1" ht="12.75">
      <c r="A46" s="581"/>
      <c r="B46" s="770"/>
      <c r="C46" s="770"/>
      <c r="D46" s="629"/>
      <c r="E46" s="629"/>
      <c r="F46" s="629"/>
      <c r="G46" s="629"/>
      <c r="H46" s="629"/>
      <c r="I46" s="629"/>
      <c r="J46" s="769"/>
      <c r="K46" s="769"/>
      <c r="L46" s="629"/>
      <c r="M46" s="629"/>
      <c r="N46" s="629"/>
      <c r="O46" s="629"/>
      <c r="P46" s="629"/>
      <c r="Q46" s="629"/>
      <c r="R46" s="629"/>
      <c r="S46" s="629"/>
      <c r="T46" s="629"/>
      <c r="U46" s="629"/>
      <c r="V46" s="629"/>
      <c r="W46" s="629"/>
      <c r="X46" s="629"/>
      <c r="Y46" s="629"/>
      <c r="Z46" s="630"/>
    </row>
    <row r="47" spans="1:26" s="564" customFormat="1">
      <c r="A47" s="582" t="s">
        <v>279</v>
      </c>
      <c r="B47" s="583"/>
      <c r="C47" s="583"/>
      <c r="D47" s="583"/>
      <c r="E47" s="583"/>
      <c r="F47" s="583"/>
      <c r="G47" s="583"/>
      <c r="H47" s="583"/>
      <c r="I47" s="583"/>
      <c r="J47" s="583"/>
      <c r="K47" s="583"/>
      <c r="L47" s="584"/>
      <c r="M47" s="584">
        <f>SUM(M46:M46)</f>
        <v>0</v>
      </c>
      <c r="N47" s="584">
        <f>SUM(N46:N46)</f>
        <v>0</v>
      </c>
      <c r="O47" s="584">
        <f>SUM(O46:O46)</f>
        <v>0</v>
      </c>
      <c r="P47" s="584">
        <f>SUM(P46:P46)</f>
        <v>0</v>
      </c>
      <c r="Q47" s="584">
        <f>SUM(Q46:Q46)</f>
        <v>0</v>
      </c>
      <c r="R47" s="584">
        <f>SUM(R46:R46)</f>
        <v>0</v>
      </c>
      <c r="S47" s="584">
        <f>SUM(S46:S46)</f>
        <v>0</v>
      </c>
      <c r="T47" s="584">
        <f>SUM(T46:T46)</f>
        <v>0</v>
      </c>
      <c r="U47" s="584">
        <f>SUM(U46:U46)</f>
        <v>0</v>
      </c>
      <c r="V47" s="584">
        <f>SUM(V46:V46)</f>
        <v>0</v>
      </c>
      <c r="W47" s="584">
        <f>SUM(W46:W46)</f>
        <v>0</v>
      </c>
      <c r="X47" s="585"/>
      <c r="Y47" s="585"/>
      <c r="Z47" s="586"/>
    </row>
    <row r="48" spans="1:26" s="564" customFormat="1">
      <c r="A48" s="582" t="s">
        <v>286</v>
      </c>
      <c r="B48" s="583"/>
      <c r="C48" s="583"/>
      <c r="D48" s="583"/>
      <c r="E48" s="583"/>
      <c r="F48" s="583"/>
      <c r="G48" s="583"/>
      <c r="H48" s="583"/>
      <c r="I48" s="583"/>
      <c r="J48" s="583"/>
      <c r="K48" s="583"/>
      <c r="L48" s="584"/>
      <c r="M48" s="584">
        <f>SUMIF($Z$46:$Z$46,"industrie",M46:M46)</f>
        <v>0</v>
      </c>
      <c r="N48" s="584">
        <f>SUMIF($Z$46:$Z$46,"industrie",N46:N46)</f>
        <v>0</v>
      </c>
      <c r="O48" s="584">
        <f>SUMIF($Z$46:$Z$46,"industrie",O46:O46)</f>
        <v>0</v>
      </c>
      <c r="P48" s="584">
        <f>SUMIF($Z$46:$Z$46,"industrie",P46:P46)</f>
        <v>0</v>
      </c>
      <c r="Q48" s="584">
        <f>SUMIF($Z$46:$Z$46,"industrie",Q46:Q46)</f>
        <v>0</v>
      </c>
      <c r="R48" s="584">
        <f>SUMIF($Z$46:$Z$46,"industrie",R46:R46)</f>
        <v>0</v>
      </c>
      <c r="S48" s="584">
        <f>SUMIF($Z$46:$Z$46,"industrie",S46:S46)</f>
        <v>0</v>
      </c>
      <c r="T48" s="584">
        <f>SUMIF($Z$46:$Z$46,"industrie",T46:T46)</f>
        <v>0</v>
      </c>
      <c r="U48" s="584">
        <f>SUMIF($Z$46:$Z$46,"industrie",U46:U46)</f>
        <v>0</v>
      </c>
      <c r="V48" s="584">
        <f>SUMIF($Z$46:$Z$46,"industrie",V46:V46)</f>
        <v>0</v>
      </c>
      <c r="W48" s="584">
        <f>SUMIF($Z$46:$Z$46,"industrie",W46:W46)</f>
        <v>0</v>
      </c>
      <c r="X48" s="585"/>
      <c r="Y48" s="585"/>
      <c r="Z48" s="586"/>
    </row>
    <row r="49" spans="1:27" s="564" customFormat="1">
      <c r="A49" s="582" t="s">
        <v>287</v>
      </c>
      <c r="B49" s="583"/>
      <c r="C49" s="583"/>
      <c r="D49" s="583"/>
      <c r="E49" s="583"/>
      <c r="F49" s="583"/>
      <c r="G49" s="583"/>
      <c r="H49" s="583"/>
      <c r="I49" s="583"/>
      <c r="J49" s="583"/>
      <c r="K49" s="583"/>
      <c r="L49" s="584"/>
      <c r="M49" s="584">
        <f>SUMIF($Z$46:$Z$47,"tertiair",M46:M47)</f>
        <v>0</v>
      </c>
      <c r="N49" s="584">
        <f>SUMIF($Z$46:$Z$47,"tertiair",N46:N47)</f>
        <v>0</v>
      </c>
      <c r="O49" s="584">
        <f>SUMIF($Z$46:$Z$47,"tertiair",O46:O47)</f>
        <v>0</v>
      </c>
      <c r="P49" s="584">
        <f>SUMIF($Z$46:$Z$47,"tertiair",P46:P47)</f>
        <v>0</v>
      </c>
      <c r="Q49" s="584">
        <f>SUMIF($Z$46:$Z$47,"tertiair",Q46:Q47)</f>
        <v>0</v>
      </c>
      <c r="R49" s="584">
        <f>SUMIF($Z$46:$Z$47,"tertiair",R46:R47)</f>
        <v>0</v>
      </c>
      <c r="S49" s="584">
        <f>SUMIF($Z$46:$Z$47,"tertiair",S46:S47)</f>
        <v>0</v>
      </c>
      <c r="T49" s="584">
        <f>SUMIF($Z$46:$Z$47,"tertiair",T46:T47)</f>
        <v>0</v>
      </c>
      <c r="U49" s="584">
        <f>SUMIF($Z$46:$Z$47,"tertiair",U46:U47)</f>
        <v>0</v>
      </c>
      <c r="V49" s="584">
        <f>SUMIF($Z$46:$Z$47,"tertiair",V46:V47)</f>
        <v>0</v>
      </c>
      <c r="W49" s="584">
        <f>SUMIF($Z$46:$Z$47,"tertiair",W46:W47)</f>
        <v>0</v>
      </c>
      <c r="X49" s="585"/>
      <c r="Y49" s="585"/>
      <c r="Z49" s="586"/>
    </row>
    <row r="50" spans="1:27" s="564" customFormat="1" ht="15.75" thickBot="1">
      <c r="A50" s="587" t="s">
        <v>288</v>
      </c>
      <c r="B50" s="588"/>
      <c r="C50" s="588"/>
      <c r="D50" s="588"/>
      <c r="E50" s="588"/>
      <c r="F50" s="588"/>
      <c r="G50" s="588"/>
      <c r="H50" s="588"/>
      <c r="I50" s="588"/>
      <c r="J50" s="588"/>
      <c r="K50" s="588"/>
      <c r="L50" s="589"/>
      <c r="M50" s="589">
        <f>SUMIF($Z$46:$Z$48,"landbouw",M46:M48)</f>
        <v>0</v>
      </c>
      <c r="N50" s="589">
        <f>SUMIF($Z$46:$Z$48,"landbouw",N46:N48)</f>
        <v>0</v>
      </c>
      <c r="O50" s="589">
        <f>SUMIF($Z$46:$Z$48,"landbouw",O46:O48)</f>
        <v>0</v>
      </c>
      <c r="P50" s="589">
        <f>SUMIF($Z$46:$Z$48,"landbouw",P46:P48)</f>
        <v>0</v>
      </c>
      <c r="Q50" s="589">
        <f>SUMIF($Z$46:$Z$48,"landbouw",Q46:Q48)</f>
        <v>0</v>
      </c>
      <c r="R50" s="589">
        <f>SUMIF($Z$46:$Z$48,"landbouw",R46:R48)</f>
        <v>0</v>
      </c>
      <c r="S50" s="589">
        <f>SUMIF($Z$46:$Z$48,"landbouw",S46:S48)</f>
        <v>0</v>
      </c>
      <c r="T50" s="589">
        <f>SUMIF($Z$46:$Z$48,"landbouw",T46:T48)</f>
        <v>0</v>
      </c>
      <c r="U50" s="589">
        <f>SUMIF($Z$46:$Z$48,"landbouw",U46:U48)</f>
        <v>0</v>
      </c>
      <c r="V50" s="589">
        <f>SUMIF($Z$46:$Z$48,"landbouw",V46:V48)</f>
        <v>0</v>
      </c>
      <c r="W50" s="589">
        <f>SUMIF($Z$46:$Z$48,"landbouw",W46:W48)</f>
        <v>0</v>
      </c>
      <c r="X50" s="590"/>
      <c r="Y50" s="590"/>
      <c r="Z50" s="591"/>
    </row>
    <row r="51" spans="1:27" s="596" customFormat="1">
      <c r="A51" s="592"/>
      <c r="B51" s="576"/>
      <c r="C51" s="576"/>
      <c r="D51" s="576"/>
      <c r="E51" s="576"/>
      <c r="F51" s="576"/>
      <c r="G51" s="576"/>
      <c r="H51" s="576"/>
      <c r="I51" s="576"/>
      <c r="J51" s="576"/>
      <c r="K51" s="576"/>
      <c r="L51" s="576"/>
      <c r="M51" s="576"/>
      <c r="N51" s="576"/>
      <c r="O51" s="576"/>
      <c r="P51" s="576"/>
      <c r="Q51" s="576"/>
      <c r="R51" s="576"/>
      <c r="S51" s="576"/>
      <c r="T51" s="576"/>
      <c r="U51" s="576"/>
      <c r="V51" s="576"/>
      <c r="W51" s="576"/>
      <c r="X51" s="576"/>
      <c r="Y51" s="576"/>
    </row>
    <row r="52" spans="1:27" s="596" customFormat="1" ht="15.75" thickBot="1">
      <c r="A52" s="592"/>
      <c r="B52" s="576"/>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row>
    <row r="53" spans="1:27">
      <c r="A53" s="597" t="s">
        <v>281</v>
      </c>
      <c r="B53" s="598"/>
      <c r="C53" s="598"/>
      <c r="D53" s="598"/>
      <c r="E53" s="598"/>
      <c r="F53" s="598"/>
      <c r="G53" s="598"/>
      <c r="H53" s="598"/>
      <c r="I53" s="599"/>
      <c r="J53" s="600"/>
      <c r="K53" s="600"/>
      <c r="L53" s="601"/>
      <c r="M53" s="601"/>
      <c r="N53" s="601"/>
      <c r="O53" s="601"/>
      <c r="P53" s="601"/>
    </row>
    <row r="54" spans="1:27">
      <c r="A54" s="603"/>
      <c r="B54" s="593"/>
      <c r="C54" s="593"/>
      <c r="D54" s="593"/>
      <c r="E54" s="593"/>
      <c r="F54" s="593"/>
      <c r="G54" s="593"/>
      <c r="H54" s="593"/>
      <c r="I54" s="604"/>
      <c r="J54" s="593"/>
      <c r="K54" s="593"/>
      <c r="L54" s="601"/>
      <c r="M54" s="601"/>
      <c r="N54" s="601"/>
      <c r="O54" s="601"/>
      <c r="P54" s="601"/>
    </row>
    <row r="55" spans="1:27">
      <c r="A55" s="605"/>
      <c r="B55" s="606" t="s">
        <v>282</v>
      </c>
      <c r="C55" s="606" t="s">
        <v>283</v>
      </c>
      <c r="D55" s="606"/>
      <c r="E55" s="606"/>
      <c r="F55" s="606"/>
      <c r="G55" s="606"/>
      <c r="H55" s="606"/>
      <c r="I55" s="607"/>
      <c r="J55" s="606"/>
      <c r="K55" s="606"/>
      <c r="L55" s="606"/>
      <c r="M55" s="606"/>
      <c r="N55" s="606"/>
      <c r="O55" s="606"/>
      <c r="P55" s="601"/>
    </row>
    <row r="56" spans="1:27">
      <c r="A56" s="603" t="s">
        <v>279</v>
      </c>
      <c r="B56" s="608">
        <f>IF(ISERROR(O40/(O40+N40)),0,O40/(O40+N40))</f>
        <v>0.58823529411764708</v>
      </c>
      <c r="C56" s="609">
        <f>IF(ISERROR(N40/(O40+N40)),0,N40/(N40+O40))</f>
        <v>0.41176470588235287</v>
      </c>
      <c r="D56" s="576"/>
      <c r="E56" s="576"/>
      <c r="F56" s="576"/>
      <c r="G56" s="576"/>
      <c r="H56" s="576"/>
      <c r="I56" s="610"/>
      <c r="J56" s="576"/>
      <c r="K56" s="576"/>
      <c r="L56" s="611"/>
      <c r="M56" s="611"/>
      <c r="N56" s="611"/>
      <c r="O56" s="611"/>
      <c r="P56" s="601"/>
    </row>
    <row r="57" spans="1:27">
      <c r="A57" s="603"/>
      <c r="B57" s="612"/>
      <c r="C57" s="612"/>
      <c r="D57" s="612"/>
      <c r="E57" s="612"/>
      <c r="F57" s="612"/>
      <c r="G57" s="612"/>
      <c r="H57" s="612"/>
      <c r="I57" s="613"/>
      <c r="J57" s="612"/>
      <c r="K57" s="612"/>
      <c r="L57" s="614"/>
      <c r="M57" s="614"/>
      <c r="N57" s="614"/>
      <c r="O57" s="614"/>
      <c r="P57" s="601"/>
    </row>
    <row r="58" spans="1:27" ht="30">
      <c r="A58" s="615"/>
      <c r="B58" s="616" t="s">
        <v>533</v>
      </c>
      <c r="C58" s="616" t="s">
        <v>102</v>
      </c>
      <c r="D58" s="616" t="s">
        <v>103</v>
      </c>
      <c r="E58" s="616" t="s">
        <v>104</v>
      </c>
      <c r="F58" s="616" t="s">
        <v>105</v>
      </c>
      <c r="G58" s="616" t="s">
        <v>106</v>
      </c>
      <c r="H58" s="616" t="s">
        <v>107</v>
      </c>
      <c r="I58" s="617" t="s">
        <v>108</v>
      </c>
      <c r="J58" s="606"/>
      <c r="K58" s="606"/>
      <c r="L58" s="614"/>
      <c r="M58" s="614"/>
      <c r="N58" s="614"/>
      <c r="O58" s="601"/>
      <c r="P58" s="601"/>
    </row>
    <row r="59" spans="1:27">
      <c r="A59" s="605" t="s">
        <v>284</v>
      </c>
      <c r="B59" s="618">
        <f t="shared" ref="B59:I59" si="2">$C$56*P40</f>
        <v>143343.5294117647</v>
      </c>
      <c r="C59" s="618">
        <f t="shared" si="2"/>
        <v>15533.47058823529</v>
      </c>
      <c r="D59" s="618">
        <f t="shared" si="2"/>
        <v>0</v>
      </c>
      <c r="E59" s="618">
        <f t="shared" si="2"/>
        <v>0</v>
      </c>
      <c r="F59" s="618">
        <f t="shared" si="2"/>
        <v>0</v>
      </c>
      <c r="G59" s="618">
        <f t="shared" si="2"/>
        <v>0</v>
      </c>
      <c r="H59" s="618">
        <f t="shared" si="2"/>
        <v>0</v>
      </c>
      <c r="I59" s="619">
        <f t="shared" si="2"/>
        <v>0</v>
      </c>
      <c r="J59" s="576"/>
      <c r="K59" s="576"/>
      <c r="L59" s="614"/>
      <c r="M59" s="614"/>
      <c r="N59" s="614"/>
      <c r="O59" s="601"/>
      <c r="P59" s="601"/>
    </row>
    <row r="60" spans="1:27" ht="15.75" thickBot="1">
      <c r="A60" s="620" t="s">
        <v>285</v>
      </c>
      <c r="B60" s="621">
        <f t="shared" ref="B60:I60" si="3">$B$56*P40</f>
        <v>204776.47058823533</v>
      </c>
      <c r="C60" s="621">
        <f t="shared" si="3"/>
        <v>22190.672268907561</v>
      </c>
      <c r="D60" s="621">
        <f t="shared" si="3"/>
        <v>0</v>
      </c>
      <c r="E60" s="621">
        <f t="shared" si="3"/>
        <v>0</v>
      </c>
      <c r="F60" s="621">
        <f t="shared" si="3"/>
        <v>0</v>
      </c>
      <c r="G60" s="621">
        <f t="shared" si="3"/>
        <v>0</v>
      </c>
      <c r="H60" s="621">
        <f t="shared" si="3"/>
        <v>0</v>
      </c>
      <c r="I60" s="622">
        <f t="shared" si="3"/>
        <v>0</v>
      </c>
      <c r="J60" s="576"/>
      <c r="K60" s="576"/>
      <c r="L60" s="614"/>
      <c r="M60" s="614"/>
      <c r="N60" s="614"/>
      <c r="O60" s="601"/>
      <c r="P60" s="601"/>
    </row>
    <row r="61" spans="1:27">
      <c r="J61" s="562"/>
      <c r="K61" s="562"/>
      <c r="L61" s="562"/>
      <c r="M61" s="562"/>
      <c r="N61" s="562"/>
    </row>
    <row r="62" spans="1:27">
      <c r="J62" s="562"/>
      <c r="K62" s="562"/>
      <c r="L62" s="562"/>
      <c r="M62" s="562"/>
      <c r="N6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2020-06-20T15:40:49Z</dcterms:modified>
</cp:coreProperties>
</file>