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R40" i="18"/>
  <c r="Q40" i="18"/>
  <c r="P40" i="18"/>
  <c r="C9" i="18" s="1"/>
  <c r="O40" i="18"/>
  <c r="N40" i="18"/>
  <c r="B9" i="18" s="1"/>
  <c r="M40" i="18"/>
  <c r="W36" i="18"/>
  <c r="V36" i="18"/>
  <c r="U36" i="18"/>
  <c r="T36" i="18"/>
  <c r="L6" i="17" s="1"/>
  <c r="S36" i="18"/>
  <c r="R36" i="18"/>
  <c r="Q36" i="18"/>
  <c r="P36" i="18"/>
  <c r="O36" i="18"/>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N33" i="18"/>
  <c r="C49" i="18" s="1"/>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B49" i="18"/>
  <c r="G53"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2" i="18"/>
  <c r="H8" i="18" s="1"/>
  <c r="E52" i="18"/>
  <c r="E8" i="18" s="1"/>
  <c r="G52" i="18"/>
  <c r="F52" i="18"/>
  <c r="H52" i="18"/>
  <c r="D52" i="18"/>
  <c r="C52" i="18"/>
  <c r="B52" i="18"/>
  <c r="C8" i="18" s="1"/>
  <c r="B53" i="18"/>
  <c r="C17" i="18" s="1"/>
  <c r="H53" i="18"/>
  <c r="D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3" i="18" l="1"/>
  <c r="E17" i="18" s="1"/>
  <c r="C53" i="18"/>
  <c r="I53" i="18"/>
  <c r="H17" i="18" s="1"/>
  <c r="F53" i="18"/>
  <c r="M77" i="14"/>
  <c r="M9" i="61" s="1"/>
  <c r="I8" i="18"/>
  <c r="I76" i="14" s="1"/>
  <c r="I8" i="61" s="1"/>
  <c r="I10" i="61" s="1"/>
  <c r="H78" i="14"/>
  <c r="H9" i="61"/>
  <c r="H10" i="61" s="1"/>
  <c r="O90" i="14"/>
  <c r="O18" i="61"/>
  <c r="O20" i="61" s="1"/>
  <c r="B88" i="14"/>
  <c r="B18"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B77" i="14" l="1"/>
  <c r="B9" i="61" s="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<sst xmlns="http://schemas.openxmlformats.org/spreadsheetml/2006/main" count="2443" uniqueCount="905">
  <si>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</si>
  <si>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</si>
  <si>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</si>
  <si>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</si>
  <si>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</si>
  <si>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</si>
  <si>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</si>
  <si>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</si>
  <si>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</si>
  <si>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</si>
  <si>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</si>
  <si>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</si>
  <si>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</si>
  <si>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</si>
  <si>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</si>
  <si>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</si>
  <si>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</si>
  <si>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</si>
  <si>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</si>
  <si>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</si>
  <si>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</si>
  <si>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</si>
  <si>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</si>
  <si>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</si>
  <si>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</si>
  <si>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</si>
  <si>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</si>
  <si>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</si>
  <si>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</si>
  <si>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</si>
  <si>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</si>
  <si>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</si>
  <si>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</si>
  <si>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</si>
  <si>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</si>
  <si>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</si>
  <si>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</si>
  <si>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</si>
  <si>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</si>
  <si>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</si>
  <si>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</si>
  <si>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</si>
  <si>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</si>
  <si>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</si>
  <si>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</si>
  <si>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</si>
  <si>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</si>
  <si>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</si>
  <si>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</si>
  <si>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</si>
  <si>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</si>
  <si>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</si>
  <si>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</si>
  <si>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</si>
  <si>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</si>
  <si>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</si>
  <si>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</si>
  <si>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</si>
  <si>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</si>
  <si>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</si>
  <si>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</si>
  <si>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</si>
  <si>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</si>
  <si>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</si>
  <si>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</si>
  <si>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</si>
  <si>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</si>
  <si>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</si>
  <si>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</si>
  <si>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</si>
  <si>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</si>
  <si>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</si>
  <si>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</si>
  <si>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</si>
  <si>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</si>
  <si>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</si>
  <si>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</si>
  <si>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</si>
  <si>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</si>
  <si>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</si>
  <si>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</si>
  <si>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</si>
  <si>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</si>
  <si>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</si>
  <si>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</si>
  <si>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</si>
  <si>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</si>
  <si>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</si>
  <si>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</si>
  <si>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</si>
  <si>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</si>
  <si>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</si>
  <si>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</si>
  <si>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</si>
  <si>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</si>
  <si>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</si>
  <si>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</si>
  <si>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</si>
  <si>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</si>
  <si>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</si>
  <si>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</si>
  <si>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</si>
  <si>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</si>
  <si>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</si>
  <si>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</si>
  <si>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</si>
  <si>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</si>
  <si>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</si>
  <si>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</si>
  <si>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</si>
  <si>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</si>
  <si>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</si>
  <si>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</si>
  <si>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</si>
  <si>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</si>
  <si>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</si>
  <si>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</si>
  <si>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</si>
  <si>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</si>
  <si>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</si>
  <si>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</si>
  <si>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</si>
  <si>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</si>
  <si>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</si>
  <si>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</si>
  <si>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</si>
  <si>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</si>
  <si>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</si>
  <si>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</si>
  <si>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</si>
  <si>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</si>
  <si>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</si>
  <si>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</si>
  <si>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</si>
  <si>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</si>
  <si>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</si>
  <si>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</si>
  <si>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</si>
  <si>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</si>
  <si>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</si>
  <si>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</si>
  <si>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</si>
  <si>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</si>
  <si>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</si>
  <si>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</si>
  <si>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</si>
  <si>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</si>
  <si>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</si>
  <si>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</si>
  <si>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</si>
  <si>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</si>
  <si>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</si>
  <si>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</si>
  <si>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</si>
  <si>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</si>
  <si>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</si>
  <si>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</si>
  <si>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</si>
  <si>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</si>
  <si>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</si>
  <si>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</si>
  <si>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</si>
  <si>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</si>
  <si>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</si>
  <si>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</si>
  <si>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</si>
  <si>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</si>
  <si>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</si>
  <si>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</si>
  <si>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</si>
  <si>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</si>
  <si>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</si>
  <si>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</si>
  <si>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</si>
  <si>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</si>
  <si>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</si>
  <si>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</si>
  <si>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</si>
  <si>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</si>
  <si>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</si>
  <si>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</si>
  <si>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</si>
  <si>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</si>
  <si>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</si>
  <si>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</si>
  <si>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</si>
  <si>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</si>
  <si>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</si>
  <si>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</si>
  <si>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</si>
  <si>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</si>
  <si>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</si>
  <si>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</si>
  <si>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</si>
  <si>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</si>
  <si>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</si>
  <si>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</si>
  <si>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</si>
  <si>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</si>
  <si>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</si>
  <si>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</si>
  <si>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</si>
  <si>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</si>
  <si>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</si>
  <si>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</si>
  <si>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</si>
  <si>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</si>
  <si>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</si>
  <si>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</si>
  <si>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</si>
  <si>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</si>
  <si>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</si>
  <si>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</si>
  <si>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</si>
  <si>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</si>
  <si>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</si>
  <si>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</si>
  <si>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</si>
  <si>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</si>
  <si>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</si>
  <si>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</si>
  <si>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</si>
  <si>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</si>
  <si>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</si>
  <si>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</si>
  <si>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</si>
  <si>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</si>
  <si>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</si>
  <si>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</si>
  <si>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</si>
  <si>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</si>
  <si>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</si>
  <si>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</si>
  <si>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</si>
  <si>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</si>
  <si>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</si>
  <si>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</si>
  <si>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</si>
  <si>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</si>
  <si>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</si>
  <si>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</si>
  <si>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</si>
  <si>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</si>
  <si>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</si>
  <si>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</si>
  <si>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</si>
  <si>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</si>
  <si>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</si>
  <si>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</si>
  <si>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</si>
  <si>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</si>
  <si>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</si>
  <si>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</si>
  <si>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</si>
  <si>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</si>
  <si>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</si>
  <si>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</si>
  <si>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</si>
  <si>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</si>
  <si>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</si>
  <si>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</si>
  <si>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</si>
  <si>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</si>
  <si>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</si>
  <si>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</si>
  <si>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</si>
  <si>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</si>
  <si>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</si>
  <si>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</si>
  <si>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</si>
  <si>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</si>
  <si>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</si>
  <si>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</si>
  <si>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</si>
  <si>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</si>
  <si>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</si>
  <si>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</si>
  <si>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</si>
  <si>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</si>
  <si>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</si>
  <si>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</si>
  <si>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</si>
  <si>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</si>
  <si>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</si>
  <si>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</si>
  <si>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</si>
  <si>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</si>
  <si>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</si>
  <si>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</si>
  <si>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</si>
  <si>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</si>
  <si>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</si>
  <si>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</si>
  <si>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</si>
  <si>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</si>
  <si>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</si>
  <si>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</si>
  <si>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</si>
  <si>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</si>
  <si>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</si>
  <si>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</si>
  <si>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</si>
  <si>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</si>
  <si>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</si>
  <si>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</si>
  <si>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</si>
  <si>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</si>
  <si>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</si>
  <si>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</si>
  <si>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</si>
  <si>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</si>
  <si>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</si>
  <si>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</si>
  <si>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</si>
  <si>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</si>
  <si>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</si>
  <si>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</si>
  <si>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</si>
  <si>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</si>
  <si>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</si>
  <si>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</si>
  <si>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</si>
  <si>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</si>
  <si>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</si>
  <si>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</si>
  <si>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</si>
  <si>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</si>
  <si>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</si>
  <si>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</si>
  <si>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</si>
  <si>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</si>
  <si>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</si>
  <si>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</si>
  <si>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</si>
  <si>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</si>
  <si>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</si>
  <si>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</si>
  <si>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</si>
  <si>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</si>
  <si>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</si>
  <si>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</si>
  <si>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</si>
  <si>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</si>
  <si>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</si>
  <si>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</si>
  <si>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</si>
  <si>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</si>
  <si>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</si>
  <si>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</si>
  <si>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</si>
  <si>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</si>
  <si>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</si>
  <si>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</si>
  <si>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</si>
  <si>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</si>
  <si>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</si>
  <si>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</si>
  <si>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</si>
  <si>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</si>
  <si>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</si>
  <si>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</si>
  <si>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</si>
  <si>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</si>
  <si>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</si>
  <si>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</si>
  <si>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</si>
  <si>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</si>
  <si>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</si>
  <si>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</si>
  <si>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</si>
  <si>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</si>
  <si>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</si>
  <si>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</si>
  <si>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</si>
  <si>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</si>
  <si>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</si>
  <si>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</si>
  <si>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</si>
  <si>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</si>
  <si>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</si>
  <si>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</si>
  <si>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</si>
  <si>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</si>
  <si>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</si>
  <si>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</si>
  <si>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</si>
  <si>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</si>
  <si>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</si>
  <si>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</si>
  <si>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</si>
  <si>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</si>
  <si>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</si>
  <si>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</si>
  <si>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</si>
  <si>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</si>
  <si>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</si>
  <si>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</si>
  <si>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</si>
  <si>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</si>
  <si>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</si>
  <si>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</si>
  <si>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</si>
  <si>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</si>
  <si>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</si>
  <si>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</si>
  <si>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</si>
  <si>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</si>
  <si>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</si>
  <si>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</si>
  <si>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</si>
  <si>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</si>
  <si>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</si>
  <si>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</si>
  <si>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</si>
  <si>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</si>
  <si>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</si>
  <si>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</si>
  <si>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</si>
  <si>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</si>
  <si>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</si>
  <si>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</si>
  <si>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</si>
  <si>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</si>
  <si>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</si>
  <si>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</si>
  <si>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</si>
  <si>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</si>
  <si>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</si>
  <si>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</si>
  <si>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</si>
  <si>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</si>
  <si>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</si>
  <si>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</si>
  <si>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</si>
  <si>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</si>
  <si>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</si>
  <si>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</si>
  <si>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</si>
  <si>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</si>
  <si>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</si>
  <si>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</si>
  <si>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</si>
  <si>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</si>
  <si>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</si>
  <si>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</si>
  <si>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</si>
  <si>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</si>
  <si>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</si>
  <si>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</si>
  <si>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</si>
  <si>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</si>
  <si>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</si>
  <si>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</si>
  <si>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</si>
  <si>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</si>
  <si>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</si>
  <si>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</si>
  <si>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</si>
  <si>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</si>
  <si>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</si>
  <si>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</si>
  <si>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</si>
  <si>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</si>
  <si>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</si>
  <si>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</si>
  <si>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</si>
  <si>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</si>
  <si>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</si>
  <si>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</si>
  <si>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</si>
  <si>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</si>
  <si>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</si>
  <si>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</si>
  <si>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</si>
  <si>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</si>
  <si>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</si>
  <si>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</si>
  <si>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</si>
  <si>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</si>
  <si>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</si>
  <si>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</si>
  <si>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</si>
  <si>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</si>
  <si>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</si>
  <si>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</si>
  <si>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</si>
  <si>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</si>
  <si>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</si>
  <si>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</si>
  <si>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</si>
  <si>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</si>
  <si>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</si>
  <si>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</si>
  <si>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</si>
  <si>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</si>
  <si>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</si>
  <si>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</si>
  <si>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</si>
  <si>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</si>
  <si>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</si>
  <si>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</si>
  <si>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</si>
  <si>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</si>
  <si>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</si>
  <si>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</si>
  <si>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</si>
  <si>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</si>
  <si>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</si>
  <si>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</si>
  <si>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</si>
  <si>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</si>
  <si>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</si>
  <si>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</si>
  <si>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</si>
  <si>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</si>
  <si>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</si>
  <si>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</si>
  <si>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</si>
  <si>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</si>
  <si>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</si>
  <si>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</si>
  <si>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</si>
  <si>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</si>
  <si>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</si>
  <si>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</si>
  <si>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</si>
  <si>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</si>
  <si>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</si>
  <si>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</si>
  <si>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</si>
  <si>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</si>
  <si>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</si>
  <si>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</si>
  <si>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</si>
  <si>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</si>
  <si>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</si>
  <si>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</si>
  <si>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</si>
  <si>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</si>
  <si>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</si>
  <si>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</si>
  <si>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</si>
  <si>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</si>
  <si>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</si>
  <si>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</si>
  <si>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</si>
  <si>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</si>
  <si>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</si>
  <si>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</si>
  <si>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</si>
  <si>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</si>
  <si>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</si>
  <si>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</si>
  <si>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</si>
  <si>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</si>
  <si>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</si>
  <si>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</si>
  <si>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</si>
  <si>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</si>
  <si>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</si>
  <si>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</si>
  <si>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</si>
  <si>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</si>
  <si>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</si>
  <si>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</si>
  <si>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</si>
  <si>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</si>
  <si>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</si>
  <si>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</si>
  <si>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</si>
  <si>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</si>
  <si>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</si>
  <si>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</si>
  <si>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</si>
  <si>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</si>
  <si>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</si>
  <si>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</si>
  <si>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</si>
  <si>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</si>
  <si>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</si>
  <si>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</si>
  <si>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</si>
  <si>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</si>
  <si>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</si>
  <si>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</si>
  <si>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</si>
  <si>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</si>
  <si>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</si>
  <si>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</si>
  <si>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</si>
  <si>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</si>
  <si>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</si>
  <si>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</si>
  <si>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</si>
  <si>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</si>
  <si>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</si>
  <si>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</si>
  <si>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</si>
  <si>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</si>
  <si>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</si>
  <si>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</si>
  <si>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</si>
  <si>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</si>
  <si>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</si>
  <si>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</si>
  <si>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</si>
  <si>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</si>
  <si>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</si>
  <si>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</si>
  <si>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</si>
  <si>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</si>
  <si>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</si>
  <si>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</si>
  <si>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</si>
  <si>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</si>
  <si>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</si>
  <si>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</si>
  <si>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</si>
  <si>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</si>
  <si>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</si>
  <si>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</si>
  <si>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</si>
  <si>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</si>
  <si>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</si>
  <si>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</si>
  <si>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</si>
  <si>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</si>
  <si>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</si>
  <si>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</si>
  <si>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</si>
  <si>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</si>
  <si>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</si>
  <si>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</si>
  <si>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</si>
  <si>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</si>
  <si>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</si>
  <si>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</si>
  <si>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</si>
  <si>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</si>
  <si>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</si>
  <si>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</si>
  <si>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</si>
  <si>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</si>
  <si>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</si>
  <si>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</si>
  <si>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</si>
  <si>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</si>
  <si>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</si>
  <si>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</si>
  <si>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</si>
  <si>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</si>
  <si>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</si>
  <si>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</si>
  <si>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</si>
  <si>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</si>
  <si>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</si>
  <si>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</si>
  <si>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</si>
  <si>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</si>
  <si>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</si>
  <si>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</si>
  <si>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</si>
  <si>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</si>
  <si>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</si>
  <si>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</si>
  <si>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</si>
  <si>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</si>
  <si>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</si>
  <si>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</si>
  <si>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</si>
  <si>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</si>
  <si>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</si>
  <si>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</si>
  <si>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</si>
  <si>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</si>
  <si>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</si>
  <si>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</si>
  <si>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</si>
  <si>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</si>
  <si>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</si>
  <si>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</si>
  <si>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</si>
  <si>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</si>
  <si>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</si>
  <si>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</si>
  <si>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</si>
  <si>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</si>
  <si>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</si>
  <si>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</si>
  <si>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</si>
  <si>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</si>
  <si>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</si>
  <si>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</si>
  <si>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</si>
  <si>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</si>
  <si>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</si>
  <si>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</si>
  <si>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</si>
  <si>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</si>
  <si>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</si>
  <si>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</si>
  <si>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</si>
  <si>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</si>
  <si>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</si>
  <si>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</si>
  <si>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</si>
  <si>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</si>
  <si>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</si>
  <si>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</si>
  <si>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</si>
  <si>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</si>
  <si>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</si>
  <si>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</si>
  <si>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</si>
  <si>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</si>
  <si>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</si>
  <si>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</si>
  <si>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</si>
  <si>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</si>
  <si>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</si>
  <si>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</si>
  <si>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</si>
  <si>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</si>
  <si>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</si>
  <si>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</si>
  <si>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</si>
  <si>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</si>
  <si>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</si>
  <si>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</si>
  <si>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</si>
  <si>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</si>
  <si>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</si>
  <si>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</si>
  <si>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</si>
  <si>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</si>
  <si>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</si>
  <si>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</si>
  <si>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</si>
  <si>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</si>
  <si>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</si>
  <si>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</si>
  <si>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</si>
  <si>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</si>
  <si>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</si>
  <si>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</si>
  <si>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</si>
  <si>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</si>
  <si>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</si>
  <si>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</si>
  <si>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</si>
  <si>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</si>
  <si>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</si>
  <si>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</si>
  <si>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</si>
  <si>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</si>
  <si>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</si>
  <si>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</si>
  <si>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</si>
  <si>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</si>
  <si>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</si>
  <si>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</si>
  <si>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</si>
  <si>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</si>
  <si>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</si>
  <si>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</si>
  <si>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</si>
  <si>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</si>
  <si>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</si>
  <si>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</si>
  <si>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</si>
  <si>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</si>
  <si>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</si>
  <si>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</si>
  <si>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</si>
  <si>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</si>
  <si>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</si>
  <si>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</si>
  <si>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</si>
  <si>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</si>
  <si>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</si>
  <si>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</si>
  <si>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</si>
  <si>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</si>
  <si>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</si>
  <si>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</si>
  <si>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</si>
  <si>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</si>
  <si>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</si>
  <si>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</si>
  <si>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</si>
  <si>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</si>
  <si>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</si>
  <si>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</si>
  <si>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</si>
  <si>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</si>
  <si>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</si>
  <si>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</si>
  <si>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</si>
  <si>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</si>
  <si>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</si>
  <si>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</si>
  <si>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</si>
  <si>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</si>
  <si>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</si>
  <si>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</si>
  <si>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</si>
  <si>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</si>
  <si>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</si>
  <si>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</si>
  <si>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</si>
  <si>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</si>
  <si>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</si>
  <si>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</si>
  <si>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</si>
  <si>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</si>
  <si>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</si>
  <si>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</si>
  <si>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</si>
  <si>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</si>
  <si>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</si>
  <si>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</si>
  <si>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</si>
  <si>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</si>
  <si>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</si>
  <si>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</si>
  <si>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</si>
  <si>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</si>
  <si>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</si>
  <si>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</si>
  <si>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</si>
  <si>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</si>
  <si>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</si>
  <si>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</si>
  <si>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</si>
  <si>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</si>
  <si>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</si>
  <si>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</si>
  <si>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</si>
  <si>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</si>
  <si>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</si>
  <si>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</si>
  <si>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</si>
  <si>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</si>
  <si>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</si>
  <si>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</si>
  <si>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</si>
  <si>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</si>
  <si>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</si>
  <si>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</si>
  <si>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</si>
  <si>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</si>
  <si>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</si>
  <si>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</si>
  <si>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</si>
  <si>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</si>
  <si>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</si>
  <si>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</si>
  <si>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</si>
  <si>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</si>
  <si>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</si>
  <si>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</si>
  <si>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</si>
  <si>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</si>
  <si>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</si>
  <si>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</si>
  <si>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</si>
  <si>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</si>
  <si>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</si>
  <si>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</si>
  <si>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</si>
  <si>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</si>
  <si>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</si>
  <si>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</si>
  <si>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</si>
  <si>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</si>
  <si>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</si>
  <si>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</si>
  <si>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</si>
  <si>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</si>
  <si>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</si>
  <si>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</si>
  <si>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</si>
  <si>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</si>
  <si>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13035</t>
  </si>
  <si>
    <t>RAVELS</t>
  </si>
  <si>
    <t>Fluvius</t>
  </si>
  <si>
    <t>referentietaak LNE (2017); Jaarverslag De Lijn</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</si>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</sst>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173999.16397443219</c:v>
                </c:pt>
                <c:pt idx="1">
                  <c:v>31701.020826180633</c:v>
                </c:pt>
                <c:pt idx="2">
                  <c:v>1022.6180000000001</c:v>
                </c:pt>
                <c:pt idx="3">
                  <c:v>139141.14894689745</c:v>
                </c:pt>
                <c:pt idx="4">
                  <c:v>62531.048831031309</c:v>
                </c:pt>
                <c:pt idx="5">
                  <c:v>69674.431125482079</c:v>
                </c:pt>
                <c:pt idx="6">
                  <c:v>1410.6647363764555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173999.16397443219</c:v>
                </c:pt>
                <c:pt idx="1">
                  <c:v>31701.020826180633</c:v>
                </c:pt>
                <c:pt idx="2">
                  <c:v>1022.6180000000001</c:v>
                </c:pt>
                <c:pt idx="3">
                  <c:v>139141.14894689745</c:v>
                </c:pt>
                <c:pt idx="4">
                  <c:v>62531.048831031309</c:v>
                </c:pt>
                <c:pt idx="5">
                  <c:v>69674.431125482079</c:v>
                </c:pt>
                <c:pt idx="6">
                  <c:v>1410.6647363764555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29311.480703847694</c:v>
                </c:pt>
                <c:pt idx="2">
                  <c:v>6188.5797339424998</c:v>
                </c:pt>
                <c:pt idx="3">
                  <c:v>214.57259562364615</c:v>
                </c:pt>
                <c:pt idx="4">
                  <c:v>34227.406811922228</c:v>
                </c:pt>
                <c:pt idx="5">
                  <c:v>12777.253571073179</c:v>
                </c:pt>
                <c:pt idx="6">
                  <c:v>17436.467134300849</c:v>
                </c:pt>
                <c:pt idx="7">
                  <c:v>356.40668724933664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29311.480703847694</c:v>
                </c:pt>
                <c:pt idx="2">
                  <c:v>6188.5797339424998</c:v>
                </c:pt>
                <c:pt idx="3">
                  <c:v>214.57259562364615</c:v>
                </c:pt>
                <c:pt idx="4">
                  <c:v>34227.406811922228</c:v>
                </c:pt>
                <c:pt idx="5">
                  <c:v>12777.253571073179</c:v>
                </c:pt>
                <c:pt idx="6">
                  <c:v>17436.467134300849</c:v>
                </c:pt>
                <c:pt idx="7">
                  <c:v>356.40668724933664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13035</v>
      </c>
      <c r="B6" s="390"/>
      <c r="C6" s="391"/>
    </row>
    <row r="7" spans="1:7" s="388" customFormat="1" ht="15.75" customHeight="1">
      <c r="A7" s="392" t="str">
        <f>txtMunicipality</f>
        <v>RAVELS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14881.049650609872</v>
      </c>
      <c r="D10" s="979">
        <f ca="1">tertiair!C16</f>
        <v>0</v>
      </c>
      <c r="E10" s="979">
        <f ca="1">tertiair!D16</f>
        <v>12801.052046088947</v>
      </c>
      <c r="F10" s="979">
        <f>tertiair!E16</f>
        <v>140.19235603207892</v>
      </c>
      <c r="G10" s="979">
        <f ca="1">tertiair!F16</f>
        <v>2483.3436037817701</v>
      </c>
      <c r="H10" s="979">
        <f>tertiair!G16</f>
        <v>0</v>
      </c>
      <c r="I10" s="979">
        <f>tertiair!H16</f>
        <v>0</v>
      </c>
      <c r="J10" s="979">
        <f>tertiair!I16</f>
        <v>0</v>
      </c>
      <c r="K10" s="979">
        <f>tertiair!J16</f>
        <v>6.032340563908957E-2</v>
      </c>
      <c r="L10" s="979">
        <f>tertiair!K16</f>
        <v>0</v>
      </c>
      <c r="M10" s="979">
        <f ca="1">tertiair!L16</f>
        <v>0</v>
      </c>
      <c r="N10" s="979">
        <f>tertiair!M16</f>
        <v>0</v>
      </c>
      <c r="O10" s="979">
        <f ca="1">tertiair!N16</f>
        <v>2413.2508462623255</v>
      </c>
      <c r="P10" s="979">
        <f>tertiair!O16</f>
        <v>4.6900000000000004</v>
      </c>
      <c r="Q10" s="980">
        <f>tertiair!P16</f>
        <v>0</v>
      </c>
      <c r="R10" s="674">
        <f ca="1">SUM(C10:Q10)</f>
        <v>32723.638826180631</v>
      </c>
      <c r="S10" s="67"/>
    </row>
    <row r="11" spans="1:19" s="447" customFormat="1">
      <c r="A11" s="783" t="s">
        <v>224</v>
      </c>
      <c r="B11" s="788"/>
      <c r="C11" s="979">
        <f>huishoudens!B8</f>
        <v>26979.369224150345</v>
      </c>
      <c r="D11" s="979">
        <f>huishoudens!C8</f>
        <v>0</v>
      </c>
      <c r="E11" s="979">
        <f>huishoudens!D8</f>
        <v>65895.736795757737</v>
      </c>
      <c r="F11" s="979">
        <f>huishoudens!E8</f>
        <v>32105.826697555913</v>
      </c>
      <c r="G11" s="979">
        <f>huishoudens!F8</f>
        <v>11428.937327561693</v>
      </c>
      <c r="H11" s="979">
        <f>huishoudens!G8</f>
        <v>0</v>
      </c>
      <c r="I11" s="979">
        <f>huishoudens!H8</f>
        <v>0</v>
      </c>
      <c r="J11" s="979">
        <f>huishoudens!I8</f>
        <v>0</v>
      </c>
      <c r="K11" s="979">
        <f>huishoudens!J8</f>
        <v>0</v>
      </c>
      <c r="L11" s="979">
        <f>huishoudens!K8</f>
        <v>0</v>
      </c>
      <c r="M11" s="979">
        <f>huishoudens!L8</f>
        <v>0</v>
      </c>
      <c r="N11" s="979">
        <f>huishoudens!M8</f>
        <v>0</v>
      </c>
      <c r="O11" s="979">
        <f>huishoudens!N8</f>
        <v>36093.88059607317</v>
      </c>
      <c r="P11" s="979">
        <f>huishoudens!O8</f>
        <v>275.1466666666667</v>
      </c>
      <c r="Q11" s="980">
        <f>huishoudens!P8</f>
        <v>1220.2666666666667</v>
      </c>
      <c r="R11" s="674">
        <f>SUM(C11:Q11)</f>
        <v>173999.16397443219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28163.863677011548</v>
      </c>
      <c r="D13" s="979">
        <f>industrie!C18</f>
        <v>0</v>
      </c>
      <c r="E13" s="979">
        <f>industrie!D18</f>
        <v>26374.458641614001</v>
      </c>
      <c r="F13" s="979">
        <f>industrie!E18</f>
        <v>1110.2052382212914</v>
      </c>
      <c r="G13" s="979">
        <f>industrie!F18</f>
        <v>4764.7872015802259</v>
      </c>
      <c r="H13" s="979">
        <f>industrie!G18</f>
        <v>0</v>
      </c>
      <c r="I13" s="979">
        <f>industrie!H18</f>
        <v>0</v>
      </c>
      <c r="J13" s="979">
        <f>industrie!I18</f>
        <v>0</v>
      </c>
      <c r="K13" s="979">
        <f>industrie!J18</f>
        <v>44.820921304552641</v>
      </c>
      <c r="L13" s="979">
        <f>industrie!K18</f>
        <v>0</v>
      </c>
      <c r="M13" s="979">
        <f>industrie!L18</f>
        <v>0</v>
      </c>
      <c r="N13" s="979">
        <f>industrie!M18</f>
        <v>0</v>
      </c>
      <c r="O13" s="979">
        <f>industrie!N18</f>
        <v>2072.9131512996837</v>
      </c>
      <c r="P13" s="979">
        <f>industrie!O18</f>
        <v>0</v>
      </c>
      <c r="Q13" s="980">
        <f>industrie!P18</f>
        <v>0</v>
      </c>
      <c r="R13" s="674">
        <f>SUM(C13:Q13)</f>
        <v>62531.048831031309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70024.282551771757</v>
      </c>
      <c r="D16" s="706">
        <f t="shared" ref="D16:R16" ca="1" si="0">SUM(D9:D15)</f>
        <v>0</v>
      </c>
      <c r="E16" s="706">
        <f t="shared" ca="1" si="0"/>
        <v>105071.2474834607</v>
      </c>
      <c r="F16" s="706">
        <f t="shared" si="0"/>
        <v>33356.224291809282</v>
      </c>
      <c r="G16" s="706">
        <f t="shared" ca="1" si="0"/>
        <v>18677.06813292369</v>
      </c>
      <c r="H16" s="706">
        <f t="shared" si="0"/>
        <v>0</v>
      </c>
      <c r="I16" s="706">
        <f t="shared" si="0"/>
        <v>0</v>
      </c>
      <c r="J16" s="706">
        <f t="shared" si="0"/>
        <v>0</v>
      </c>
      <c r="K16" s="706">
        <f t="shared" si="0"/>
        <v>44.88124471019173</v>
      </c>
      <c r="L16" s="706">
        <f t="shared" si="0"/>
        <v>0</v>
      </c>
      <c r="M16" s="706">
        <f t="shared" ca="1" si="0"/>
        <v>0</v>
      </c>
      <c r="N16" s="706">
        <f t="shared" si="0"/>
        <v>0</v>
      </c>
      <c r="O16" s="706">
        <f t="shared" ca="1" si="0"/>
        <v>40580.044593635175</v>
      </c>
      <c r="P16" s="706">
        <f t="shared" si="0"/>
        <v>279.8366666666667</v>
      </c>
      <c r="Q16" s="706">
        <f t="shared" si="0"/>
        <v>1220.2666666666667</v>
      </c>
      <c r="R16" s="706">
        <f t="shared" ca="1" si="0"/>
        <v>269253.85163164412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1334.8565065518226</v>
      </c>
      <c r="I19" s="979">
        <f>transport!H54</f>
        <v>0</v>
      </c>
      <c r="J19" s="979">
        <f>transport!I54</f>
        <v>0</v>
      </c>
      <c r="K19" s="979">
        <f>transport!J54</f>
        <v>0</v>
      </c>
      <c r="L19" s="979">
        <f>transport!K54</f>
        <v>0</v>
      </c>
      <c r="M19" s="979">
        <f>transport!L54</f>
        <v>0</v>
      </c>
      <c r="N19" s="979">
        <f>transport!M54</f>
        <v>75.808229824632946</v>
      </c>
      <c r="O19" s="979">
        <f>transport!N54</f>
        <v>0</v>
      </c>
      <c r="P19" s="979">
        <f>transport!O54</f>
        <v>0</v>
      </c>
      <c r="Q19" s="980">
        <f>transport!P54</f>
        <v>0</v>
      </c>
      <c r="R19" s="674">
        <f>SUM(C19:Q19)</f>
        <v>1410.6647363764555</v>
      </c>
      <c r="S19" s="67"/>
    </row>
    <row r="20" spans="1:19" s="447" customFormat="1">
      <c r="A20" s="783" t="s">
        <v>306</v>
      </c>
      <c r="B20" s="788"/>
      <c r="C20" s="979">
        <f>transport!B14</f>
        <v>25.553511501315498</v>
      </c>
      <c r="D20" s="979">
        <f>transport!C14</f>
        <v>0</v>
      </c>
      <c r="E20" s="979">
        <f>transport!D14</f>
        <v>73.121681261055954</v>
      </c>
      <c r="F20" s="979">
        <f>transport!E14</f>
        <v>123.45887327582295</v>
      </c>
      <c r="G20" s="979">
        <f>transport!F14</f>
        <v>0</v>
      </c>
      <c r="H20" s="979">
        <f>transport!G14</f>
        <v>53621.945291093893</v>
      </c>
      <c r="I20" s="979">
        <f>transport!H14</f>
        <v>12334.338103839502</v>
      </c>
      <c r="J20" s="979">
        <f>transport!I14</f>
        <v>0</v>
      </c>
      <c r="K20" s="979">
        <f>transport!J14</f>
        <v>0</v>
      </c>
      <c r="L20" s="979">
        <f>transport!K14</f>
        <v>0</v>
      </c>
      <c r="M20" s="979">
        <f>transport!L14</f>
        <v>0</v>
      </c>
      <c r="N20" s="979">
        <f>transport!M14</f>
        <v>3496.0136645104867</v>
      </c>
      <c r="O20" s="979">
        <f>transport!N14</f>
        <v>0</v>
      </c>
      <c r="P20" s="979">
        <f>transport!O14</f>
        <v>0</v>
      </c>
      <c r="Q20" s="980">
        <f>transport!P14</f>
        <v>0</v>
      </c>
      <c r="R20" s="674">
        <f>SUM(C20:Q20)</f>
        <v>69674.431125482079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25.553511501315498</v>
      </c>
      <c r="D22" s="786">
        <f t="shared" ref="D22:R22" si="1">SUM(D18:D21)</f>
        <v>0</v>
      </c>
      <c r="E22" s="786">
        <f t="shared" si="1"/>
        <v>73.121681261055954</v>
      </c>
      <c r="F22" s="786">
        <f t="shared" si="1"/>
        <v>123.45887327582295</v>
      </c>
      <c r="G22" s="786">
        <f t="shared" si="1"/>
        <v>0</v>
      </c>
      <c r="H22" s="786">
        <f t="shared" si="1"/>
        <v>54956.801797645712</v>
      </c>
      <c r="I22" s="786">
        <f t="shared" si="1"/>
        <v>12334.338103839502</v>
      </c>
      <c r="J22" s="786">
        <f t="shared" si="1"/>
        <v>0</v>
      </c>
      <c r="K22" s="786">
        <f t="shared" si="1"/>
        <v>0</v>
      </c>
      <c r="L22" s="786">
        <f t="shared" si="1"/>
        <v>0</v>
      </c>
      <c r="M22" s="786">
        <f t="shared" si="1"/>
        <v>0</v>
      </c>
      <c r="N22" s="786">
        <f t="shared" si="1"/>
        <v>3571.8218943351199</v>
      </c>
      <c r="O22" s="786">
        <f t="shared" si="1"/>
        <v>0</v>
      </c>
      <c r="P22" s="786">
        <f t="shared" si="1"/>
        <v>0</v>
      </c>
      <c r="Q22" s="786">
        <f t="shared" si="1"/>
        <v>0</v>
      </c>
      <c r="R22" s="786">
        <f t="shared" si="1"/>
        <v>71085.095861858528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10591.637607017394</v>
      </c>
      <c r="D24" s="979">
        <f>+landbouw!C8</f>
        <v>82579.5</v>
      </c>
      <c r="E24" s="979">
        <f>+landbouw!D8</f>
        <v>0</v>
      </c>
      <c r="F24" s="979">
        <f>+landbouw!E8</f>
        <v>311.32057986544726</v>
      </c>
      <c r="G24" s="979">
        <f>+landbouw!F8</f>
        <v>44124.18992877908</v>
      </c>
      <c r="H24" s="979">
        <f>+landbouw!G8</f>
        <v>0</v>
      </c>
      <c r="I24" s="979">
        <f>+landbouw!H8</f>
        <v>0</v>
      </c>
      <c r="J24" s="979">
        <f>+landbouw!I8</f>
        <v>0</v>
      </c>
      <c r="K24" s="979">
        <f>+landbouw!J8</f>
        <v>1534.5008312355235</v>
      </c>
      <c r="L24" s="979">
        <f>+landbouw!K8</f>
        <v>0</v>
      </c>
      <c r="M24" s="979">
        <f>+landbouw!L8</f>
        <v>0</v>
      </c>
      <c r="N24" s="979">
        <f>+landbouw!M8</f>
        <v>0</v>
      </c>
      <c r="O24" s="979">
        <f>+landbouw!N8</f>
        <v>0</v>
      </c>
      <c r="P24" s="979">
        <f>+landbouw!O8</f>
        <v>0</v>
      </c>
      <c r="Q24" s="980">
        <f>+landbouw!P8</f>
        <v>0</v>
      </c>
      <c r="R24" s="674">
        <f>SUM(C24:Q24)</f>
        <v>139141.14894689745</v>
      </c>
      <c r="S24" s="67"/>
    </row>
    <row r="25" spans="1:19" s="447" customFormat="1" ht="15" thickBot="1">
      <c r="A25" s="805" t="s">
        <v>823</v>
      </c>
      <c r="B25" s="982"/>
      <c r="C25" s="983">
        <f>IF(Onbekend_ele_kWh="---",0,Onbekend_ele_kWh)/1000+IF(REST_rest_ele_kWh="---",0,REST_rest_ele_kWh)/1000</f>
        <v>870.31583249094695</v>
      </c>
      <c r="D25" s="983"/>
      <c r="E25" s="983">
        <f>IF(onbekend_gas_kWh="---",0,onbekend_gas_kWh)/1000+IF(REST_rest_gas_kWh="---",0,REST_rest_gas_kWh)/1000</f>
        <v>1827.68359344584</v>
      </c>
      <c r="F25" s="983"/>
      <c r="G25" s="983"/>
      <c r="H25" s="983"/>
      <c r="I25" s="983"/>
      <c r="J25" s="983"/>
      <c r="K25" s="983"/>
      <c r="L25" s="983"/>
      <c r="M25" s="983"/>
      <c r="N25" s="983"/>
      <c r="O25" s="983"/>
      <c r="P25" s="983"/>
      <c r="Q25" s="984"/>
      <c r="R25" s="674">
        <f>SUM(C25:Q25)</f>
        <v>2697.9994259367868</v>
      </c>
      <c r="S25" s="67"/>
    </row>
    <row r="26" spans="1:19" s="447" customFormat="1" ht="15.75" thickBot="1">
      <c r="A26" s="679" t="s">
        <v>824</v>
      </c>
      <c r="B26" s="791"/>
      <c r="C26" s="786">
        <f>SUM(C24:C25)</f>
        <v>11461.953439508341</v>
      </c>
      <c r="D26" s="786">
        <f t="shared" ref="D26:R26" si="2">SUM(D24:D25)</f>
        <v>82579.5</v>
      </c>
      <c r="E26" s="786">
        <f t="shared" si="2"/>
        <v>1827.68359344584</v>
      </c>
      <c r="F26" s="786">
        <f t="shared" si="2"/>
        <v>311.32057986544726</v>
      </c>
      <c r="G26" s="786">
        <f t="shared" si="2"/>
        <v>44124.18992877908</v>
      </c>
      <c r="H26" s="786">
        <f t="shared" si="2"/>
        <v>0</v>
      </c>
      <c r="I26" s="786">
        <f t="shared" si="2"/>
        <v>0</v>
      </c>
      <c r="J26" s="786">
        <f t="shared" si="2"/>
        <v>0</v>
      </c>
      <c r="K26" s="786">
        <f t="shared" si="2"/>
        <v>1534.5008312355235</v>
      </c>
      <c r="L26" s="786">
        <f t="shared" si="2"/>
        <v>0</v>
      </c>
      <c r="M26" s="786">
        <f t="shared" si="2"/>
        <v>0</v>
      </c>
      <c r="N26" s="786">
        <f t="shared" si="2"/>
        <v>0</v>
      </c>
      <c r="O26" s="786">
        <f t="shared" si="2"/>
        <v>0</v>
      </c>
      <c r="P26" s="786">
        <f t="shared" si="2"/>
        <v>0</v>
      </c>
      <c r="Q26" s="786">
        <f t="shared" si="2"/>
        <v>0</v>
      </c>
      <c r="R26" s="786">
        <f t="shared" si="2"/>
        <v>141839.14837283423</v>
      </c>
      <c r="S26" s="67"/>
    </row>
    <row r="27" spans="1:19" s="447" customFormat="1" ht="17.25" thickTop="1" thickBot="1">
      <c r="A27" s="680" t="s">
        <v>115</v>
      </c>
      <c r="B27" s="779"/>
      <c r="C27" s="681">
        <f ca="1">C22+C16+C26</f>
        <v>81511.789502781423</v>
      </c>
      <c r="D27" s="681">
        <f t="shared" ref="D27:R27" ca="1" si="3">D22+D16+D26</f>
        <v>82579.5</v>
      </c>
      <c r="E27" s="681">
        <f t="shared" ca="1" si="3"/>
        <v>106972.05275816759</v>
      </c>
      <c r="F27" s="681">
        <f t="shared" si="3"/>
        <v>33791.003744950547</v>
      </c>
      <c r="G27" s="681">
        <f t="shared" ca="1" si="3"/>
        <v>62801.258061702771</v>
      </c>
      <c r="H27" s="681">
        <f t="shared" si="3"/>
        <v>54956.801797645712</v>
      </c>
      <c r="I27" s="681">
        <f t="shared" si="3"/>
        <v>12334.338103839502</v>
      </c>
      <c r="J27" s="681">
        <f t="shared" si="3"/>
        <v>0</v>
      </c>
      <c r="K27" s="681">
        <f t="shared" si="3"/>
        <v>1579.3820759457153</v>
      </c>
      <c r="L27" s="681">
        <f t="shared" si="3"/>
        <v>0</v>
      </c>
      <c r="M27" s="681">
        <f t="shared" ca="1" si="3"/>
        <v>0</v>
      </c>
      <c r="N27" s="681">
        <f t="shared" si="3"/>
        <v>3571.8218943351199</v>
      </c>
      <c r="O27" s="681">
        <f t="shared" ca="1" si="3"/>
        <v>40580.044593635175</v>
      </c>
      <c r="P27" s="681">
        <f t="shared" si="3"/>
        <v>279.8366666666667</v>
      </c>
      <c r="Q27" s="681">
        <f t="shared" si="3"/>
        <v>1220.2666666666667</v>
      </c>
      <c r="R27" s="681">
        <f t="shared" ca="1" si="3"/>
        <v>482178.09586633684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3122.442054741568</v>
      </c>
      <c r="D40" s="979">
        <f ca="1">tertiair!C20</f>
        <v>0</v>
      </c>
      <c r="E40" s="979">
        <f ca="1">tertiair!D20</f>
        <v>2585.8125133099675</v>
      </c>
      <c r="F40" s="979">
        <f>tertiair!E20</f>
        <v>31.823664819281916</v>
      </c>
      <c r="G40" s="979">
        <f ca="1">tertiair!F20</f>
        <v>663.05274220973263</v>
      </c>
      <c r="H40" s="979">
        <f>tertiair!G20</f>
        <v>0</v>
      </c>
      <c r="I40" s="979">
        <f>tertiair!H20</f>
        <v>0</v>
      </c>
      <c r="J40" s="979">
        <f>tertiair!I20</f>
        <v>0</v>
      </c>
      <c r="K40" s="979">
        <f>tertiair!J20</f>
        <v>2.1354485596237708E-2</v>
      </c>
      <c r="L40" s="979">
        <f>tertiair!K20</f>
        <v>0</v>
      </c>
      <c r="M40" s="979">
        <f ca="1">tertiair!L20</f>
        <v>0</v>
      </c>
      <c r="N40" s="979">
        <f>tertiair!M20</f>
        <v>0</v>
      </c>
      <c r="O40" s="979">
        <f ca="1">tertiair!N20</f>
        <v>0</v>
      </c>
      <c r="P40" s="979">
        <f>tertiair!O20</f>
        <v>0</v>
      </c>
      <c r="Q40" s="748">
        <f>tertiair!P20</f>
        <v>0</v>
      </c>
      <c r="R40" s="824">
        <f t="shared" ca="1" si="4"/>
        <v>6403.1523295661464</v>
      </c>
    </row>
    <row r="41" spans="1:18">
      <c r="A41" s="796" t="s">
        <v>224</v>
      </c>
      <c r="B41" s="803"/>
      <c r="C41" s="979">
        <f ca="1">huishoudens!B12</f>
        <v>5660.9929443004676</v>
      </c>
      <c r="D41" s="979">
        <f ca="1">huishoudens!C12</f>
        <v>0</v>
      </c>
      <c r="E41" s="979">
        <f>huishoudens!D12</f>
        <v>13310.938832743064</v>
      </c>
      <c r="F41" s="979">
        <f>huishoudens!E12</f>
        <v>7288.022660345192</v>
      </c>
      <c r="G41" s="979">
        <f>huishoudens!F12</f>
        <v>3051.5262664589723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29311.480703847694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5909.5315474271865</v>
      </c>
      <c r="D43" s="979">
        <f ca="1">industrie!C22</f>
        <v>0</v>
      </c>
      <c r="E43" s="979">
        <f>industrie!D22</f>
        <v>5327.6406456060286</v>
      </c>
      <c r="F43" s="979">
        <f>industrie!E22</f>
        <v>252.01658907623317</v>
      </c>
      <c r="G43" s="979">
        <f>industrie!F22</f>
        <v>1272.1981828219205</v>
      </c>
      <c r="H43" s="979">
        <f>industrie!G22</f>
        <v>0</v>
      </c>
      <c r="I43" s="979">
        <f>industrie!H22</f>
        <v>0</v>
      </c>
      <c r="J43" s="979">
        <f>industrie!I22</f>
        <v>0</v>
      </c>
      <c r="K43" s="979">
        <f>industrie!J22</f>
        <v>15.866606141811634</v>
      </c>
      <c r="L43" s="979">
        <f>industrie!K22</f>
        <v>0</v>
      </c>
      <c r="M43" s="979">
        <f>industrie!L22</f>
        <v>0</v>
      </c>
      <c r="N43" s="979">
        <f>industrie!M22</f>
        <v>0</v>
      </c>
      <c r="O43" s="979">
        <f>industrie!N22</f>
        <v>0</v>
      </c>
      <c r="P43" s="979">
        <f>industrie!O22</f>
        <v>0</v>
      </c>
      <c r="Q43" s="748">
        <f>industrie!P22</f>
        <v>0</v>
      </c>
      <c r="R43" s="823">
        <f t="shared" ca="1" si="4"/>
        <v>12777.253571073179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14692.966546469223</v>
      </c>
      <c r="D46" s="706">
        <f t="shared" ref="D46:Q46" ca="1" si="5">SUM(D39:D45)</f>
        <v>0</v>
      </c>
      <c r="E46" s="706">
        <f t="shared" ca="1" si="5"/>
        <v>21224.39199165906</v>
      </c>
      <c r="F46" s="706">
        <f t="shared" si="5"/>
        <v>7571.8629142407062</v>
      </c>
      <c r="G46" s="706">
        <f t="shared" ca="1" si="5"/>
        <v>4986.7771914906252</v>
      </c>
      <c r="H46" s="706">
        <f t="shared" si="5"/>
        <v>0</v>
      </c>
      <c r="I46" s="706">
        <f t="shared" si="5"/>
        <v>0</v>
      </c>
      <c r="J46" s="706">
        <f t="shared" si="5"/>
        <v>0</v>
      </c>
      <c r="K46" s="706">
        <f t="shared" si="5"/>
        <v>15.887960627407871</v>
      </c>
      <c r="L46" s="706">
        <f t="shared" si="5"/>
        <v>0</v>
      </c>
      <c r="M46" s="706">
        <f t="shared" ca="1" si="5"/>
        <v>0</v>
      </c>
      <c r="N46" s="706">
        <f t="shared" si="5"/>
        <v>0</v>
      </c>
      <c r="O46" s="706">
        <f t="shared" ca="1" si="5"/>
        <v>0</v>
      </c>
      <c r="P46" s="706">
        <f t="shared" si="5"/>
        <v>0</v>
      </c>
      <c r="Q46" s="706">
        <f t="shared" si="5"/>
        <v>0</v>
      </c>
      <c r="R46" s="706">
        <f ca="1">SUM(R39:R45)</f>
        <v>48491.886604487023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356.40668724933664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356.40668724933664</v>
      </c>
    </row>
    <row r="50" spans="1:18">
      <c r="A50" s="799" t="s">
        <v>306</v>
      </c>
      <c r="B50" s="809"/>
      <c r="C50" s="677">
        <f ca="1">transport!B18</f>
        <v>5.3618098743968536</v>
      </c>
      <c r="D50" s="677">
        <f>transport!C18</f>
        <v>0</v>
      </c>
      <c r="E50" s="677">
        <f>transport!D18</f>
        <v>14.770579614733304</v>
      </c>
      <c r="F50" s="677">
        <f>transport!E18</f>
        <v>28.025164233611811</v>
      </c>
      <c r="G50" s="677">
        <f>transport!F18</f>
        <v>0</v>
      </c>
      <c r="H50" s="677">
        <f>transport!G18</f>
        <v>14317.059392722071</v>
      </c>
      <c r="I50" s="677">
        <f>transport!H18</f>
        <v>3071.2501878560361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17436.467134300849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5.3618098743968536</v>
      </c>
      <c r="D52" s="706">
        <f t="shared" ref="D52:Q52" ca="1" si="6">SUM(D48:D51)</f>
        <v>0</v>
      </c>
      <c r="E52" s="706">
        <f t="shared" si="6"/>
        <v>14.770579614733304</v>
      </c>
      <c r="F52" s="706">
        <f t="shared" si="6"/>
        <v>28.025164233611811</v>
      </c>
      <c r="G52" s="706">
        <f t="shared" si="6"/>
        <v>0</v>
      </c>
      <c r="H52" s="706">
        <f t="shared" si="6"/>
        <v>14673.466079971407</v>
      </c>
      <c r="I52" s="706">
        <f t="shared" si="6"/>
        <v>3071.2501878560361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17792.873821550183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2222.4087325303744</v>
      </c>
      <c r="D54" s="677">
        <f ca="1">+landbouw!C12</f>
        <v>19609.956302521012</v>
      </c>
      <c r="E54" s="677">
        <f>+landbouw!D12</f>
        <v>0</v>
      </c>
      <c r="F54" s="677">
        <f>+landbouw!E12</f>
        <v>70.669771629456534</v>
      </c>
      <c r="G54" s="677">
        <f>+landbouw!F12</f>
        <v>11781.158710984015</v>
      </c>
      <c r="H54" s="677">
        <f>+landbouw!G12</f>
        <v>0</v>
      </c>
      <c r="I54" s="677">
        <f>+landbouw!H12</f>
        <v>0</v>
      </c>
      <c r="J54" s="677">
        <f>+landbouw!I12</f>
        <v>0</v>
      </c>
      <c r="K54" s="677">
        <f>+landbouw!J12</f>
        <v>543.21329425737531</v>
      </c>
      <c r="L54" s="677">
        <f>+landbouw!K12</f>
        <v>0</v>
      </c>
      <c r="M54" s="677">
        <f>+landbouw!L12</f>
        <v>0</v>
      </c>
      <c r="N54" s="677">
        <f>+landbouw!M12</f>
        <v>0</v>
      </c>
      <c r="O54" s="677">
        <f>+landbouw!N12</f>
        <v>0</v>
      </c>
      <c r="P54" s="677">
        <f>+landbouw!O12</f>
        <v>0</v>
      </c>
      <c r="Q54" s="678">
        <f>+landbouw!P12</f>
        <v>0</v>
      </c>
      <c r="R54" s="705">
        <f ca="1">SUM(C54:Q54)</f>
        <v>34227.406811922228</v>
      </c>
    </row>
    <row r="55" spans="1:18" ht="15" thickBot="1">
      <c r="A55" s="799" t="s">
        <v>823</v>
      </c>
      <c r="B55" s="809"/>
      <c r="C55" s="677">
        <f ca="1">C25*'EF ele_warmte'!B12</f>
        <v>182.61552915158634</v>
      </c>
      <c r="D55" s="677"/>
      <c r="E55" s="677">
        <f>E25*EF_CO2_aardgas</f>
        <v>369.19208587605971</v>
      </c>
      <c r="F55" s="677"/>
      <c r="G55" s="677"/>
      <c r="H55" s="677"/>
      <c r="I55" s="677"/>
      <c r="J55" s="677"/>
      <c r="K55" s="677"/>
      <c r="L55" s="677"/>
      <c r="M55" s="677"/>
      <c r="N55" s="677"/>
      <c r="O55" s="677"/>
      <c r="P55" s="677"/>
      <c r="Q55" s="678"/>
      <c r="R55" s="705">
        <f ca="1">SUM(C55:Q55)</f>
        <v>551.80761502764608</v>
      </c>
    </row>
    <row r="56" spans="1:18" ht="15.75" thickBot="1">
      <c r="A56" s="797" t="s">
        <v>824</v>
      </c>
      <c r="B56" s="810"/>
      <c r="C56" s="706">
        <f ca="1">SUM(C54:C55)</f>
        <v>2405.024261681961</v>
      </c>
      <c r="D56" s="706">
        <f t="shared" ref="D56:Q56" ca="1" si="7">SUM(D54:D55)</f>
        <v>19609.956302521012</v>
      </c>
      <c r="E56" s="706">
        <f t="shared" si="7"/>
        <v>369.19208587605971</v>
      </c>
      <c r="F56" s="706">
        <f t="shared" si="7"/>
        <v>70.669771629456534</v>
      </c>
      <c r="G56" s="706">
        <f t="shared" si="7"/>
        <v>11781.158710984015</v>
      </c>
      <c r="H56" s="706">
        <f t="shared" si="7"/>
        <v>0</v>
      </c>
      <c r="I56" s="706">
        <f t="shared" si="7"/>
        <v>0</v>
      </c>
      <c r="J56" s="706">
        <f t="shared" si="7"/>
        <v>0</v>
      </c>
      <c r="K56" s="706">
        <f t="shared" si="7"/>
        <v>543.21329425737531</v>
      </c>
      <c r="L56" s="706">
        <f t="shared" si="7"/>
        <v>0</v>
      </c>
      <c r="M56" s="706">
        <f t="shared" si="7"/>
        <v>0</v>
      </c>
      <c r="N56" s="706">
        <f t="shared" si="7"/>
        <v>0</v>
      </c>
      <c r="O56" s="706">
        <f t="shared" si="7"/>
        <v>0</v>
      </c>
      <c r="P56" s="706">
        <f t="shared" si="7"/>
        <v>0</v>
      </c>
      <c r="Q56" s="707">
        <f t="shared" si="7"/>
        <v>0</v>
      </c>
      <c r="R56" s="708">
        <f ca="1">SUM(R54:R55)</f>
        <v>34779.214426949875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17103.352618025579</v>
      </c>
      <c r="D61" s="714">
        <f t="shared" ref="D61:Q61" ca="1" si="8">D46+D52+D56</f>
        <v>19609.956302521012</v>
      </c>
      <c r="E61" s="714">
        <f t="shared" ca="1" si="8"/>
        <v>21608.354657149855</v>
      </c>
      <c r="F61" s="714">
        <f t="shared" si="8"/>
        <v>7670.5578501037744</v>
      </c>
      <c r="G61" s="714">
        <f t="shared" ca="1" si="8"/>
        <v>16767.935902474641</v>
      </c>
      <c r="H61" s="714">
        <f t="shared" si="8"/>
        <v>14673.466079971407</v>
      </c>
      <c r="I61" s="714">
        <f t="shared" si="8"/>
        <v>3071.2501878560361</v>
      </c>
      <c r="J61" s="714">
        <f t="shared" si="8"/>
        <v>0</v>
      </c>
      <c r="K61" s="714">
        <f t="shared" si="8"/>
        <v>559.1012548847832</v>
      </c>
      <c r="L61" s="714">
        <f t="shared" si="8"/>
        <v>0</v>
      </c>
      <c r="M61" s="714">
        <f t="shared" ca="1" si="8"/>
        <v>0</v>
      </c>
      <c r="N61" s="714">
        <f t="shared" si="8"/>
        <v>0</v>
      </c>
      <c r="O61" s="714">
        <f t="shared" ca="1" si="8"/>
        <v>0</v>
      </c>
      <c r="P61" s="714">
        <f t="shared" si="8"/>
        <v>0</v>
      </c>
      <c r="Q61" s="714">
        <f t="shared" si="8"/>
        <v>0</v>
      </c>
      <c r="R61" s="714">
        <f ca="1">R46+R52+R56</f>
        <v>101063.97485298707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0.20982673454178016</v>
      </c>
      <c r="D63" s="755">
        <f t="shared" ca="1" si="9"/>
        <v>0.23746760760868027</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8428.3874382525919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43.65</v>
      </c>
      <c r="C76" s="724">
        <f>'lokale energieproductie'!B8*IFERROR(SUM(D76:H76)/SUM(D76:O76),0)</f>
        <v>57761.999999999993</v>
      </c>
      <c r="D76" s="1000">
        <f>'lokale energieproductie'!C8</f>
        <v>67955.294117647063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13726.969411764707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8472.0374382525915</v>
      </c>
      <c r="C78" s="729">
        <f>SUM(C72:C77)</f>
        <v>57761.999999999993</v>
      </c>
      <c r="D78" s="730">
        <f t="shared" ref="D78:H78" si="10">SUM(D76:D77)</f>
        <v>67955.294117647063</v>
      </c>
      <c r="E78" s="730">
        <f t="shared" si="10"/>
        <v>0</v>
      </c>
      <c r="F78" s="730">
        <f t="shared" si="10"/>
        <v>0</v>
      </c>
      <c r="G78" s="730">
        <f t="shared" si="10"/>
        <v>0</v>
      </c>
      <c r="H78" s="730">
        <f t="shared" si="10"/>
        <v>0</v>
      </c>
      <c r="I78" s="730">
        <f>SUM(I76:I77)</f>
        <v>0</v>
      </c>
      <c r="J78" s="730">
        <f>SUM(J76:J77)</f>
        <v>51.352941176470587</v>
      </c>
      <c r="K78" s="730">
        <f t="shared" ref="K78:L78" si="11">SUM(K76:K77)</f>
        <v>0</v>
      </c>
      <c r="L78" s="730">
        <f t="shared" si="11"/>
        <v>0</v>
      </c>
      <c r="M78" s="730">
        <f>SUM(M76:M77)</f>
        <v>0</v>
      </c>
      <c r="N78" s="730">
        <f>SUM(N76:N77)</f>
        <v>0</v>
      </c>
      <c r="O78" s="834">
        <f>SUM(O76:O77)</f>
        <v>0</v>
      </c>
      <c r="P78" s="731">
        <v>0</v>
      </c>
      <c r="Q78" s="731">
        <f>SUM(Q76:Q77)</f>
        <v>13726.969411764707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v>
      </c>
      <c r="C87" s="740">
        <f>'lokale energieproductie'!B17*IFERROR(SUM(D87:H87)/SUM(D87:O87),0)</f>
        <v>82517.142857142855</v>
      </c>
      <c r="D87" s="751">
        <f>'lokale energieproductie'!C17</f>
        <v>97078.991596638662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19609.956302521012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v>
      </c>
      <c r="C90" s="729">
        <f>SUM(C87:C89)</f>
        <v>82517.142857142855</v>
      </c>
      <c r="D90" s="729">
        <f t="shared" ref="D90:H90" si="12">SUM(D87:D89)</f>
        <v>97078.991596638662</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19609.956302521012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26979.369224150345</v>
      </c>
      <c r="C4" s="451">
        <f>huishoudens!C8</f>
        <v>0</v>
      </c>
      <c r="D4" s="451">
        <f>huishoudens!D8</f>
        <v>65895.736795757737</v>
      </c>
      <c r="E4" s="451">
        <f>huishoudens!E8</f>
        <v>32105.826697555913</v>
      </c>
      <c r="F4" s="451">
        <f>huishoudens!F8</f>
        <v>11428.937327561693</v>
      </c>
      <c r="G4" s="451">
        <f>huishoudens!G8</f>
        <v>0</v>
      </c>
      <c r="H4" s="451">
        <f>huishoudens!H8</f>
        <v>0</v>
      </c>
      <c r="I4" s="451">
        <f>huishoudens!I8</f>
        <v>0</v>
      </c>
      <c r="J4" s="451">
        <f>huishoudens!J8</f>
        <v>0</v>
      </c>
      <c r="K4" s="451">
        <f>huishoudens!K8</f>
        <v>0</v>
      </c>
      <c r="L4" s="451">
        <f>huishoudens!L8</f>
        <v>0</v>
      </c>
      <c r="M4" s="451">
        <f>huishoudens!M8</f>
        <v>0</v>
      </c>
      <c r="N4" s="451">
        <f>huishoudens!N8</f>
        <v>36093.88059607317</v>
      </c>
      <c r="O4" s="451">
        <f>huishoudens!O8</f>
        <v>275.1466666666667</v>
      </c>
      <c r="P4" s="452">
        <f>huishoudens!P8</f>
        <v>1220.2666666666667</v>
      </c>
      <c r="Q4" s="453">
        <f>SUM(B4:P4)</f>
        <v>173999.16397443219</v>
      </c>
    </row>
    <row r="5" spans="1:17">
      <c r="A5" s="450" t="s">
        <v>155</v>
      </c>
      <c r="B5" s="451">
        <f ca="1">tertiair!B16</f>
        <v>13858.431650609871</v>
      </c>
      <c r="C5" s="451">
        <f ca="1">tertiair!C16</f>
        <v>0</v>
      </c>
      <c r="D5" s="451">
        <f ca="1">tertiair!D16</f>
        <v>12801.052046088947</v>
      </c>
      <c r="E5" s="451">
        <f>tertiair!E16</f>
        <v>140.19235603207892</v>
      </c>
      <c r="F5" s="451">
        <f ca="1">tertiair!F16</f>
        <v>2483.3436037817701</v>
      </c>
      <c r="G5" s="451">
        <f>tertiair!G16</f>
        <v>0</v>
      </c>
      <c r="H5" s="451">
        <f>tertiair!H16</f>
        <v>0</v>
      </c>
      <c r="I5" s="451">
        <f>tertiair!I16</f>
        <v>0</v>
      </c>
      <c r="J5" s="451">
        <f>tertiair!J16</f>
        <v>6.032340563908957E-2</v>
      </c>
      <c r="K5" s="451">
        <f>tertiair!K16</f>
        <v>0</v>
      </c>
      <c r="L5" s="451">
        <f ca="1">tertiair!L16</f>
        <v>0</v>
      </c>
      <c r="M5" s="451">
        <f>tertiair!M16</f>
        <v>0</v>
      </c>
      <c r="N5" s="451">
        <f ca="1">tertiair!N16</f>
        <v>2413.2508462623255</v>
      </c>
      <c r="O5" s="451">
        <f>tertiair!O16</f>
        <v>4.6900000000000004</v>
      </c>
      <c r="P5" s="452">
        <f>tertiair!P16</f>
        <v>0</v>
      </c>
      <c r="Q5" s="450">
        <f t="shared" ref="Q5:Q14" ca="1" si="0">SUM(B5:P5)</f>
        <v>31701.020826180633</v>
      </c>
    </row>
    <row r="6" spans="1:17">
      <c r="A6" s="450" t="s">
        <v>193</v>
      </c>
      <c r="B6" s="451">
        <f>'openbare verlichting'!B8</f>
        <v>1022.6180000000001</v>
      </c>
      <c r="C6" s="451"/>
      <c r="D6" s="451"/>
      <c r="E6" s="451"/>
      <c r="F6" s="451"/>
      <c r="G6" s="451"/>
      <c r="H6" s="451"/>
      <c r="I6" s="451"/>
      <c r="J6" s="451"/>
      <c r="K6" s="451"/>
      <c r="L6" s="451"/>
      <c r="M6" s="451"/>
      <c r="N6" s="451"/>
      <c r="O6" s="451"/>
      <c r="P6" s="452"/>
      <c r="Q6" s="450">
        <f t="shared" si="0"/>
        <v>1022.6180000000001</v>
      </c>
    </row>
    <row r="7" spans="1:17">
      <c r="A7" s="450" t="s">
        <v>111</v>
      </c>
      <c r="B7" s="451">
        <f>landbouw!B8</f>
        <v>10591.637607017394</v>
      </c>
      <c r="C7" s="451">
        <f>landbouw!C8</f>
        <v>82579.5</v>
      </c>
      <c r="D7" s="451">
        <f>landbouw!D8</f>
        <v>0</v>
      </c>
      <c r="E7" s="451">
        <f>landbouw!E8</f>
        <v>311.32057986544726</v>
      </c>
      <c r="F7" s="451">
        <f>landbouw!F8</f>
        <v>44124.18992877908</v>
      </c>
      <c r="G7" s="451">
        <f>landbouw!G8</f>
        <v>0</v>
      </c>
      <c r="H7" s="451">
        <f>landbouw!H8</f>
        <v>0</v>
      </c>
      <c r="I7" s="451">
        <f>landbouw!I8</f>
        <v>0</v>
      </c>
      <c r="J7" s="451">
        <f>landbouw!J8</f>
        <v>1534.5008312355235</v>
      </c>
      <c r="K7" s="451">
        <f>landbouw!K8</f>
        <v>0</v>
      </c>
      <c r="L7" s="451">
        <f>landbouw!L8</f>
        <v>0</v>
      </c>
      <c r="M7" s="451">
        <f>landbouw!M8</f>
        <v>0</v>
      </c>
      <c r="N7" s="451">
        <f>landbouw!N8</f>
        <v>0</v>
      </c>
      <c r="O7" s="451">
        <f>landbouw!O8</f>
        <v>0</v>
      </c>
      <c r="P7" s="452">
        <f>landbouw!P8</f>
        <v>0</v>
      </c>
      <c r="Q7" s="450">
        <f t="shared" si="0"/>
        <v>139141.14894689745</v>
      </c>
    </row>
    <row r="8" spans="1:17">
      <c r="A8" s="450" t="s">
        <v>634</v>
      </c>
      <c r="B8" s="451">
        <f>industrie!B18</f>
        <v>28163.863677011548</v>
      </c>
      <c r="C8" s="451">
        <f>industrie!C18</f>
        <v>0</v>
      </c>
      <c r="D8" s="451">
        <f>industrie!D18</f>
        <v>26374.458641614001</v>
      </c>
      <c r="E8" s="451">
        <f>industrie!E18</f>
        <v>1110.2052382212914</v>
      </c>
      <c r="F8" s="451">
        <f>industrie!F18</f>
        <v>4764.7872015802259</v>
      </c>
      <c r="G8" s="451">
        <f>industrie!G18</f>
        <v>0</v>
      </c>
      <c r="H8" s="451">
        <f>industrie!H18</f>
        <v>0</v>
      </c>
      <c r="I8" s="451">
        <f>industrie!I18</f>
        <v>0</v>
      </c>
      <c r="J8" s="451">
        <f>industrie!J18</f>
        <v>44.820921304552641</v>
      </c>
      <c r="K8" s="451">
        <f>industrie!K18</f>
        <v>0</v>
      </c>
      <c r="L8" s="451">
        <f>industrie!L18</f>
        <v>0</v>
      </c>
      <c r="M8" s="451">
        <f>industrie!M18</f>
        <v>0</v>
      </c>
      <c r="N8" s="451">
        <f>industrie!N18</f>
        <v>2072.9131512996837</v>
      </c>
      <c r="O8" s="451">
        <f>industrie!O18</f>
        <v>0</v>
      </c>
      <c r="P8" s="452">
        <f>industrie!P18</f>
        <v>0</v>
      </c>
      <c r="Q8" s="450">
        <f t="shared" si="0"/>
        <v>62531.048831031309</v>
      </c>
    </row>
    <row r="9" spans="1:17" s="456" customFormat="1">
      <c r="A9" s="454" t="s">
        <v>560</v>
      </c>
      <c r="B9" s="455">
        <f>transport!B14</f>
        <v>25.553511501315498</v>
      </c>
      <c r="C9" s="455">
        <f>transport!C14</f>
        <v>0</v>
      </c>
      <c r="D9" s="455">
        <f>transport!D14</f>
        <v>73.121681261055954</v>
      </c>
      <c r="E9" s="455">
        <f>transport!E14</f>
        <v>123.45887327582295</v>
      </c>
      <c r="F9" s="455">
        <f>transport!F14</f>
        <v>0</v>
      </c>
      <c r="G9" s="455">
        <f>transport!G14</f>
        <v>53621.945291093893</v>
      </c>
      <c r="H9" s="455">
        <f>transport!H14</f>
        <v>12334.338103839502</v>
      </c>
      <c r="I9" s="455">
        <f>transport!I14</f>
        <v>0</v>
      </c>
      <c r="J9" s="455">
        <f>transport!J14</f>
        <v>0</v>
      </c>
      <c r="K9" s="455">
        <f>transport!K14</f>
        <v>0</v>
      </c>
      <c r="L9" s="455">
        <f>transport!L14</f>
        <v>0</v>
      </c>
      <c r="M9" s="455">
        <f>transport!M14</f>
        <v>3496.0136645104867</v>
      </c>
      <c r="N9" s="455">
        <f>transport!N14</f>
        <v>0</v>
      </c>
      <c r="O9" s="455">
        <f>transport!O14</f>
        <v>0</v>
      </c>
      <c r="P9" s="455">
        <f>transport!P14</f>
        <v>0</v>
      </c>
      <c r="Q9" s="454">
        <f>SUM(B9:P9)</f>
        <v>69674.431125482079</v>
      </c>
    </row>
    <row r="10" spans="1:17">
      <c r="A10" s="450" t="s">
        <v>550</v>
      </c>
      <c r="B10" s="451">
        <f>transport!B54</f>
        <v>0</v>
      </c>
      <c r="C10" s="451">
        <f>transport!C54</f>
        <v>0</v>
      </c>
      <c r="D10" s="451">
        <f>transport!D54</f>
        <v>0</v>
      </c>
      <c r="E10" s="451">
        <f>transport!E54</f>
        <v>0</v>
      </c>
      <c r="F10" s="451">
        <f>transport!F54</f>
        <v>0</v>
      </c>
      <c r="G10" s="451">
        <f>transport!G54</f>
        <v>1334.8565065518226</v>
      </c>
      <c r="H10" s="451">
        <f>transport!H54</f>
        <v>0</v>
      </c>
      <c r="I10" s="451">
        <f>transport!I54</f>
        <v>0</v>
      </c>
      <c r="J10" s="451">
        <f>transport!J54</f>
        <v>0</v>
      </c>
      <c r="K10" s="451">
        <f>transport!K54</f>
        <v>0</v>
      </c>
      <c r="L10" s="451">
        <f>transport!L54</f>
        <v>0</v>
      </c>
      <c r="M10" s="451">
        <f>transport!M54</f>
        <v>75.808229824632946</v>
      </c>
      <c r="N10" s="451">
        <f>transport!N54</f>
        <v>0</v>
      </c>
      <c r="O10" s="451">
        <f>transport!O54</f>
        <v>0</v>
      </c>
      <c r="P10" s="452">
        <f>transport!P54</f>
        <v>0</v>
      </c>
      <c r="Q10" s="450">
        <f t="shared" si="0"/>
        <v>1410.6647363764555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870.31583249094695</v>
      </c>
      <c r="C14" s="458"/>
      <c r="D14" s="458">
        <f>'SEAP template'!E25</f>
        <v>1827.68359344584</v>
      </c>
      <c r="E14" s="458"/>
      <c r="F14" s="458"/>
      <c r="G14" s="458"/>
      <c r="H14" s="458"/>
      <c r="I14" s="458"/>
      <c r="J14" s="458"/>
      <c r="K14" s="458"/>
      <c r="L14" s="458"/>
      <c r="M14" s="458"/>
      <c r="N14" s="458"/>
      <c r="O14" s="458"/>
      <c r="P14" s="459"/>
      <c r="Q14" s="450">
        <f t="shared" si="0"/>
        <v>2697.9994259367868</v>
      </c>
    </row>
    <row r="15" spans="1:17" s="460" customFormat="1">
      <c r="A15" s="1005" t="s">
        <v>554</v>
      </c>
      <c r="B15" s="953">
        <f ca="1">SUM(B4:B14)</f>
        <v>81511.789502781423</v>
      </c>
      <c r="C15" s="953">
        <f t="shared" ref="C15:Q15" ca="1" si="1">SUM(C4:C14)</f>
        <v>82579.5</v>
      </c>
      <c r="D15" s="953">
        <f t="shared" ca="1" si="1"/>
        <v>106972.05275816759</v>
      </c>
      <c r="E15" s="953">
        <f t="shared" si="1"/>
        <v>33791.003744950554</v>
      </c>
      <c r="F15" s="953">
        <f t="shared" ca="1" si="1"/>
        <v>62801.258061702771</v>
      </c>
      <c r="G15" s="953">
        <f t="shared" si="1"/>
        <v>54956.801797645712</v>
      </c>
      <c r="H15" s="953">
        <f t="shared" si="1"/>
        <v>12334.338103839502</v>
      </c>
      <c r="I15" s="953">
        <f t="shared" si="1"/>
        <v>0</v>
      </c>
      <c r="J15" s="953">
        <f t="shared" si="1"/>
        <v>1579.3820759457153</v>
      </c>
      <c r="K15" s="953">
        <f t="shared" si="1"/>
        <v>0</v>
      </c>
      <c r="L15" s="953">
        <f t="shared" ca="1" si="1"/>
        <v>0</v>
      </c>
      <c r="M15" s="953">
        <f t="shared" si="1"/>
        <v>3571.8218943351199</v>
      </c>
      <c r="N15" s="953">
        <f t="shared" ca="1" si="1"/>
        <v>40580.044593635175</v>
      </c>
      <c r="O15" s="953">
        <f t="shared" si="1"/>
        <v>279.8366666666667</v>
      </c>
      <c r="P15" s="953">
        <f t="shared" si="1"/>
        <v>1220.2666666666667</v>
      </c>
      <c r="Q15" s="953">
        <f t="shared" ca="1" si="1"/>
        <v>482178.09586633684</v>
      </c>
    </row>
    <row r="17" spans="1:17">
      <c r="A17" s="461" t="s">
        <v>555</v>
      </c>
      <c r="B17" s="760">
        <f ca="1">huishoudens!B10</f>
        <v>0.20982673454178016</v>
      </c>
      <c r="C17" s="760">
        <f ca="1">huishoudens!C10</f>
        <v>0.23746760760868027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5660.9929443004676</v>
      </c>
      <c r="C22" s="451">
        <f t="shared" ref="C22:C32" ca="1" si="3">C4*$C$17</f>
        <v>0</v>
      </c>
      <c r="D22" s="451">
        <f t="shared" ref="D22:D32" si="4">D4*$D$17</f>
        <v>13310.938832743064</v>
      </c>
      <c r="E22" s="451">
        <f t="shared" ref="E22:E32" si="5">E4*$E$17</f>
        <v>7288.022660345192</v>
      </c>
      <c r="F22" s="451">
        <f t="shared" ref="F22:F32" si="6">F4*$F$17</f>
        <v>3051.5262664589723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29311.480703847694</v>
      </c>
    </row>
    <row r="23" spans="1:17">
      <c r="A23" s="450" t="s">
        <v>155</v>
      </c>
      <c r="B23" s="451">
        <f t="shared" ca="1" si="2"/>
        <v>2907.8694591179219</v>
      </c>
      <c r="C23" s="451">
        <f t="shared" ca="1" si="3"/>
        <v>0</v>
      </c>
      <c r="D23" s="451">
        <f t="shared" ca="1" si="4"/>
        <v>2585.8125133099675</v>
      </c>
      <c r="E23" s="451">
        <f t="shared" si="5"/>
        <v>31.823664819281916</v>
      </c>
      <c r="F23" s="451">
        <f t="shared" ca="1" si="6"/>
        <v>663.05274220973263</v>
      </c>
      <c r="G23" s="451">
        <f t="shared" si="7"/>
        <v>0</v>
      </c>
      <c r="H23" s="451">
        <f t="shared" si="8"/>
        <v>0</v>
      </c>
      <c r="I23" s="451">
        <f t="shared" si="9"/>
        <v>0</v>
      </c>
      <c r="J23" s="451">
        <f t="shared" si="10"/>
        <v>2.1354485596237708E-2</v>
      </c>
      <c r="K23" s="451">
        <f t="shared" si="11"/>
        <v>0</v>
      </c>
      <c r="L23" s="451">
        <f t="shared" ca="1" si="12"/>
        <v>0</v>
      </c>
      <c r="M23" s="451">
        <f t="shared" si="13"/>
        <v>0</v>
      </c>
      <c r="N23" s="451">
        <f t="shared" ca="1" si="14"/>
        <v>0</v>
      </c>
      <c r="O23" s="451">
        <f t="shared" si="15"/>
        <v>0</v>
      </c>
      <c r="P23" s="452">
        <f t="shared" si="16"/>
        <v>0</v>
      </c>
      <c r="Q23" s="450">
        <f t="shared" ref="Q23:Q32" ca="1" si="17">SUM(B23:P23)</f>
        <v>6188.5797339424998</v>
      </c>
    </row>
    <row r="24" spans="1:17">
      <c r="A24" s="450" t="s">
        <v>193</v>
      </c>
      <c r="B24" s="451">
        <f t="shared" ca="1" si="2"/>
        <v>214.57259562364615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214.57259562364615</v>
      </c>
    </row>
    <row r="25" spans="1:17">
      <c r="A25" s="450" t="s">
        <v>111</v>
      </c>
      <c r="B25" s="451">
        <f t="shared" ca="1" si="2"/>
        <v>2222.4087325303744</v>
      </c>
      <c r="C25" s="451">
        <f t="shared" ca="1" si="3"/>
        <v>19609.956302521012</v>
      </c>
      <c r="D25" s="451">
        <f t="shared" si="4"/>
        <v>0</v>
      </c>
      <c r="E25" s="451">
        <f t="shared" si="5"/>
        <v>70.669771629456534</v>
      </c>
      <c r="F25" s="451">
        <f t="shared" si="6"/>
        <v>11781.158710984015</v>
      </c>
      <c r="G25" s="451">
        <f t="shared" si="7"/>
        <v>0</v>
      </c>
      <c r="H25" s="451">
        <f t="shared" si="8"/>
        <v>0</v>
      </c>
      <c r="I25" s="451">
        <f t="shared" si="9"/>
        <v>0</v>
      </c>
      <c r="J25" s="451">
        <f t="shared" si="10"/>
        <v>543.21329425737531</v>
      </c>
      <c r="K25" s="451">
        <f t="shared" si="11"/>
        <v>0</v>
      </c>
      <c r="L25" s="451">
        <f t="shared" si="12"/>
        <v>0</v>
      </c>
      <c r="M25" s="451">
        <f t="shared" si="13"/>
        <v>0</v>
      </c>
      <c r="N25" s="451">
        <f t="shared" si="14"/>
        <v>0</v>
      </c>
      <c r="O25" s="451">
        <f t="shared" si="15"/>
        <v>0</v>
      </c>
      <c r="P25" s="452">
        <f t="shared" si="16"/>
        <v>0</v>
      </c>
      <c r="Q25" s="450">
        <f t="shared" ca="1" si="17"/>
        <v>34227.406811922228</v>
      </c>
    </row>
    <row r="26" spans="1:17">
      <c r="A26" s="450" t="s">
        <v>634</v>
      </c>
      <c r="B26" s="451">
        <f t="shared" ca="1" si="2"/>
        <v>5909.5315474271865</v>
      </c>
      <c r="C26" s="451">
        <f t="shared" ca="1" si="3"/>
        <v>0</v>
      </c>
      <c r="D26" s="451">
        <f t="shared" si="4"/>
        <v>5327.6406456060286</v>
      </c>
      <c r="E26" s="451">
        <f t="shared" si="5"/>
        <v>252.01658907623317</v>
      </c>
      <c r="F26" s="451">
        <f t="shared" si="6"/>
        <v>1272.1981828219205</v>
      </c>
      <c r="G26" s="451">
        <f t="shared" si="7"/>
        <v>0</v>
      </c>
      <c r="H26" s="451">
        <f t="shared" si="8"/>
        <v>0</v>
      </c>
      <c r="I26" s="451">
        <f t="shared" si="9"/>
        <v>0</v>
      </c>
      <c r="J26" s="451">
        <f t="shared" si="10"/>
        <v>15.866606141811634</v>
      </c>
      <c r="K26" s="451">
        <f t="shared" si="11"/>
        <v>0</v>
      </c>
      <c r="L26" s="451">
        <f t="shared" si="12"/>
        <v>0</v>
      </c>
      <c r="M26" s="451">
        <f t="shared" si="13"/>
        <v>0</v>
      </c>
      <c r="N26" s="451">
        <f t="shared" si="14"/>
        <v>0</v>
      </c>
      <c r="O26" s="451">
        <f t="shared" si="15"/>
        <v>0</v>
      </c>
      <c r="P26" s="452">
        <f t="shared" si="16"/>
        <v>0</v>
      </c>
      <c r="Q26" s="450">
        <f t="shared" ca="1" si="17"/>
        <v>12777.253571073179</v>
      </c>
    </row>
    <row r="27" spans="1:17" s="456" customFormat="1">
      <c r="A27" s="454" t="s">
        <v>560</v>
      </c>
      <c r="B27" s="754">
        <f t="shared" ca="1" si="2"/>
        <v>5.3618098743968536</v>
      </c>
      <c r="C27" s="455">
        <f t="shared" ca="1" si="3"/>
        <v>0</v>
      </c>
      <c r="D27" s="455">
        <f t="shared" si="4"/>
        <v>14.770579614733304</v>
      </c>
      <c r="E27" s="455">
        <f t="shared" si="5"/>
        <v>28.025164233611811</v>
      </c>
      <c r="F27" s="455">
        <f t="shared" si="6"/>
        <v>0</v>
      </c>
      <c r="G27" s="455">
        <f t="shared" si="7"/>
        <v>14317.059392722071</v>
      </c>
      <c r="H27" s="455">
        <f t="shared" si="8"/>
        <v>3071.2501878560361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17436.467134300849</v>
      </c>
    </row>
    <row r="28" spans="1:17">
      <c r="A28" s="450" t="s">
        <v>550</v>
      </c>
      <c r="B28" s="451">
        <f t="shared" ca="1" si="2"/>
        <v>0</v>
      </c>
      <c r="C28" s="451">
        <f t="shared" ca="1" si="3"/>
        <v>0</v>
      </c>
      <c r="D28" s="451">
        <f t="shared" si="4"/>
        <v>0</v>
      </c>
      <c r="E28" s="451">
        <f t="shared" si="5"/>
        <v>0</v>
      </c>
      <c r="F28" s="451">
        <f t="shared" si="6"/>
        <v>0</v>
      </c>
      <c r="G28" s="451">
        <f t="shared" si="7"/>
        <v>356.40668724933664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356.40668724933664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182.61552915158634</v>
      </c>
      <c r="C32" s="451">
        <f t="shared" ca="1" si="3"/>
        <v>0</v>
      </c>
      <c r="D32" s="451">
        <f t="shared" si="4"/>
        <v>369.19208587605971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551.80761502764608</v>
      </c>
    </row>
    <row r="33" spans="1:17" s="460" customFormat="1">
      <c r="A33" s="1005" t="s">
        <v>554</v>
      </c>
      <c r="B33" s="953">
        <f ca="1">SUM(B22:B32)</f>
        <v>17103.352618025576</v>
      </c>
      <c r="C33" s="953">
        <f t="shared" ref="C33:Q33" ca="1" si="18">SUM(C22:C32)</f>
        <v>19609.956302521012</v>
      </c>
      <c r="D33" s="953">
        <f t="shared" ca="1" si="18"/>
        <v>21608.354657149855</v>
      </c>
      <c r="E33" s="953">
        <f t="shared" si="18"/>
        <v>7670.5578501037744</v>
      </c>
      <c r="F33" s="953">
        <f t="shared" ca="1" si="18"/>
        <v>16767.935902474641</v>
      </c>
      <c r="G33" s="953">
        <f t="shared" si="18"/>
        <v>14673.466079971407</v>
      </c>
      <c r="H33" s="953">
        <f t="shared" si="18"/>
        <v>3071.2501878560361</v>
      </c>
      <c r="I33" s="953">
        <f t="shared" si="18"/>
        <v>0</v>
      </c>
      <c r="J33" s="953">
        <f t="shared" si="18"/>
        <v>559.1012548847832</v>
      </c>
      <c r="K33" s="953">
        <f t="shared" si="18"/>
        <v>0</v>
      </c>
      <c r="L33" s="953">
        <f t="shared" ca="1" si="18"/>
        <v>0</v>
      </c>
      <c r="M33" s="953">
        <f t="shared" si="18"/>
        <v>0</v>
      </c>
      <c r="N33" s="953">
        <f t="shared" ca="1" si="18"/>
        <v>0</v>
      </c>
      <c r="O33" s="953">
        <f t="shared" si="18"/>
        <v>0</v>
      </c>
      <c r="P33" s="953">
        <f t="shared" si="18"/>
        <v>0</v>
      </c>
      <c r="Q33" s="953">
        <f t="shared" ca="1" si="18"/>
        <v>101063.97485298708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8428.3874382525919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43.65</v>
      </c>
      <c r="C8" s="1022">
        <f>'SEAP template'!C76</f>
        <v>57761.999999999993</v>
      </c>
      <c r="D8" s="1022">
        <f>'SEAP template'!D76</f>
        <v>67955.294117647063</v>
      </c>
      <c r="E8" s="1022">
        <f>'SEAP template'!E76</f>
        <v>0</v>
      </c>
      <c r="F8" s="1022">
        <f>'SEAP template'!F76</f>
        <v>0</v>
      </c>
      <c r="G8" s="1022">
        <f>'SEAP template'!G76</f>
        <v>0</v>
      </c>
      <c r="H8" s="1022">
        <f>'SEAP template'!H76</f>
        <v>0</v>
      </c>
      <c r="I8" s="1022">
        <f>'SEAP template'!I76</f>
        <v>0</v>
      </c>
      <c r="J8" s="1022">
        <f>'SEAP template'!J76</f>
        <v>51.352941176470587</v>
      </c>
      <c r="K8" s="1022">
        <f>'SEAP template'!K76</f>
        <v>0</v>
      </c>
      <c r="L8" s="1022">
        <f>'SEAP template'!L76</f>
        <v>0</v>
      </c>
      <c r="M8" s="1022">
        <f>'SEAP template'!M76</f>
        <v>0</v>
      </c>
      <c r="N8" s="1022">
        <f>'SEAP template'!N76</f>
        <v>0</v>
      </c>
      <c r="O8" s="1022">
        <f>'SEAP template'!O76</f>
        <v>0</v>
      </c>
      <c r="P8" s="1023">
        <f>'SEAP template'!Q76</f>
        <v>13726.969411764707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8472.0374382525915</v>
      </c>
      <c r="C10" s="1026">
        <f>SUM(C4:C9)</f>
        <v>57761.999999999993</v>
      </c>
      <c r="D10" s="1026">
        <f t="shared" ref="D10:H10" si="0">SUM(D8:D9)</f>
        <v>67955.294117647063</v>
      </c>
      <c r="E10" s="1026">
        <f t="shared" si="0"/>
        <v>0</v>
      </c>
      <c r="F10" s="1026">
        <f t="shared" si="0"/>
        <v>0</v>
      </c>
      <c r="G10" s="1026">
        <f t="shared" si="0"/>
        <v>0</v>
      </c>
      <c r="H10" s="1026">
        <f t="shared" si="0"/>
        <v>0</v>
      </c>
      <c r="I10" s="1026">
        <f>SUM(I8:I9)</f>
        <v>0</v>
      </c>
      <c r="J10" s="1026">
        <f>SUM(J8:J9)</f>
        <v>51.352941176470587</v>
      </c>
      <c r="K10" s="1026">
        <f t="shared" ref="K10:L10" si="1">SUM(K8:K9)</f>
        <v>0</v>
      </c>
      <c r="L10" s="1026">
        <f t="shared" si="1"/>
        <v>0</v>
      </c>
      <c r="M10" s="1026">
        <f>SUM(M8:M9)</f>
        <v>0</v>
      </c>
      <c r="N10" s="1026">
        <f>SUM(N8:N9)</f>
        <v>0</v>
      </c>
      <c r="O10" s="1026">
        <f>SUM(O8:O9)</f>
        <v>0</v>
      </c>
      <c r="P10" s="1026">
        <f>SUM(P8:P9)</f>
        <v>13726.969411764707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0.20982673454178016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v>
      </c>
      <c r="C17" s="1028">
        <f>'SEAP template'!C87</f>
        <v>82517.142857142855</v>
      </c>
      <c r="D17" s="1023">
        <f>'SEAP template'!D87</f>
        <v>97078.991596638662</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19609.956302521012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v>
      </c>
      <c r="C20" s="1026">
        <f>SUM(C17:C19)</f>
        <v>82517.142857142855</v>
      </c>
      <c r="D20" s="1026">
        <f t="shared" ref="D20:H20" si="2">SUM(D17:D19)</f>
        <v>97078.991596638662</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19609.956302521012</v>
      </c>
    </row>
    <row r="22" spans="1:16">
      <c r="A22" s="461" t="s">
        <v>848</v>
      </c>
      <c r="B22" s="760" t="s">
        <v>842</v>
      </c>
      <c r="C22" s="760">
        <f ca="1">'EF ele_warmte'!B22</f>
        <v>0.23746760760868027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0.20982673454178016</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0.20982673454178016</v>
      </c>
      <c r="C17" s="498">
        <f ca="1">'EF ele_warmte'!B22</f>
        <v>0.23746760760868027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0.20982673454178016</v>
      </c>
      <c r="C29" s="499">
        <f ca="1">'EF ele_warmte'!B22</f>
        <v>0.23746760760868027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5019.54</v>
      </c>
      <c r="C14" s="330"/>
      <c r="D14" s="330"/>
      <c r="E14" s="330"/>
      <c r="F14" s="330"/>
    </row>
    <row r="15" spans="1:6">
      <c r="A15" s="1293" t="s">
        <v>183</v>
      </c>
      <c r="B15" s="1294">
        <v>18951</v>
      </c>
      <c r="C15" s="330"/>
      <c r="D15" s="330"/>
      <c r="E15" s="330"/>
      <c r="F15" s="330"/>
    </row>
    <row r="16" spans="1:6">
      <c r="A16" s="1293" t="s">
        <v>6</v>
      </c>
      <c r="B16" s="1294">
        <v>4130</v>
      </c>
      <c r="C16" s="330"/>
      <c r="D16" s="330"/>
      <c r="E16" s="330"/>
      <c r="F16" s="330"/>
    </row>
    <row r="17" spans="1:6">
      <c r="A17" s="1293" t="s">
        <v>7</v>
      </c>
      <c r="B17" s="1294">
        <v>624</v>
      </c>
      <c r="C17" s="330"/>
      <c r="D17" s="330"/>
      <c r="E17" s="330"/>
      <c r="F17" s="330"/>
    </row>
    <row r="18" spans="1:6">
      <c r="A18" s="1293" t="s">
        <v>8</v>
      </c>
      <c r="B18" s="1294">
        <v>2653</v>
      </c>
      <c r="C18" s="330"/>
      <c r="D18" s="330"/>
      <c r="E18" s="330"/>
      <c r="F18" s="330"/>
    </row>
    <row r="19" spans="1:6">
      <c r="A19" s="1293" t="s">
        <v>9</v>
      </c>
      <c r="B19" s="1294">
        <v>2261</v>
      </c>
      <c r="C19" s="330"/>
      <c r="D19" s="330"/>
      <c r="E19" s="330"/>
      <c r="F19" s="330"/>
    </row>
    <row r="20" spans="1:6">
      <c r="A20" s="1293" t="s">
        <v>10</v>
      </c>
      <c r="B20" s="1294">
        <v>1971</v>
      </c>
      <c r="C20" s="330"/>
      <c r="D20" s="330"/>
      <c r="E20" s="330"/>
      <c r="F20" s="330"/>
    </row>
    <row r="21" spans="1:6">
      <c r="A21" s="1293" t="s">
        <v>11</v>
      </c>
      <c r="B21" s="1294">
        <v>21173</v>
      </c>
      <c r="C21" s="330"/>
      <c r="D21" s="330"/>
      <c r="E21" s="330"/>
      <c r="F21" s="330"/>
    </row>
    <row r="22" spans="1:6">
      <c r="A22" s="1293" t="s">
        <v>12</v>
      </c>
      <c r="B22" s="1294">
        <v>64790</v>
      </c>
      <c r="C22" s="330"/>
      <c r="D22" s="330"/>
      <c r="E22" s="330"/>
      <c r="F22" s="330"/>
    </row>
    <row r="23" spans="1:6">
      <c r="A23" s="1293" t="s">
        <v>13</v>
      </c>
      <c r="B23" s="1294">
        <v>607</v>
      </c>
      <c r="C23" s="330"/>
      <c r="D23" s="330"/>
      <c r="E23" s="330"/>
      <c r="F23" s="330"/>
    </row>
    <row r="24" spans="1:6">
      <c r="A24" s="1293" t="s">
        <v>14</v>
      </c>
      <c r="B24" s="1294">
        <v>83</v>
      </c>
      <c r="C24" s="330"/>
      <c r="D24" s="330"/>
      <c r="E24" s="330"/>
      <c r="F24" s="330"/>
    </row>
    <row r="25" spans="1:6">
      <c r="A25" s="1293" t="s">
        <v>15</v>
      </c>
      <c r="B25" s="1294">
        <v>3465</v>
      </c>
      <c r="C25" s="330"/>
      <c r="D25" s="330"/>
      <c r="E25" s="330"/>
      <c r="F25" s="330"/>
    </row>
    <row r="26" spans="1:6">
      <c r="A26" s="1293" t="s">
        <v>16</v>
      </c>
      <c r="B26" s="1294">
        <v>79</v>
      </c>
      <c r="C26" s="330"/>
      <c r="D26" s="330"/>
      <c r="E26" s="330"/>
      <c r="F26" s="330"/>
    </row>
    <row r="27" spans="1:6">
      <c r="A27" s="1293" t="s">
        <v>17</v>
      </c>
      <c r="B27" s="1294">
        <v>3507</v>
      </c>
      <c r="C27" s="330"/>
      <c r="D27" s="330"/>
      <c r="E27" s="330"/>
      <c r="F27" s="330"/>
    </row>
    <row r="28" spans="1:6" s="43" customFormat="1">
      <c r="A28" s="1295" t="s">
        <v>18</v>
      </c>
      <c r="B28" s="1296">
        <v>1559955</v>
      </c>
      <c r="C28" s="336"/>
      <c r="D28" s="336"/>
      <c r="E28" s="336"/>
      <c r="F28" s="336"/>
    </row>
    <row r="29" spans="1:6">
      <c r="A29" s="1295" t="s">
        <v>734</v>
      </c>
      <c r="B29" s="1296">
        <v>152</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191177.35147294201</v>
      </c>
      <c r="E38" s="1294">
        <v>5</v>
      </c>
      <c r="F38" s="1294">
        <v>1141019.6647500601</v>
      </c>
    </row>
    <row r="39" spans="1:6">
      <c r="A39" s="1293" t="s">
        <v>29</v>
      </c>
      <c r="B39" s="1293" t="s">
        <v>30</v>
      </c>
      <c r="C39" s="1294">
        <v>3748</v>
      </c>
      <c r="D39" s="1294">
        <v>73055140.571793497</v>
      </c>
      <c r="E39" s="1294">
        <v>5591</v>
      </c>
      <c r="F39" s="1294">
        <v>22995349.103923101</v>
      </c>
    </row>
    <row r="40" spans="1:6">
      <c r="A40" s="1293" t="s">
        <v>29</v>
      </c>
      <c r="B40" s="1293" t="s">
        <v>28</v>
      </c>
      <c r="C40" s="1294">
        <v>0</v>
      </c>
      <c r="D40" s="1294">
        <v>0</v>
      </c>
      <c r="E40" s="1294">
        <v>0</v>
      </c>
      <c r="F40" s="1294">
        <v>0</v>
      </c>
    </row>
    <row r="41" spans="1:6">
      <c r="A41" s="1293" t="s">
        <v>31</v>
      </c>
      <c r="B41" s="1293" t="s">
        <v>32</v>
      </c>
      <c r="C41" s="1294">
        <v>55</v>
      </c>
      <c r="D41" s="1294">
        <v>1170249.09961424</v>
      </c>
      <c r="E41" s="1294">
        <v>118</v>
      </c>
      <c r="F41" s="1294">
        <v>1274226.9093210299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110086.08671692001</v>
      </c>
      <c r="E44" s="1294">
        <v>21</v>
      </c>
      <c r="F44" s="1294">
        <v>1790890.7842361501</v>
      </c>
    </row>
    <row r="45" spans="1:6">
      <c r="A45" s="1293" t="s">
        <v>31</v>
      </c>
      <c r="B45" s="1293" t="s">
        <v>36</v>
      </c>
      <c r="C45" s="1294">
        <v>0</v>
      </c>
      <c r="D45" s="1294">
        <v>0</v>
      </c>
      <c r="E45" s="1294">
        <v>3</v>
      </c>
      <c r="F45" s="1294">
        <v>1342508.31548147</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51</v>
      </c>
      <c r="D48" s="1294">
        <v>18612514.639961801</v>
      </c>
      <c r="E48" s="1294">
        <v>68</v>
      </c>
      <c r="F48" s="1294">
        <v>11903631.8263693</v>
      </c>
    </row>
    <row r="49" spans="1:6">
      <c r="A49" s="1293" t="s">
        <v>31</v>
      </c>
      <c r="B49" s="1293" t="s">
        <v>39</v>
      </c>
      <c r="C49" s="1294">
        <v>0</v>
      </c>
      <c r="D49" s="1294">
        <v>0</v>
      </c>
      <c r="E49" s="1294">
        <v>0</v>
      </c>
      <c r="F49" s="1294">
        <v>0</v>
      </c>
    </row>
    <row r="50" spans="1:6">
      <c r="A50" s="1293" t="s">
        <v>31</v>
      </c>
      <c r="B50" s="1293" t="s">
        <v>40</v>
      </c>
      <c r="C50" s="1294">
        <v>3</v>
      </c>
      <c r="D50" s="1294">
        <v>9347126.4947868604</v>
      </c>
      <c r="E50" s="1294">
        <v>16</v>
      </c>
      <c r="F50" s="1294">
        <v>11852605.841603599</v>
      </c>
    </row>
    <row r="51" spans="1:6">
      <c r="A51" s="1293" t="s">
        <v>41</v>
      </c>
      <c r="B51" s="1293" t="s">
        <v>42</v>
      </c>
      <c r="C51" s="1294">
        <v>14</v>
      </c>
      <c r="D51" s="1294">
        <v>500245.06715067499</v>
      </c>
      <c r="E51" s="1294">
        <v>237</v>
      </c>
      <c r="F51" s="1294">
        <v>10255479.526605699</v>
      </c>
    </row>
    <row r="52" spans="1:6">
      <c r="A52" s="1293" t="s">
        <v>41</v>
      </c>
      <c r="B52" s="1293" t="s">
        <v>28</v>
      </c>
      <c r="C52" s="1294">
        <v>23</v>
      </c>
      <c r="D52" s="1294">
        <v>181004683.540553</v>
      </c>
      <c r="E52" s="1294">
        <v>15</v>
      </c>
      <c r="F52" s="1294">
        <v>336158.080411695</v>
      </c>
    </row>
    <row r="53" spans="1:6">
      <c r="A53" s="1293" t="s">
        <v>43</v>
      </c>
      <c r="B53" s="1293" t="s">
        <v>44</v>
      </c>
      <c r="C53" s="1294">
        <v>88</v>
      </c>
      <c r="D53" s="1294">
        <v>1827683.5934458401</v>
      </c>
      <c r="E53" s="1294">
        <v>211</v>
      </c>
      <c r="F53" s="1294">
        <v>870315.83249094698</v>
      </c>
    </row>
    <row r="54" spans="1:6">
      <c r="A54" s="1293" t="s">
        <v>45</v>
      </c>
      <c r="B54" s="1293" t="s">
        <v>46</v>
      </c>
      <c r="C54" s="1294">
        <v>0</v>
      </c>
      <c r="D54" s="1294">
        <v>0</v>
      </c>
      <c r="E54" s="1294">
        <v>1</v>
      </c>
      <c r="F54" s="1294">
        <v>1022618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45</v>
      </c>
      <c r="D57" s="1294">
        <v>4412100.13278946</v>
      </c>
      <c r="E57" s="1294">
        <v>125</v>
      </c>
      <c r="F57" s="1294">
        <v>2200889.2530065002</v>
      </c>
    </row>
    <row r="58" spans="1:6">
      <c r="A58" s="1293" t="s">
        <v>48</v>
      </c>
      <c r="B58" s="1293" t="s">
        <v>50</v>
      </c>
      <c r="C58" s="1294">
        <v>3</v>
      </c>
      <c r="D58" s="1294">
        <v>65639.299820501095</v>
      </c>
      <c r="E58" s="1294">
        <v>45</v>
      </c>
      <c r="F58" s="1294">
        <v>2499266.88841489</v>
      </c>
    </row>
    <row r="59" spans="1:6">
      <c r="A59" s="1293" t="s">
        <v>48</v>
      </c>
      <c r="B59" s="1293" t="s">
        <v>51</v>
      </c>
      <c r="C59" s="1294">
        <v>24</v>
      </c>
      <c r="D59" s="1294">
        <v>578762.83464069595</v>
      </c>
      <c r="E59" s="1294">
        <v>89</v>
      </c>
      <c r="F59" s="1294">
        <v>1596243.8184376999</v>
      </c>
    </row>
    <row r="60" spans="1:6">
      <c r="A60" s="1293" t="s">
        <v>48</v>
      </c>
      <c r="B60" s="1293" t="s">
        <v>52</v>
      </c>
      <c r="C60" s="1294">
        <v>35</v>
      </c>
      <c r="D60" s="1294">
        <v>1662885.65960621</v>
      </c>
      <c r="E60" s="1294">
        <v>46</v>
      </c>
      <c r="F60" s="1294">
        <v>1057724.6369715401</v>
      </c>
    </row>
    <row r="61" spans="1:6">
      <c r="A61" s="1293" t="s">
        <v>48</v>
      </c>
      <c r="B61" s="1293" t="s">
        <v>53</v>
      </c>
      <c r="C61" s="1294">
        <v>37</v>
      </c>
      <c r="D61" s="1294">
        <v>576904.614476652</v>
      </c>
      <c r="E61" s="1294">
        <v>112</v>
      </c>
      <c r="F61" s="1294">
        <v>1321322.78638359</v>
      </c>
    </row>
    <row r="62" spans="1:6">
      <c r="A62" s="1293" t="s">
        <v>48</v>
      </c>
      <c r="B62" s="1293" t="s">
        <v>54</v>
      </c>
      <c r="C62" s="1294">
        <v>0</v>
      </c>
      <c r="D62" s="1294">
        <v>0</v>
      </c>
      <c r="E62" s="1294">
        <v>0</v>
      </c>
      <c r="F62" s="1294">
        <v>0</v>
      </c>
    </row>
    <row r="63" spans="1:6">
      <c r="A63" s="1293" t="s">
        <v>48</v>
      </c>
      <c r="B63" s="1293" t="s">
        <v>28</v>
      </c>
      <c r="C63" s="1294">
        <v>166</v>
      </c>
      <c r="D63" s="1294">
        <v>6895561.1682994599</v>
      </c>
      <c r="E63" s="1294">
        <v>222</v>
      </c>
      <c r="F63" s="1294">
        <v>5182984.26739565</v>
      </c>
    </row>
    <row r="64" spans="1:6">
      <c r="A64" s="1293" t="s">
        <v>55</v>
      </c>
      <c r="B64" s="1293" t="s">
        <v>56</v>
      </c>
      <c r="C64" s="1294">
        <v>0</v>
      </c>
      <c r="D64" s="1294">
        <v>0</v>
      </c>
      <c r="E64" s="1294">
        <v>0</v>
      </c>
      <c r="F64" s="1294">
        <v>0</v>
      </c>
    </row>
    <row r="65" spans="1:6">
      <c r="A65" s="1293" t="s">
        <v>55</v>
      </c>
      <c r="B65" s="1293" t="s">
        <v>28</v>
      </c>
      <c r="C65" s="1294">
        <v>3</v>
      </c>
      <c r="D65" s="1294">
        <v>70187.314027659595</v>
      </c>
      <c r="E65" s="1294">
        <v>3</v>
      </c>
      <c r="F65" s="1294">
        <v>224290.96944812499</v>
      </c>
    </row>
    <row r="66" spans="1:6">
      <c r="A66" s="1293" t="s">
        <v>55</v>
      </c>
      <c r="B66" s="1293" t="s">
        <v>57</v>
      </c>
      <c r="C66" s="1294">
        <v>0</v>
      </c>
      <c r="D66" s="1294">
        <v>0</v>
      </c>
      <c r="E66" s="1294">
        <v>6</v>
      </c>
      <c r="F66" s="1294">
        <v>19604.851938240401</v>
      </c>
    </row>
    <row r="67" spans="1:6">
      <c r="A67" s="1295" t="s">
        <v>55</v>
      </c>
      <c r="B67" s="1295" t="s">
        <v>58</v>
      </c>
      <c r="C67" s="1294">
        <v>0</v>
      </c>
      <c r="D67" s="1294">
        <v>0</v>
      </c>
      <c r="E67" s="1294">
        <v>0</v>
      </c>
      <c r="F67" s="1294">
        <v>0</v>
      </c>
    </row>
    <row r="68" spans="1:6">
      <c r="A68" s="1288" t="s">
        <v>55</v>
      </c>
      <c r="B68" s="1288" t="s">
        <v>59</v>
      </c>
      <c r="C68" s="1297">
        <v>3</v>
      </c>
      <c r="D68" s="1297">
        <v>63480.647780667503</v>
      </c>
      <c r="E68" s="1297">
        <v>9</v>
      </c>
      <c r="F68" s="1297">
        <v>122488.046611699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59287555</v>
      </c>
      <c r="E73" s="449"/>
      <c r="F73" s="330"/>
    </row>
    <row r="74" spans="1:6">
      <c r="A74" s="1293" t="s">
        <v>63</v>
      </c>
      <c r="B74" s="1293" t="s">
        <v>656</v>
      </c>
      <c r="C74" s="1307" t="s">
        <v>658</v>
      </c>
      <c r="D74" s="1308">
        <v>5543547.5</v>
      </c>
      <c r="E74" s="449"/>
      <c r="F74" s="330"/>
    </row>
    <row r="75" spans="1:6">
      <c r="A75" s="1293" t="s">
        <v>64</v>
      </c>
      <c r="B75" s="1293" t="s">
        <v>655</v>
      </c>
      <c r="C75" s="1307" t="s">
        <v>659</v>
      </c>
      <c r="D75" s="1308">
        <v>17120267</v>
      </c>
      <c r="E75" s="449"/>
      <c r="F75" s="330"/>
    </row>
    <row r="76" spans="1:6">
      <c r="A76" s="1293" t="s">
        <v>64</v>
      </c>
      <c r="B76" s="1293" t="s">
        <v>656</v>
      </c>
      <c r="C76" s="1307" t="s">
        <v>660</v>
      </c>
      <c r="D76" s="1308">
        <v>606597.5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384733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3984.0201202272433</v>
      </c>
      <c r="C91" s="330"/>
      <c r="D91" s="330"/>
      <c r="E91" s="330"/>
      <c r="F91" s="330"/>
    </row>
    <row r="92" spans="1:6">
      <c r="A92" s="1288" t="s">
        <v>68</v>
      </c>
      <c r="B92" s="1289">
        <v>4444.3673180253491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1899</v>
      </c>
      <c r="C97" s="330"/>
      <c r="D97" s="330"/>
      <c r="E97" s="330"/>
      <c r="F97" s="330"/>
    </row>
    <row r="98" spans="1:6">
      <c r="A98" s="1293" t="s">
        <v>71</v>
      </c>
      <c r="B98" s="1294">
        <v>15</v>
      </c>
      <c r="C98" s="330"/>
      <c r="D98" s="330"/>
      <c r="E98" s="330"/>
      <c r="F98" s="330"/>
    </row>
    <row r="99" spans="1:6">
      <c r="A99" s="1293" t="s">
        <v>72</v>
      </c>
      <c r="B99" s="1294">
        <v>217</v>
      </c>
      <c r="C99" s="330"/>
      <c r="D99" s="330"/>
      <c r="E99" s="330"/>
      <c r="F99" s="330"/>
    </row>
    <row r="100" spans="1:6">
      <c r="A100" s="1293" t="s">
        <v>73</v>
      </c>
      <c r="B100" s="1294">
        <v>180</v>
      </c>
      <c r="C100" s="330"/>
      <c r="D100" s="330"/>
      <c r="E100" s="330"/>
      <c r="F100" s="330"/>
    </row>
    <row r="101" spans="1:6">
      <c r="A101" s="1293" t="s">
        <v>74</v>
      </c>
      <c r="B101" s="1294">
        <v>177</v>
      </c>
      <c r="C101" s="330"/>
      <c r="D101" s="330"/>
      <c r="E101" s="330"/>
      <c r="F101" s="330"/>
    </row>
    <row r="102" spans="1:6">
      <c r="A102" s="1293" t="s">
        <v>75</v>
      </c>
      <c r="B102" s="1294">
        <v>45</v>
      </c>
      <c r="C102" s="330"/>
      <c r="D102" s="330"/>
      <c r="E102" s="330"/>
      <c r="F102" s="330"/>
    </row>
    <row r="103" spans="1:6">
      <c r="A103" s="1293" t="s">
        <v>76</v>
      </c>
      <c r="B103" s="1294">
        <v>73</v>
      </c>
      <c r="C103" s="330"/>
      <c r="D103" s="330"/>
      <c r="E103" s="330"/>
      <c r="F103" s="330"/>
    </row>
    <row r="104" spans="1:6">
      <c r="A104" s="1293" t="s">
        <v>77</v>
      </c>
      <c r="B104" s="1294">
        <v>2212</v>
      </c>
      <c r="C104" s="330"/>
      <c r="D104" s="330"/>
      <c r="E104" s="330"/>
      <c r="F104" s="330"/>
    </row>
    <row r="105" spans="1:6">
      <c r="A105" s="1288" t="s">
        <v>78</v>
      </c>
      <c r="B105" s="1297">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38</v>
      </c>
      <c r="C123" s="1294">
        <v>35</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140</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81511.789502781423</v>
      </c>
      <c r="C3" s="43" t="s">
        <v>169</v>
      </c>
      <c r="D3" s="43"/>
      <c r="E3" s="154"/>
      <c r="F3" s="43"/>
      <c r="G3" s="43"/>
      <c r="H3" s="43"/>
      <c r="I3" s="43"/>
      <c r="J3" s="43"/>
      <c r="K3" s="96"/>
    </row>
    <row r="4" spans="1:11">
      <c r="A4" s="358" t="s">
        <v>170</v>
      </c>
      <c r="B4" s="49">
        <f>IF(ISERROR('SEAP template'!B78+'SEAP template'!C78),0,'SEAP template'!B78+'SEAP template'!C78)</f>
        <v>66234.037438252592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13726.969411764707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0.20982673454178016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19609.956302521012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82579.5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0.23746760760868027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1022.6180000000001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1022.6180000000001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0.20982673454178016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214.57259562364615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22995.349103923101</v>
      </c>
      <c r="C5" s="17">
        <f>IF(ISERROR('Eigen informatie GS &amp; warmtenet'!B57),0,'Eigen informatie GS &amp; warmtenet'!B57)</f>
        <v>0</v>
      </c>
      <c r="D5" s="30">
        <f>(SUM(HH_hh_gas_kWh,HH_rest_gas_kWh)/1000)*0.902</f>
        <v>65895.736795757737</v>
      </c>
      <c r="E5" s="17">
        <f>B46*B57</f>
        <v>32105.826697555913</v>
      </c>
      <c r="F5" s="17">
        <f>B51*B62</f>
        <v>11428.937327561693</v>
      </c>
      <c r="G5" s="18"/>
      <c r="H5" s="17"/>
      <c r="I5" s="17"/>
      <c r="J5" s="17">
        <f>B50*B61+C50*C61</f>
        <v>0</v>
      </c>
      <c r="K5" s="17"/>
      <c r="L5" s="17"/>
      <c r="M5" s="17"/>
      <c r="N5" s="17">
        <f>B48*B59+C48*C59</f>
        <v>36093.88059607317</v>
      </c>
      <c r="O5" s="17">
        <f>B69*B70*B71</f>
        <v>275.1466666666667</v>
      </c>
      <c r="P5" s="17">
        <f>B77*B78*B79/1000-B77*B78*B79/1000/B80</f>
        <v>1220.2666666666667</v>
      </c>
    </row>
    <row r="6" spans="1:16">
      <c r="A6" s="16" t="s">
        <v>620</v>
      </c>
      <c r="B6" s="762">
        <f>kWh_PV_kleiner_dan_10kW</f>
        <v>3984.0201202272433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26979.369224150345</v>
      </c>
      <c r="C8" s="21">
        <f>C5</f>
        <v>0</v>
      </c>
      <c r="D8" s="21">
        <f>D5</f>
        <v>65895.736795757737</v>
      </c>
      <c r="E8" s="21">
        <f>E5</f>
        <v>32105.826697555913</v>
      </c>
      <c r="F8" s="21">
        <f>F5</f>
        <v>11428.937327561693</v>
      </c>
      <c r="G8" s="21"/>
      <c r="H8" s="21"/>
      <c r="I8" s="21"/>
      <c r="J8" s="21">
        <f>J5</f>
        <v>0</v>
      </c>
      <c r="K8" s="21"/>
      <c r="L8" s="21">
        <f>L5</f>
        <v>0</v>
      </c>
      <c r="M8" s="21">
        <f>M5</f>
        <v>0</v>
      </c>
      <c r="N8" s="21">
        <f>N5</f>
        <v>36093.88059607317</v>
      </c>
      <c r="O8" s="21">
        <f>O5</f>
        <v>275.1466666666667</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0.20982673454178016</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5660.9929443004676</v>
      </c>
      <c r="C12" s="23">
        <f ca="1">C10*C8</f>
        <v>0</v>
      </c>
      <c r="D12" s="23">
        <f>D8*D10</f>
        <v>13310.938832743064</v>
      </c>
      <c r="E12" s="23">
        <f>E10*E8</f>
        <v>7288.022660345192</v>
      </c>
      <c r="F12" s="23">
        <f>F10*F8</f>
        <v>3051.5262664589723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1899</v>
      </c>
      <c r="C18" s="166" t="s">
        <v>110</v>
      </c>
      <c r="D18" s="228"/>
      <c r="E18" s="15"/>
    </row>
    <row r="19" spans="1:7">
      <c r="A19" s="171" t="s">
        <v>71</v>
      </c>
      <c r="B19" s="37">
        <f>aantalw2001_ander</f>
        <v>15</v>
      </c>
      <c r="C19" s="166" t="s">
        <v>110</v>
      </c>
      <c r="D19" s="229"/>
      <c r="E19" s="15"/>
    </row>
    <row r="20" spans="1:7">
      <c r="A20" s="171" t="s">
        <v>72</v>
      </c>
      <c r="B20" s="37">
        <f>aantalw2001_propaan</f>
        <v>217</v>
      </c>
      <c r="C20" s="167">
        <f>IF(ISERROR(B20/SUM($B$20,$B$21,$B$22)*100),0,B20/SUM($B$20,$B$21,$B$22)*100)</f>
        <v>37.804878048780488</v>
      </c>
      <c r="D20" s="229"/>
      <c r="E20" s="15"/>
    </row>
    <row r="21" spans="1:7">
      <c r="A21" s="171" t="s">
        <v>73</v>
      </c>
      <c r="B21" s="37">
        <f>aantalw2001_elektriciteit</f>
        <v>180</v>
      </c>
      <c r="C21" s="167">
        <f>IF(ISERROR(B21/SUM($B$20,$B$21,$B$22)*100),0,B21/SUM($B$20,$B$21,$B$22)*100)</f>
        <v>31.358885017421599</v>
      </c>
      <c r="D21" s="229"/>
      <c r="E21" s="15"/>
    </row>
    <row r="22" spans="1:7">
      <c r="A22" s="171" t="s">
        <v>74</v>
      </c>
      <c r="B22" s="37">
        <f>aantalw2001_hout</f>
        <v>177</v>
      </c>
      <c r="C22" s="167">
        <f>IF(ISERROR(B22/SUM($B$20,$B$21,$B$22)*100),0,B22/SUM($B$20,$B$21,$B$22)*100)</f>
        <v>30.836236933797913</v>
      </c>
      <c r="D22" s="229"/>
      <c r="E22" s="15"/>
    </row>
    <row r="23" spans="1:7">
      <c r="A23" s="171" t="s">
        <v>75</v>
      </c>
      <c r="B23" s="37">
        <f>aantalw2001_niet_gespec</f>
        <v>45</v>
      </c>
      <c r="C23" s="166" t="s">
        <v>110</v>
      </c>
      <c r="D23" s="228"/>
      <c r="E23" s="15"/>
    </row>
    <row r="24" spans="1:7">
      <c r="A24" s="171" t="s">
        <v>76</v>
      </c>
      <c r="B24" s="37">
        <f>aantalw2001_steenkool</f>
        <v>73</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780</v>
      </c>
      <c r="B28" s="37">
        <f>aantalHuishoudens</f>
        <v>5966</v>
      </c>
      <c r="C28" s="36"/>
      <c r="D28" s="228"/>
    </row>
    <row r="29" spans="1:7" s="15" customFormat="1">
      <c r="A29" s="230" t="s">
        <v>781</v>
      </c>
      <c r="B29" s="37">
        <f>SUM(HH_hh_gas_aantal,HH_rest_gas_aantal)</f>
        <v>3748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3748</v>
      </c>
      <c r="C32" s="167">
        <f>IF(ISERROR(B32/SUM($B$32,$B$34,$B$35,$B$36,$B$38,$B$39)*100),0,B32/SUM($B$32,$B$34,$B$35,$B$36,$B$38,$B$39)*100)</f>
        <v>63.503896984073194</v>
      </c>
      <c r="D32" s="233"/>
      <c r="G32" s="15"/>
    </row>
    <row r="33" spans="1:7">
      <c r="A33" s="171" t="s">
        <v>71</v>
      </c>
      <c r="B33" s="34" t="s">
        <v>110</v>
      </c>
      <c r="C33" s="167"/>
      <c r="D33" s="233"/>
      <c r="G33" s="15"/>
    </row>
    <row r="34" spans="1:7">
      <c r="A34" s="171" t="s">
        <v>72</v>
      </c>
      <c r="B34" s="33">
        <f>IF((($B$28-$B$32-$B$39-$B$77-$B$38)*C20/100)&lt;0,0,($B$28-$B$32-$B$39-$B$77-$B$38)*C20/100)</f>
        <v>607.18414634146347</v>
      </c>
      <c r="C34" s="167">
        <f>IF(ISERROR(B34/SUM($B$32,$B$34,$B$35,$B$36,$B$38,$B$39)*100),0,B34/SUM($B$32,$B$34,$B$35,$B$36,$B$38,$B$39)*100)</f>
        <v>10.28776933821524</v>
      </c>
      <c r="D34" s="233"/>
      <c r="G34" s="15"/>
    </row>
    <row r="35" spans="1:7">
      <c r="A35" s="171" t="s">
        <v>73</v>
      </c>
      <c r="B35" s="33">
        <f>IF((($B$28-$B$32-$B$39-$B$77-$B$38)*C21/100)&lt;0,0,($B$28-$B$32-$B$39-$B$77-$B$38)*C21/100)</f>
        <v>503.65505226480832</v>
      </c>
      <c r="C35" s="167">
        <f>IF(ISERROR(B35/SUM($B$32,$B$34,$B$35,$B$36,$B$38,$B$39)*100),0,B35/SUM($B$32,$B$34,$B$35,$B$36,$B$38,$B$39)*100)</f>
        <v>8.5336335524366032</v>
      </c>
      <c r="D35" s="233"/>
      <c r="G35" s="15"/>
    </row>
    <row r="36" spans="1:7">
      <c r="A36" s="171" t="s">
        <v>74</v>
      </c>
      <c r="B36" s="33">
        <f>IF((($B$28-$B$32-$B$39-$B$77-$B$38)*C22/100)&lt;0,0,($B$28-$B$32-$B$39-$B$77-$B$38)*C22/100)</f>
        <v>495.26080139372834</v>
      </c>
      <c r="C36" s="167">
        <f>IF(ISERROR(B36/SUM($B$32,$B$34,$B$35,$B$36,$B$38,$B$39)*100),0,B36/SUM($B$32,$B$34,$B$35,$B$36,$B$38,$B$39)*100)</f>
        <v>8.3914063265626631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547.89999999999986</v>
      </c>
      <c r="C39" s="167">
        <f>IF(ISERROR(B39/SUM($B$32,$B$34,$B$35,$B$36,$B$38,$B$39)*100),0,B39/SUM($B$32,$B$34,$B$35,$B$36,$B$38,$B$39)*100)</f>
        <v>9.2832937987122985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3748</v>
      </c>
      <c r="C44" s="34" t="s">
        <v>110</v>
      </c>
      <c r="D44" s="174"/>
    </row>
    <row r="45" spans="1:7">
      <c r="A45" s="171" t="s">
        <v>71</v>
      </c>
      <c r="B45" s="33" t="str">
        <f t="shared" si="0"/>
        <v>-</v>
      </c>
      <c r="C45" s="34" t="s">
        <v>110</v>
      </c>
      <c r="D45" s="174"/>
    </row>
    <row r="46" spans="1:7">
      <c r="A46" s="171" t="s">
        <v>72</v>
      </c>
      <c r="B46" s="33">
        <f t="shared" si="0"/>
        <v>607.18414634146347</v>
      </c>
      <c r="C46" s="34" t="s">
        <v>110</v>
      </c>
      <c r="D46" s="174"/>
    </row>
    <row r="47" spans="1:7">
      <c r="A47" s="171" t="s">
        <v>73</v>
      </c>
      <c r="B47" s="33">
        <f t="shared" si="0"/>
        <v>503.65505226480832</v>
      </c>
      <c r="C47" s="34" t="s">
        <v>110</v>
      </c>
      <c r="D47" s="174"/>
    </row>
    <row r="48" spans="1:7">
      <c r="A48" s="171" t="s">
        <v>74</v>
      </c>
      <c r="B48" s="33">
        <f t="shared" si="0"/>
        <v>495.26080139372834</v>
      </c>
      <c r="C48" s="33">
        <f>B48*10</f>
        <v>4952.6080139372834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547.89999999999986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13858.431650609871</v>
      </c>
      <c r="C5" s="17">
        <f>IF(ISERROR('Eigen informatie GS &amp; warmtenet'!B58),0,'Eigen informatie GS &amp; warmtenet'!B58)</f>
        <v>0</v>
      </c>
      <c r="D5" s="30">
        <f>SUM(D6:D12)</f>
        <v>12801.052046088947</v>
      </c>
      <c r="E5" s="17">
        <f>SUM(E6:E12)</f>
        <v>140.19235603207892</v>
      </c>
      <c r="F5" s="17">
        <f>SUM(F6:F12)</f>
        <v>2483.3436037817701</v>
      </c>
      <c r="G5" s="18"/>
      <c r="H5" s="17"/>
      <c r="I5" s="17"/>
      <c r="J5" s="17">
        <f>SUM(J6:J12)</f>
        <v>6.032340563908957E-2</v>
      </c>
      <c r="K5" s="17"/>
      <c r="L5" s="17"/>
      <c r="M5" s="17"/>
      <c r="N5" s="17">
        <f>SUM(N6:N12)</f>
        <v>2413.2508462623255</v>
      </c>
      <c r="O5" s="17">
        <f>B38*B39*B40</f>
        <v>4.6900000000000004</v>
      </c>
      <c r="P5" s="17">
        <f>B46*B47*B48/1000-B46*B47*B48/1000/B49</f>
        <v>0</v>
      </c>
      <c r="R5" s="32"/>
    </row>
    <row r="6" spans="1:18">
      <c r="A6" s="32" t="s">
        <v>53</v>
      </c>
      <c r="B6" s="37">
        <f>B26</f>
        <v>1321.32278638359</v>
      </c>
      <c r="C6" s="33"/>
      <c r="D6" s="37">
        <f>IF(ISERROR(TER_kantoor_gas_kWh/1000),0,TER_kantoor_gas_kWh/1000)*0.902</f>
        <v>520.36796225794012</v>
      </c>
      <c r="E6" s="33">
        <f>$C$26*'E Balans VL '!I12/100/3.6*1000000</f>
        <v>8.2816117599784338E-3</v>
      </c>
      <c r="F6" s="33">
        <f>$C$26*('E Balans VL '!L12+'E Balans VL '!N12)/100/3.6*1000000</f>
        <v>198.55789351348068</v>
      </c>
      <c r="G6" s="34"/>
      <c r="H6" s="33"/>
      <c r="I6" s="33"/>
      <c r="J6" s="33">
        <f>$C$26*('E Balans VL '!D12+'E Balans VL '!E12)/100/3.6*1000000</f>
        <v>0</v>
      </c>
      <c r="K6" s="33"/>
      <c r="L6" s="33"/>
      <c r="M6" s="33"/>
      <c r="N6" s="33">
        <f>$C$26*'E Balans VL '!Y12/100/3.6*1000000</f>
        <v>1.2636493375731064</v>
      </c>
      <c r="O6" s="33"/>
      <c r="P6" s="33"/>
      <c r="R6" s="32"/>
    </row>
    <row r="7" spans="1:18">
      <c r="A7" s="32" t="s">
        <v>52</v>
      </c>
      <c r="B7" s="37">
        <f t="shared" ref="B7:B12" si="0">B27</f>
        <v>1057.7246369715401</v>
      </c>
      <c r="C7" s="33"/>
      <c r="D7" s="37">
        <f>IF(ISERROR(TER_horeca_gas_kWh/1000),0,TER_horeca_gas_kWh/1000)*0.902</f>
        <v>1499.9228649648014</v>
      </c>
      <c r="E7" s="33">
        <f>$C$27*'E Balans VL '!I9/100/3.6*1000000</f>
        <v>15.146440618140993</v>
      </c>
      <c r="F7" s="33">
        <f>$C$27*('E Balans VL '!L9+'E Balans VL '!N9)/100/3.6*1000000</f>
        <v>133.94282414310302</v>
      </c>
      <c r="G7" s="34"/>
      <c r="H7" s="33"/>
      <c r="I7" s="33"/>
      <c r="J7" s="33">
        <f>$C$27*('E Balans VL '!D9+'E Balans VL '!E9)/100/3.6*1000000</f>
        <v>0</v>
      </c>
      <c r="K7" s="33"/>
      <c r="L7" s="33"/>
      <c r="M7" s="33"/>
      <c r="N7" s="33">
        <f>$C$27*'E Balans VL '!Y9/100/3.6*1000000</f>
        <v>0.30407251230292448</v>
      </c>
      <c r="O7" s="33"/>
      <c r="P7" s="33"/>
      <c r="R7" s="32"/>
    </row>
    <row r="8" spans="1:18">
      <c r="A8" s="6" t="s">
        <v>51</v>
      </c>
      <c r="B8" s="37">
        <f t="shared" si="0"/>
        <v>1596.2438184376999</v>
      </c>
      <c r="C8" s="33"/>
      <c r="D8" s="37">
        <f>IF(ISERROR(TER_handel_gas_kWh/1000),0,TER_handel_gas_kWh/1000)*0.902</f>
        <v>522.04407684590774</v>
      </c>
      <c r="E8" s="33">
        <f>$C$28*'E Balans VL '!I13/100/3.6*1000000</f>
        <v>57.895566454766424</v>
      </c>
      <c r="F8" s="33">
        <f>$C$28*('E Balans VL '!L13+'E Balans VL '!N13)/100/3.6*1000000</f>
        <v>307.45272242737389</v>
      </c>
      <c r="G8" s="34"/>
      <c r="H8" s="33"/>
      <c r="I8" s="33"/>
      <c r="J8" s="33">
        <f>$C$28*('E Balans VL '!D13+'E Balans VL '!E13)/100/3.6*1000000</f>
        <v>0</v>
      </c>
      <c r="K8" s="33"/>
      <c r="L8" s="33"/>
      <c r="M8" s="33"/>
      <c r="N8" s="33">
        <f>$C$28*'E Balans VL '!Y13/100/3.6*1000000</f>
        <v>2.2111649678586698</v>
      </c>
      <c r="O8" s="33"/>
      <c r="P8" s="33"/>
      <c r="R8" s="32"/>
    </row>
    <row r="9" spans="1:18">
      <c r="A9" s="32" t="s">
        <v>50</v>
      </c>
      <c r="B9" s="37">
        <f t="shared" si="0"/>
        <v>2499.2668884148902</v>
      </c>
      <c r="C9" s="33"/>
      <c r="D9" s="37">
        <f>IF(ISERROR(TER_gezond_gas_kWh/1000),0,TER_gezond_gas_kWh/1000)*0.902</f>
        <v>59.206648438091989</v>
      </c>
      <c r="E9" s="33">
        <f>$C$29*'E Balans VL '!I10/100/3.6*1000000</f>
        <v>0.15647878301735371</v>
      </c>
      <c r="F9" s="33">
        <f>$C$29*('E Balans VL '!L10+'E Balans VL '!N10)/100/3.6*1000000</f>
        <v>371.27370581701263</v>
      </c>
      <c r="G9" s="34"/>
      <c r="H9" s="33"/>
      <c r="I9" s="33"/>
      <c r="J9" s="33">
        <f>$C$29*('E Balans VL '!D10+'E Balans VL '!E10)/100/3.6*1000000</f>
        <v>0</v>
      </c>
      <c r="K9" s="33"/>
      <c r="L9" s="33"/>
      <c r="M9" s="33"/>
      <c r="N9" s="33">
        <f>$C$29*'E Balans VL '!Y10/100/3.6*1000000</f>
        <v>38.658901388641965</v>
      </c>
      <c r="O9" s="33"/>
      <c r="P9" s="33"/>
      <c r="R9" s="32"/>
    </row>
    <row r="10" spans="1:18">
      <c r="A10" s="32" t="s">
        <v>49</v>
      </c>
      <c r="B10" s="37">
        <f t="shared" si="0"/>
        <v>2200.8892530065</v>
      </c>
      <c r="C10" s="33"/>
      <c r="D10" s="37">
        <f>IF(ISERROR(TER_ander_gas_kWh/1000),0,TER_ander_gas_kWh/1000)*0.902</f>
        <v>3979.7143197760929</v>
      </c>
      <c r="E10" s="33">
        <f>$C$30*'E Balans VL '!I14/100/3.6*1000000</f>
        <v>2.6233813430907684</v>
      </c>
      <c r="F10" s="33">
        <f>$C$30*('E Balans VL '!L14+'E Balans VL '!N14)/100/3.6*1000000</f>
        <v>575.85047243772567</v>
      </c>
      <c r="G10" s="34"/>
      <c r="H10" s="33"/>
      <c r="I10" s="33"/>
      <c r="J10" s="33">
        <f>$C$30*('E Balans VL '!D14+'E Balans VL '!E14)/100/3.6*1000000</f>
        <v>4.7772678435114554E-2</v>
      </c>
      <c r="K10" s="33"/>
      <c r="L10" s="33"/>
      <c r="M10" s="33"/>
      <c r="N10" s="33">
        <f>$C$30*'E Balans VL '!Y14/100/3.6*1000000</f>
        <v>1868.9412986511622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5182.98426739565</v>
      </c>
      <c r="C12" s="33"/>
      <c r="D12" s="37">
        <f>IF(ISERROR(TER_rest_gas_kWh/1000),0,TER_rest_gas_kWh/1000)*0.902</f>
        <v>6219.7961738061131</v>
      </c>
      <c r="E12" s="33">
        <f>$C$32*'E Balans VL '!I8/100/3.6*1000000</f>
        <v>64.362207221303422</v>
      </c>
      <c r="F12" s="33">
        <f>$C$32*('E Balans VL '!L8+'E Balans VL '!N8)/100/3.6*1000000</f>
        <v>896.26598544307433</v>
      </c>
      <c r="G12" s="34"/>
      <c r="H12" s="33"/>
      <c r="I12" s="33"/>
      <c r="J12" s="33">
        <f>$C$32*('E Balans VL '!D8+'E Balans VL '!E8)/100/3.6*1000000</f>
        <v>1.2550727203975015E-2</v>
      </c>
      <c r="K12" s="33"/>
      <c r="L12" s="33"/>
      <c r="M12" s="33"/>
      <c r="N12" s="33">
        <f>$C$32*'E Balans VL '!Y8/100/3.6*1000000</f>
        <v>501.87175940478687</v>
      </c>
      <c r="O12" s="33"/>
      <c r="P12" s="33"/>
      <c r="R12" s="32"/>
    </row>
    <row r="13" spans="1:18">
      <c r="A13" s="16" t="s">
        <v>487</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13858.431650609871</v>
      </c>
      <c r="C16" s="21">
        <f t="shared" ca="1" si="1"/>
        <v>0</v>
      </c>
      <c r="D16" s="21">
        <f t="shared" ca="1" si="1"/>
        <v>12801.052046088947</v>
      </c>
      <c r="E16" s="21">
        <f t="shared" si="1"/>
        <v>140.19235603207892</v>
      </c>
      <c r="F16" s="21">
        <f t="shared" ca="1" si="1"/>
        <v>2483.3436037817701</v>
      </c>
      <c r="G16" s="21">
        <f t="shared" si="1"/>
        <v>0</v>
      </c>
      <c r="H16" s="21">
        <f t="shared" si="1"/>
        <v>0</v>
      </c>
      <c r="I16" s="21">
        <f t="shared" si="1"/>
        <v>0</v>
      </c>
      <c r="J16" s="21">
        <f t="shared" si="1"/>
        <v>6.032340563908957E-2</v>
      </c>
      <c r="K16" s="21">
        <f t="shared" si="1"/>
        <v>0</v>
      </c>
      <c r="L16" s="21">
        <f t="shared" ca="1" si="1"/>
        <v>0</v>
      </c>
      <c r="M16" s="21">
        <f t="shared" si="1"/>
        <v>0</v>
      </c>
      <c r="N16" s="21">
        <f t="shared" ca="1" si="1"/>
        <v>2413.2508462623255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0.20982673454178016</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2907.8694591179219</v>
      </c>
      <c r="C20" s="23">
        <f t="shared" ref="C20:P20" ca="1" si="2">C16*C18</f>
        <v>0</v>
      </c>
      <c r="D20" s="23">
        <f t="shared" ca="1" si="2"/>
        <v>2585.8125133099675</v>
      </c>
      <c r="E20" s="23">
        <f t="shared" si="2"/>
        <v>31.823664819281916</v>
      </c>
      <c r="F20" s="23">
        <f t="shared" ca="1" si="2"/>
        <v>663.05274220973263</v>
      </c>
      <c r="G20" s="23">
        <f t="shared" si="2"/>
        <v>0</v>
      </c>
      <c r="H20" s="23">
        <f t="shared" si="2"/>
        <v>0</v>
      </c>
      <c r="I20" s="23">
        <f t="shared" si="2"/>
        <v>0</v>
      </c>
      <c r="J20" s="23">
        <f t="shared" si="2"/>
        <v>2.1354485596237708E-2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1321.32278638359</v>
      </c>
      <c r="C26" s="39">
        <f>IF(ISERROR(B26*3.6/1000000/'E Balans VL '!Z12*100),0,B26*3.6/1000000/'E Balans VL '!Z12*100)</f>
        <v>2.7930670559781587E-2</v>
      </c>
      <c r="D26" s="237" t="s">
        <v>744</v>
      </c>
      <c r="F26" s="6"/>
    </row>
    <row r="27" spans="1:18">
      <c r="A27" s="231" t="s">
        <v>52</v>
      </c>
      <c r="B27" s="33">
        <f>IF(ISERROR(TER_horeca_ele_kWh/1000),0,TER_horeca_ele_kWh/1000)</f>
        <v>1057.7246369715401</v>
      </c>
      <c r="C27" s="39">
        <f>IF(ISERROR(B27*3.6/1000000/'E Balans VL '!Z9*100),0,B27*3.6/1000000/'E Balans VL '!Z9*100)</f>
        <v>8.3380038898367939E-2</v>
      </c>
      <c r="D27" s="237" t="s">
        <v>744</v>
      </c>
      <c r="F27" s="6"/>
    </row>
    <row r="28" spans="1:18">
      <c r="A28" s="171" t="s">
        <v>51</v>
      </c>
      <c r="B28" s="33">
        <f>IF(ISERROR(TER_handel_ele_kWh/1000),0,TER_handel_ele_kWh/1000)</f>
        <v>1596.2438184376999</v>
      </c>
      <c r="C28" s="39">
        <f>IF(ISERROR(B28*3.6/1000000/'E Balans VL '!Z13*100),0,B28*3.6/1000000/'E Balans VL '!Z13*100)</f>
        <v>4.6329445158799734E-2</v>
      </c>
      <c r="D28" s="237" t="s">
        <v>744</v>
      </c>
      <c r="F28" s="6"/>
    </row>
    <row r="29" spans="1:18">
      <c r="A29" s="231" t="s">
        <v>50</v>
      </c>
      <c r="B29" s="33">
        <f>IF(ISERROR(TER_gezond_ele_kWh/1000),0,TER_gezond_ele_kWh/1000)</f>
        <v>2499.2668884148902</v>
      </c>
      <c r="C29" s="39">
        <f>IF(ISERROR(B29*3.6/1000000/'E Balans VL '!Z10*100),0,B29*3.6/1000000/'E Balans VL '!Z10*100)</f>
        <v>0.26321384239566786</v>
      </c>
      <c r="D29" s="237" t="s">
        <v>744</v>
      </c>
      <c r="F29" s="6"/>
    </row>
    <row r="30" spans="1:18">
      <c r="A30" s="231" t="s">
        <v>49</v>
      </c>
      <c r="B30" s="33">
        <f>IF(ISERROR(TER_ander_ele_kWh/1000),0,TER_ander_ele_kWh/1000)</f>
        <v>2200.8892530065</v>
      </c>
      <c r="C30" s="39">
        <f>IF(ISERROR(B30*3.6/1000000/'E Balans VL '!Z14*100),0,B30*3.6/1000000/'E Balans VL '!Z14*100)</f>
        <v>0.16233806933252734</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5182.98426739565</v>
      </c>
      <c r="C32" s="39">
        <f>IF(ISERROR(B32*3.6/1000000/'E Balans VL '!Z8*100),0,B32*3.6/1000000/'E Balans VL '!Z8*100)</f>
        <v>4.2649080808392137E-2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28163.863677011548</v>
      </c>
      <c r="C5" s="17">
        <f>IF(ISERROR('Eigen informatie GS &amp; warmtenet'!B59),0,'Eigen informatie GS &amp; warmtenet'!B59)</f>
        <v>0</v>
      </c>
      <c r="D5" s="30">
        <f>SUM(D6:D15)</f>
        <v>26374.458641614001</v>
      </c>
      <c r="E5" s="17">
        <f>SUM(E6:E15)</f>
        <v>1110.2052382212914</v>
      </c>
      <c r="F5" s="17">
        <f>SUM(F6:F15)</f>
        <v>4764.7872015802259</v>
      </c>
      <c r="G5" s="18"/>
      <c r="H5" s="17"/>
      <c r="I5" s="17"/>
      <c r="J5" s="17">
        <f>SUM(J6:J15)</f>
        <v>44.820921304552641</v>
      </c>
      <c r="K5" s="17"/>
      <c r="L5" s="17"/>
      <c r="M5" s="17"/>
      <c r="N5" s="17">
        <f>SUM(N6:N15)</f>
        <v>2072.9131512996837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1790.89078423615</v>
      </c>
      <c r="C8" s="33"/>
      <c r="D8" s="37">
        <f>IF( ISERROR(IND_metaal_Gas_kWH/1000),0,IND_metaal_Gas_kWH/1000)*0.902</f>
        <v>99.297650218661843</v>
      </c>
      <c r="E8" s="33">
        <f>C30*'E Balans VL '!I18/100/3.6*1000000</f>
        <v>16.465511102282882</v>
      </c>
      <c r="F8" s="33">
        <f>C30*'E Balans VL '!L18/100/3.6*1000000+C30*'E Balans VL '!N18/100/3.6*1000000</f>
        <v>167.92593077164909</v>
      </c>
      <c r="G8" s="34"/>
      <c r="H8" s="33"/>
      <c r="I8" s="33"/>
      <c r="J8" s="40">
        <f>C30*'E Balans VL '!D18/100/3.6*1000000+C30*'E Balans VL '!E18/100/3.6*1000000</f>
        <v>0</v>
      </c>
      <c r="K8" s="33"/>
      <c r="L8" s="33"/>
      <c r="M8" s="33"/>
      <c r="N8" s="33">
        <f>C30*'E Balans VL '!Y18/100/3.6*1000000</f>
        <v>25.5500166087803</v>
      </c>
      <c r="O8" s="33"/>
      <c r="P8" s="33"/>
      <c r="R8" s="32"/>
    </row>
    <row r="9" spans="1:18">
      <c r="A9" s="6" t="s">
        <v>32</v>
      </c>
      <c r="B9" s="37">
        <f t="shared" si="0"/>
        <v>1274.22690932103</v>
      </c>
      <c r="C9" s="33"/>
      <c r="D9" s="37">
        <f>IF( ISERROR(IND_andere_gas_kWh/1000),0,IND_andere_gas_kWh/1000)*0.902</f>
        <v>1055.5646878520447</v>
      </c>
      <c r="E9" s="33">
        <f>C31*'E Balans VL '!I19/100/3.6*1000000</f>
        <v>372.48133186657861</v>
      </c>
      <c r="F9" s="33">
        <f>C31*'E Balans VL '!L19/100/3.6*1000000+C31*'E Balans VL '!N19/100/3.6*1000000</f>
        <v>1023.9377717540755</v>
      </c>
      <c r="G9" s="34"/>
      <c r="H9" s="33"/>
      <c r="I9" s="33"/>
      <c r="J9" s="40">
        <f>C31*'E Balans VL '!D19/100/3.6*1000000+C31*'E Balans VL '!E19/100/3.6*1000000</f>
        <v>0</v>
      </c>
      <c r="K9" s="33"/>
      <c r="L9" s="33"/>
      <c r="M9" s="33"/>
      <c r="N9" s="33">
        <f>C31*'E Balans VL '!Y19/100/3.6*1000000</f>
        <v>99.948628151819847</v>
      </c>
      <c r="O9" s="33"/>
      <c r="P9" s="33"/>
      <c r="R9" s="32"/>
    </row>
    <row r="10" spans="1:18">
      <c r="A10" s="6" t="s">
        <v>40</v>
      </c>
      <c r="B10" s="37">
        <f t="shared" si="0"/>
        <v>11852.605841603599</v>
      </c>
      <c r="C10" s="33"/>
      <c r="D10" s="37">
        <f>IF( ISERROR(IND_voed_gas_kWh/1000),0,IND_voed_gas_kWh/1000)*0.902</f>
        <v>8431.1080982977492</v>
      </c>
      <c r="E10" s="33">
        <f>C32*'E Balans VL '!I20/100/3.6*1000000</f>
        <v>25.07437143474262</v>
      </c>
      <c r="F10" s="33">
        <f>C32*'E Balans VL '!L20/100/3.6*1000000+C32*'E Balans VL '!N20/100/3.6*1000000</f>
        <v>753.60078649098944</v>
      </c>
      <c r="G10" s="34"/>
      <c r="H10" s="33"/>
      <c r="I10" s="33"/>
      <c r="J10" s="40">
        <f>C32*'E Balans VL '!D20/100/3.6*1000000+C32*'E Balans VL '!E20/100/3.6*1000000</f>
        <v>0</v>
      </c>
      <c r="K10" s="33"/>
      <c r="L10" s="33"/>
      <c r="M10" s="33"/>
      <c r="N10" s="33">
        <f>C32*'E Balans VL '!Y20/100/3.6*1000000</f>
        <v>817.94676744306889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1342.5083154814699</v>
      </c>
      <c r="C12" s="33"/>
      <c r="D12" s="37">
        <f>IF( ISERROR(IND_min_gas_kWh/1000),0,IND_min_gas_kWh/1000)*0.902</f>
        <v>0</v>
      </c>
      <c r="E12" s="33">
        <f>C34*'E Balans VL '!I22/100/3.6*1000000</f>
        <v>38.913788067471543</v>
      </c>
      <c r="F12" s="33">
        <f>C34*'E Balans VL '!L22/100/3.6*1000000+C34*'E Balans VL '!N22/100/3.6*1000000</f>
        <v>461.56952954460473</v>
      </c>
      <c r="G12" s="34"/>
      <c r="H12" s="33"/>
      <c r="I12" s="33"/>
      <c r="J12" s="40">
        <f>C34*'E Balans VL '!D22/100/3.6*1000000+C34*'E Balans VL '!E22/100/3.6*1000000</f>
        <v>2.2061457211823985</v>
      </c>
      <c r="K12" s="33"/>
      <c r="L12" s="33"/>
      <c r="M12" s="33"/>
      <c r="N12" s="33">
        <f>C34*'E Balans VL '!Y22/100/3.6*1000000</f>
        <v>293.89713208909399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11903.631826369301</v>
      </c>
      <c r="C15" s="33"/>
      <c r="D15" s="37">
        <f>IF( ISERROR(IND_rest_gas_kWh/1000),0,IND_rest_gas_kWh/1000)*0.902</f>
        <v>16788.488205245547</v>
      </c>
      <c r="E15" s="33">
        <f>C37*'E Balans VL '!I15/100/3.6*1000000</f>
        <v>657.27023575021565</v>
      </c>
      <c r="F15" s="33">
        <f>C37*'E Balans VL '!L15/100/3.6*1000000+C37*'E Balans VL '!N15/100/3.6*1000000</f>
        <v>2357.7531830189064</v>
      </c>
      <c r="G15" s="34"/>
      <c r="H15" s="33"/>
      <c r="I15" s="33"/>
      <c r="J15" s="40">
        <f>C37*'E Balans VL '!D15/100/3.6*1000000+C37*'E Balans VL '!E15/100/3.6*1000000</f>
        <v>42.614775583370239</v>
      </c>
      <c r="K15" s="33"/>
      <c r="L15" s="33"/>
      <c r="M15" s="33"/>
      <c r="N15" s="33">
        <f>C37*'E Balans VL '!Y15/100/3.6*1000000</f>
        <v>835.5706070069208</v>
      </c>
      <c r="O15" s="33"/>
      <c r="P15" s="33"/>
      <c r="R15" s="32"/>
    </row>
    <row r="16" spans="1:18">
      <c r="A16" s="16" t="s">
        <v>487</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28163.863677011548</v>
      </c>
      <c r="C18" s="21">
        <f>C5+C16</f>
        <v>0</v>
      </c>
      <c r="D18" s="21">
        <f>MAX((D5+D16),0)</f>
        <v>26374.458641614001</v>
      </c>
      <c r="E18" s="21">
        <f>MAX((E5+E16),0)</f>
        <v>1110.2052382212914</v>
      </c>
      <c r="F18" s="21">
        <f>MAX((F5+F16),0)</f>
        <v>4764.7872015802259</v>
      </c>
      <c r="G18" s="21"/>
      <c r="H18" s="21"/>
      <c r="I18" s="21"/>
      <c r="J18" s="21">
        <f>MAX((J5+J16),0)</f>
        <v>44.820921304552641</v>
      </c>
      <c r="K18" s="21"/>
      <c r="L18" s="21">
        <f>MAX((L5+L16),0)</f>
        <v>0</v>
      </c>
      <c r="M18" s="21"/>
      <c r="N18" s="21">
        <f>MAX((N5+N16),0)</f>
        <v>2072.9131512996837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0.20982673454178016</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5909.5315474271865</v>
      </c>
      <c r="C22" s="23">
        <f ca="1">C18*C20</f>
        <v>0</v>
      </c>
      <c r="D22" s="23">
        <f>D18*D20</f>
        <v>5327.6406456060286</v>
      </c>
      <c r="E22" s="23">
        <f>E18*E20</f>
        <v>252.01658907623317</v>
      </c>
      <c r="F22" s="23">
        <f>F18*F20</f>
        <v>1272.1981828219205</v>
      </c>
      <c r="G22" s="23"/>
      <c r="H22" s="23"/>
      <c r="I22" s="23"/>
      <c r="J22" s="23">
        <f>J18*J20</f>
        <v>15.866606141811634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1790.89078423615</v>
      </c>
      <c r="C30" s="39">
        <f>IF(ISERROR(B30*3.6/1000000/'E Balans VL '!Z18*100),0,B30*3.6/1000000/'E Balans VL '!Z18*100)</f>
        <v>0.10149437288698188</v>
      </c>
      <c r="D30" s="237" t="s">
        <v>744</v>
      </c>
    </row>
    <row r="31" spans="1:18">
      <c r="A31" s="6" t="s">
        <v>32</v>
      </c>
      <c r="B31" s="37">
        <f>IF( ISERROR(IND_ander_ele_kWh/1000),0,IND_ander_ele_kWh/1000)</f>
        <v>1274.22690932103</v>
      </c>
      <c r="C31" s="39">
        <f>IF(ISERROR(B31*3.6/1000000/'E Balans VL '!Z19*100),0,B31*3.6/1000000/'E Balans VL '!Z19*100)</f>
        <v>5.7793626818297132E-2</v>
      </c>
      <c r="D31" s="237" t="s">
        <v>744</v>
      </c>
    </row>
    <row r="32" spans="1:18">
      <c r="A32" s="171" t="s">
        <v>40</v>
      </c>
      <c r="B32" s="37">
        <f>IF( ISERROR(IND_voed_ele_kWh/1000),0,IND_voed_ele_kWh/1000)</f>
        <v>11852.605841603599</v>
      </c>
      <c r="C32" s="39">
        <f>IF(ISERROR(B32*3.6/1000000/'E Balans VL '!Z20*100),0,B32*3.6/1000000/'E Balans VL '!Z20*100)</f>
        <v>0.36665490496815983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1342.5083154814699</v>
      </c>
      <c r="C34" s="39">
        <f>IF(ISERROR(B34*3.6/1000000/'E Balans VL '!Z22*100),0,B34*3.6/1000000/'E Balans VL '!Z22*100)</f>
        <v>0.24147536017806834</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11903.631826369301</v>
      </c>
      <c r="C37" s="39">
        <f>IF(ISERROR(B37*3.6/1000000/'E Balans VL '!Z15*100),0,B37*3.6/1000000/'E Balans VL '!Z15*100)</f>
        <v>9.4350901274201551E-2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10591.637607017394</v>
      </c>
      <c r="C5" s="17">
        <f>'Eigen informatie GS &amp; warmtenet'!B60</f>
        <v>0</v>
      </c>
      <c r="D5" s="30">
        <f>IF(ISERROR(SUM(LB_lb_gas_kWh,LB_rest_gas_kWh)/1000),0,SUM(LB_lb_gas_kWh,LB_rest_gas_kWh)/1000)*0.902</f>
        <v>163717.44560414873</v>
      </c>
      <c r="E5" s="17">
        <f>B17*'E Balans VL '!I25/3.6*1000000/100</f>
        <v>311.32057986544726</v>
      </c>
      <c r="F5" s="17">
        <f>B17*('E Balans VL '!L25/3.6*1000000+'E Balans VL '!N25/3.6*1000000)/100</f>
        <v>44124.18992877908</v>
      </c>
      <c r="G5" s="18"/>
      <c r="H5" s="17"/>
      <c r="I5" s="17"/>
      <c r="J5" s="17">
        <f>('E Balans VL '!D25+'E Balans VL '!E25)/3.6*1000000*landbouw!B17/100</f>
        <v>1534.5008312355235</v>
      </c>
      <c r="K5" s="17"/>
      <c r="L5" s="17">
        <f>L6*(-1)</f>
        <v>0</v>
      </c>
      <c r="M5" s="17"/>
      <c r="N5" s="17">
        <f>N6*(-1)</f>
        <v>124.71428571428569</v>
      </c>
      <c r="O5" s="17"/>
      <c r="P5" s="17"/>
      <c r="R5" s="32"/>
    </row>
    <row r="6" spans="1:18">
      <c r="A6" s="16" t="s">
        <v>487</v>
      </c>
      <c r="B6" s="17" t="s">
        <v>210</v>
      </c>
      <c r="C6" s="17">
        <f>'lokale energieproductie'!O43+'lokale energieproductie'!O36</f>
        <v>82579.5</v>
      </c>
      <c r="D6" s="308">
        <f>('lokale energieproductie'!P36+'lokale energieproductie'!P43)*(-1)</f>
        <v>-165034.28571428571</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10591.637607017394</v>
      </c>
      <c r="C8" s="21">
        <f>C5+C6</f>
        <v>82579.5</v>
      </c>
      <c r="D8" s="21">
        <f>MAX((D5+D6),0)</f>
        <v>0</v>
      </c>
      <c r="E8" s="21">
        <f>MAX((E5+E6),0)</f>
        <v>311.32057986544726</v>
      </c>
      <c r="F8" s="21">
        <f>MAX((F5+F6),0)</f>
        <v>44124.18992877908</v>
      </c>
      <c r="G8" s="21"/>
      <c r="H8" s="21"/>
      <c r="I8" s="21"/>
      <c r="J8" s="21">
        <f>MAX((J5+J6),0)</f>
        <v>1534.5008312355235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0.20982673454178016</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2222.4087325303744</v>
      </c>
      <c r="C12" s="23">
        <f ca="1">C8*C10</f>
        <v>19609.956302521012</v>
      </c>
      <c r="D12" s="23">
        <f>D8*D10</f>
        <v>0</v>
      </c>
      <c r="E12" s="23">
        <f>E8*E10</f>
        <v>70.669771629456534</v>
      </c>
      <c r="F12" s="23">
        <f>F8*F10</f>
        <v>11781.158710984015</v>
      </c>
      <c r="G12" s="23"/>
      <c r="H12" s="23"/>
      <c r="I12" s="23"/>
      <c r="J12" s="23">
        <f>J8*J10</f>
        <v>543.21329425737531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1.502986606685341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1194.9503332186648</v>
      </c>
      <c r="C26" s="247">
        <f>B26*'GWP N2O_CH4'!B5</f>
        <v>25093.956997591962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687.93461794583425</v>
      </c>
      <c r="C27" s="247">
        <f>B27*'GWP N2O_CH4'!B5</f>
        <v>14446.626976862519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31.876043903846831</v>
      </c>
      <c r="C28" s="247">
        <f>B28*'GWP N2O_CH4'!B4</f>
        <v>9881.5736101925177</v>
      </c>
      <c r="D28" s="50"/>
    </row>
    <row r="29" spans="1:4">
      <c r="A29" s="41" t="s">
        <v>276</v>
      </c>
      <c r="B29" s="247">
        <f>B34*'ha_N2O bodem landbouw'!B4</f>
        <v>32.658333862219528</v>
      </c>
      <c r="C29" s="247">
        <f>B29*'GWP N2O_CH4'!B4</f>
        <v>10124.083497288053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7.4525192417331815E-3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9.1992641404735798E-5</v>
      </c>
      <c r="C5" s="437" t="s">
        <v>210</v>
      </c>
      <c r="D5" s="422">
        <f>SUM(D6:D11)</f>
        <v>2.6323805253980145E-4</v>
      </c>
      <c r="E5" s="422">
        <f>SUM(E6:E11)</f>
        <v>4.4445194379296262E-4</v>
      </c>
      <c r="F5" s="435" t="s">
        <v>210</v>
      </c>
      <c r="G5" s="422">
        <f>SUM(G6:G11)</f>
        <v>0.19303900304793803</v>
      </c>
      <c r="H5" s="422">
        <f>SUM(H6:H11)</f>
        <v>4.4403617173822206E-2</v>
      </c>
      <c r="I5" s="437" t="s">
        <v>210</v>
      </c>
      <c r="J5" s="437" t="s">
        <v>210</v>
      </c>
      <c r="K5" s="437" t="s">
        <v>210</v>
      </c>
      <c r="L5" s="437" t="s">
        <v>210</v>
      </c>
      <c r="M5" s="422">
        <f>SUM(M6:M11)</f>
        <v>1.2585649192237751E-2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7.1380372377039507E-5</v>
      </c>
      <c r="C6" s="423"/>
      <c r="D6" s="865">
        <f>vkm_GW_PW*SUMIFS(TableVerdeelsleutelVkm[CNG],TableVerdeelsleutelVkm[Voertuigtype],"Lichte voertuigen")*SUMIFS(TableECFTransport[EnergieConsumptieFactor (PJ per km)],TableECFTransport[Index],CONCATENATE($A6,"_CNG_CNG"))</f>
        <v>1.7689799158687809E-4</v>
      </c>
      <c r="E6" s="865">
        <f>vkm_GW_PW*SUMIFS(TableVerdeelsleutelVkm[LPG],TableVerdeelsleutelVkm[Voertuigtype],"Lichte voertuigen")*SUMIFS(TableECFTransport[EnergieConsumptieFactor (PJ per km)],TableECFTransport[Index],CONCATENATE($A6,"_LPG_LPG"))</f>
        <v>3.0368967768215833E-4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9.3054927410592958E-2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3.0055707747858925E-2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6.3216414657295021E-3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5.2080951728640586E-2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8.7121958842465269E-7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3.0428585626569786E-3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2.0612269027696298E-5</v>
      </c>
      <c r="C8" s="423"/>
      <c r="D8" s="425">
        <f>vkm_NGW_PW*SUMIFS(TableVerdeelsleutelVkm[CNG],TableVerdeelsleutelVkm[Voertuigtype],"Lichte voertuigen")*SUMIFS(TableECFTransport[EnergieConsumptieFactor (PJ per km)],TableECFTransport[Index],CONCATENATE($A8,"_CNG_CNG"))</f>
        <v>8.6340060952923335E-5</v>
      </c>
      <c r="E8" s="425">
        <f>vkm_NGW_PW*SUMIFS(TableVerdeelsleutelVkm[LPG],TableVerdeelsleutelVkm[Voertuigtype],"Lichte voertuigen")*SUMIFS(TableECFTransport[EnergieConsumptieFactor (PJ per km)],TableECFTransport[Index],CONCATENATE($A8,"_LPG_LPG"))</f>
        <v>1.4076226611080427E-4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4.0571025942588976E-2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1.4346887114258657E-2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2.7927664260919039E-3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7.332097966115495E-3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1.5109211620018002E-7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4.283827377593665E-4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25.553511501315498</v>
      </c>
      <c r="C14" s="21"/>
      <c r="D14" s="21">
        <f t="shared" ref="D14:M14" si="0">((D5)*10^9/3600)+D12</f>
        <v>73.121681261055954</v>
      </c>
      <c r="E14" s="21">
        <f t="shared" si="0"/>
        <v>123.45887327582295</v>
      </c>
      <c r="F14" s="21"/>
      <c r="G14" s="21">
        <f t="shared" si="0"/>
        <v>53621.945291093893</v>
      </c>
      <c r="H14" s="21">
        <f t="shared" si="0"/>
        <v>12334.338103839502</v>
      </c>
      <c r="I14" s="21"/>
      <c r="J14" s="21"/>
      <c r="K14" s="21"/>
      <c r="L14" s="21"/>
      <c r="M14" s="21">
        <f t="shared" si="0"/>
        <v>3496.0136645104867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0.20982673454178016</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5.3618098743968536</v>
      </c>
      <c r="C18" s="23"/>
      <c r="D18" s="23">
        <f t="shared" ref="D18:M18" si="1">D14*D16</f>
        <v>14.770579614733304</v>
      </c>
      <c r="E18" s="23">
        <f t="shared" si="1"/>
        <v>28.025164233611811</v>
      </c>
      <c r="F18" s="23"/>
      <c r="G18" s="23">
        <f t="shared" si="1"/>
        <v>14317.059392722071</v>
      </c>
      <c r="H18" s="23">
        <f t="shared" si="1"/>
        <v>3071.2501878560361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4.8054834235865609E-3</v>
      </c>
      <c r="H50" s="319">
        <f t="shared" si="2"/>
        <v>0</v>
      </c>
      <c r="I50" s="319">
        <f t="shared" si="2"/>
        <v>0</v>
      </c>
      <c r="J50" s="319">
        <f t="shared" si="2"/>
        <v>0</v>
      </c>
      <c r="K50" s="319">
        <f t="shared" si="2"/>
        <v>0</v>
      </c>
      <c r="L50" s="319">
        <f t="shared" si="2"/>
        <v>0</v>
      </c>
      <c r="M50" s="319">
        <f t="shared" si="2"/>
        <v>2.7290962736867865E-4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4.8054834235865609E-3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2.7290962736867865E-4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1334.8565065518226</v>
      </c>
      <c r="H54" s="21">
        <f t="shared" si="3"/>
        <v>0</v>
      </c>
      <c r="I54" s="21">
        <f t="shared" si="3"/>
        <v>0</v>
      </c>
      <c r="J54" s="21">
        <f t="shared" si="3"/>
        <v>0</v>
      </c>
      <c r="K54" s="21">
        <f t="shared" si="3"/>
        <v>0</v>
      </c>
      <c r="L54" s="21">
        <f t="shared" si="3"/>
        <v>0</v>
      </c>
      <c r="M54" s="21">
        <f t="shared" si="3"/>
        <v>75.808229824632946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0.20982673454178016</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356.40668724933664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8428.3874382525919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57805.65</v>
      </c>
      <c r="C8" s="544">
        <f>B52</f>
        <v>67955.294117647063</v>
      </c>
      <c r="D8" s="1010"/>
      <c r="E8" s="1010">
        <f>E52</f>
        <v>0</v>
      </c>
      <c r="F8" s="1011"/>
      <c r="G8" s="545"/>
      <c r="H8" s="1010">
        <f>I52</f>
        <v>0</v>
      </c>
      <c r="I8" s="1010">
        <f>G52+F52</f>
        <v>0</v>
      </c>
      <c r="J8" s="1010">
        <f>H52+D52+C52</f>
        <v>51.352941176470587</v>
      </c>
      <c r="K8" s="1010"/>
      <c r="L8" s="1010"/>
      <c r="M8" s="1010"/>
      <c r="N8" s="546"/>
      <c r="O8" s="547">
        <f>C8*$C$12+D8*$D$12+E8*$E$12+F8*$F$12+G8*$G$12+H8*$H$12+I8*$I$12+J8*$J$12</f>
        <v>13726.969411764707</v>
      </c>
      <c r="P8" s="1250"/>
      <c r="Q8" s="1251"/>
      <c r="S8" s="973"/>
      <c r="T8" s="1225"/>
      <c r="U8" s="1225"/>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66234.037438252592</v>
      </c>
      <c r="C10" s="557">
        <f t="shared" ref="C10:L10" si="0">SUM(C8:C9)</f>
        <v>67955.294117647063</v>
      </c>
      <c r="D10" s="557">
        <f t="shared" si="0"/>
        <v>0</v>
      </c>
      <c r="E10" s="557">
        <f t="shared" si="0"/>
        <v>0</v>
      </c>
      <c r="F10" s="557">
        <f t="shared" si="0"/>
        <v>0</v>
      </c>
      <c r="G10" s="557">
        <f t="shared" si="0"/>
        <v>0</v>
      </c>
      <c r="H10" s="557">
        <f t="shared" si="0"/>
        <v>0</v>
      </c>
      <c r="I10" s="557">
        <f t="shared" si="0"/>
        <v>0</v>
      </c>
      <c r="J10" s="557">
        <f t="shared" si="0"/>
        <v>51.352941176470587</v>
      </c>
      <c r="K10" s="557">
        <f t="shared" si="0"/>
        <v>0</v>
      </c>
      <c r="L10" s="557">
        <f t="shared" si="0"/>
        <v>0</v>
      </c>
      <c r="M10" s="1013"/>
      <c r="N10" s="1013"/>
      <c r="O10" s="558">
        <f>SUM(O4:O9)</f>
        <v>13726.969411764707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82579.5</v>
      </c>
      <c r="C17" s="569">
        <f>B53</f>
        <v>97078.991596638662</v>
      </c>
      <c r="D17" s="570"/>
      <c r="E17" s="570">
        <f>E53</f>
        <v>0</v>
      </c>
      <c r="F17" s="1016"/>
      <c r="G17" s="571"/>
      <c r="H17" s="569">
        <f>I53</f>
        <v>0</v>
      </c>
      <c r="I17" s="570">
        <f>G53+F53</f>
        <v>0</v>
      </c>
      <c r="J17" s="570">
        <f>H53+D53+C53</f>
        <v>73.361344537815114</v>
      </c>
      <c r="K17" s="570"/>
      <c r="L17" s="570"/>
      <c r="M17" s="570"/>
      <c r="N17" s="1017"/>
      <c r="O17" s="572">
        <f>C17*$C$22+E17*$E$22+H17*$H$22+I17*$I$22+J17*$J$22+D17*$D$22+F17*$F$22+G17*$G$22+K17*$K$22+L17*$L$22</f>
        <v>19609.956302521012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82579.5</v>
      </c>
      <c r="C20" s="556">
        <f>SUM(C17:C19)</f>
        <v>97078.991596638662</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19609.956302521012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13035</v>
      </c>
      <c r="C28" s="770">
        <v>2381</v>
      </c>
      <c r="D28" s="627" t="s">
        <v>887</v>
      </c>
      <c r="E28" s="626" t="s">
        <v>888</v>
      </c>
      <c r="F28" s="626" t="s">
        <v>889</v>
      </c>
      <c r="G28" s="626" t="s">
        <v>890</v>
      </c>
      <c r="H28" s="626" t="s">
        <v>891</v>
      </c>
      <c r="I28" s="626" t="s">
        <v>888</v>
      </c>
      <c r="J28" s="769">
        <v>40388</v>
      </c>
      <c r="K28" s="769">
        <v>39083</v>
      </c>
      <c r="L28" s="626" t="s">
        <v>892</v>
      </c>
      <c r="M28" s="626">
        <v>5024</v>
      </c>
      <c r="N28" s="626">
        <v>22608</v>
      </c>
      <c r="O28" s="626">
        <v>32297.142857142859</v>
      </c>
      <c r="P28" s="626">
        <v>64594.285714285717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13035</v>
      </c>
      <c r="C29" s="770">
        <v>2382</v>
      </c>
      <c r="D29" s="627" t="s">
        <v>893</v>
      </c>
      <c r="E29" s="626" t="s">
        <v>894</v>
      </c>
      <c r="F29" s="626" t="s">
        <v>895</v>
      </c>
      <c r="G29" s="626" t="s">
        <v>890</v>
      </c>
      <c r="H29" s="626" t="s">
        <v>891</v>
      </c>
      <c r="I29" s="626" t="s">
        <v>894</v>
      </c>
      <c r="J29" s="769">
        <v>40162</v>
      </c>
      <c r="K29" s="769">
        <v>40163</v>
      </c>
      <c r="L29" s="626" t="s">
        <v>892</v>
      </c>
      <c r="M29" s="626">
        <v>2014</v>
      </c>
      <c r="N29" s="626">
        <v>9062.9999999999982</v>
      </c>
      <c r="O29" s="626">
        <v>12947.142857142855</v>
      </c>
      <c r="P29" s="626">
        <v>25894.28571428571</v>
      </c>
      <c r="Q29" s="626">
        <v>0</v>
      </c>
      <c r="R29" s="626">
        <v>0</v>
      </c>
      <c r="S29" s="626">
        <v>0</v>
      </c>
      <c r="T29" s="626">
        <v>0</v>
      </c>
      <c r="U29" s="626">
        <v>0</v>
      </c>
      <c r="V29" s="626">
        <v>0</v>
      </c>
      <c r="W29" s="626">
        <v>0</v>
      </c>
      <c r="X29" s="626">
        <v>10</v>
      </c>
      <c r="Y29" s="626" t="s">
        <v>111</v>
      </c>
      <c r="Z29" s="628" t="s">
        <v>111</v>
      </c>
    </row>
    <row r="30" spans="1:26" s="580" customFormat="1" ht="25.5">
      <c r="A30" s="579"/>
      <c r="B30" s="770">
        <v>13035</v>
      </c>
      <c r="C30" s="770">
        <v>2380</v>
      </c>
      <c r="D30" s="627" t="s">
        <v>896</v>
      </c>
      <c r="E30" s="626" t="s">
        <v>897</v>
      </c>
      <c r="F30" s="626" t="s">
        <v>898</v>
      </c>
      <c r="G30" s="626" t="s">
        <v>890</v>
      </c>
      <c r="H30" s="626" t="s">
        <v>891</v>
      </c>
      <c r="I30" s="626" t="s">
        <v>899</v>
      </c>
      <c r="J30" s="769">
        <v>41292</v>
      </c>
      <c r="K30" s="769">
        <v>41292</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13035</v>
      </c>
      <c r="C31" s="770">
        <v>2381</v>
      </c>
      <c r="D31" s="627" t="s">
        <v>887</v>
      </c>
      <c r="E31" s="626" t="s">
        <v>888</v>
      </c>
      <c r="F31" s="626" t="s">
        <v>900</v>
      </c>
      <c r="G31" s="626" t="s">
        <v>890</v>
      </c>
      <c r="H31" s="626" t="s">
        <v>891</v>
      </c>
      <c r="I31" s="626" t="s">
        <v>901</v>
      </c>
      <c r="J31" s="769">
        <v>41953</v>
      </c>
      <c r="K31" s="769">
        <v>41953</v>
      </c>
      <c r="L31" s="626" t="s">
        <v>892</v>
      </c>
      <c r="M31" s="626">
        <v>2678</v>
      </c>
      <c r="N31" s="626">
        <v>12051</v>
      </c>
      <c r="O31" s="626">
        <v>17215.714285714286</v>
      </c>
      <c r="P31" s="626">
        <v>34431.428571428572</v>
      </c>
      <c r="Q31" s="626">
        <v>0</v>
      </c>
      <c r="R31" s="626">
        <v>0</v>
      </c>
      <c r="S31" s="626">
        <v>0</v>
      </c>
      <c r="T31" s="626">
        <v>0</v>
      </c>
      <c r="U31" s="626">
        <v>0</v>
      </c>
      <c r="V31" s="626">
        <v>0</v>
      </c>
      <c r="W31" s="626">
        <v>0</v>
      </c>
      <c r="X31" s="626">
        <v>10</v>
      </c>
      <c r="Y31" s="626" t="s">
        <v>111</v>
      </c>
      <c r="Z31" s="628" t="s">
        <v>111</v>
      </c>
    </row>
    <row r="32" spans="1:26" s="580" customFormat="1" ht="25.5">
      <c r="A32" s="579"/>
      <c r="B32" s="770">
        <v>13035</v>
      </c>
      <c r="C32" s="770">
        <v>2381</v>
      </c>
      <c r="D32" s="627" t="s">
        <v>902</v>
      </c>
      <c r="E32" s="626" t="s">
        <v>903</v>
      </c>
      <c r="F32" s="626" t="s">
        <v>904</v>
      </c>
      <c r="G32" s="626" t="s">
        <v>890</v>
      </c>
      <c r="H32" s="626" t="s">
        <v>891</v>
      </c>
      <c r="I32" s="626" t="s">
        <v>903</v>
      </c>
      <c r="J32" s="769">
        <v>41981</v>
      </c>
      <c r="K32" s="769">
        <v>41981</v>
      </c>
      <c r="L32" s="626" t="s">
        <v>892</v>
      </c>
      <c r="M32" s="626">
        <v>3120</v>
      </c>
      <c r="N32" s="626">
        <v>14040</v>
      </c>
      <c r="O32" s="626">
        <v>20057.142857142859</v>
      </c>
      <c r="P32" s="626">
        <v>40114.285714285717</v>
      </c>
      <c r="Q32" s="626">
        <v>0</v>
      </c>
      <c r="R32" s="626">
        <v>0</v>
      </c>
      <c r="S32" s="626">
        <v>0</v>
      </c>
      <c r="T32" s="626">
        <v>0</v>
      </c>
      <c r="U32" s="626">
        <v>0</v>
      </c>
      <c r="V32" s="626">
        <v>0</v>
      </c>
      <c r="W32" s="626">
        <v>0</v>
      </c>
      <c r="X32" s="626">
        <v>10</v>
      </c>
      <c r="Y32" s="626" t="s">
        <v>111</v>
      </c>
      <c r="Z32" s="628" t="s">
        <v>111</v>
      </c>
    </row>
    <row r="33" spans="1:27" s="564" customFormat="1">
      <c r="A33" s="582" t="s">
        <v>279</v>
      </c>
      <c r="B33" s="583"/>
      <c r="C33" s="583"/>
      <c r="D33" s="583"/>
      <c r="E33" s="583"/>
      <c r="F33" s="583"/>
      <c r="G33" s="583"/>
      <c r="H33" s="583"/>
      <c r="I33" s="583"/>
      <c r="J33" s="583"/>
      <c r="K33" s="583"/>
      <c r="L33" s="584"/>
      <c r="M33" s="584">
        <f>SUM(M28:M32)</f>
        <v>12845.7</v>
      </c>
      <c r="N33" s="584">
        <f>SUM(N28:N32)</f>
        <v>57805.65</v>
      </c>
      <c r="O33" s="584">
        <f>SUM(O28:O32)</f>
        <v>82579.5</v>
      </c>
      <c r="P33" s="584">
        <f>SUM(P28:P32)</f>
        <v>165034.28571428571</v>
      </c>
      <c r="Q33" s="584">
        <f>SUM(Q28:Q32)</f>
        <v>124.71428571428569</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0</v>
      </c>
      <c r="N35" s="584">
        <f ca="1">SUMIF($Z$28:AD32,"tertiair",N28:N32)</f>
        <v>0</v>
      </c>
      <c r="O35" s="584">
        <f ca="1">SUMIF($Z$28:AE32,"tertiair",O28:O32)</f>
        <v>0</v>
      </c>
      <c r="P35" s="584">
        <f ca="1">SUMIF($Z$28:AF32,"tertiair",P28:P32)</f>
        <v>0</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12845.7</v>
      </c>
      <c r="N36" s="589">
        <f>SUMIF($Z$28:$Z$32,"landbouw",N28:N32)</f>
        <v>57805.65</v>
      </c>
      <c r="O36" s="589">
        <f>SUMIF($Z$28:$Z$32,"landbouw",O28:O32)</f>
        <v>82579.5</v>
      </c>
      <c r="P36" s="589">
        <f>SUMIF($Z$28:$Z$32,"landbouw",P28:P32)</f>
        <v>165034.28571428571</v>
      </c>
      <c r="Q36" s="589">
        <f>SUMIF($Z$28:$Z$32,"landbouw",Q28:Q32)</f>
        <v>124.71428571428569</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0.58823529411764708</v>
      </c>
      <c r="C49" s="609">
        <f>IF(ISERROR(N33/(O33+N33)),0,N33/(N33+O33))</f>
        <v>0.41176470588235298</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67955.294117647063</v>
      </c>
      <c r="C52" s="618">
        <f t="shared" si="2"/>
        <v>51.352941176470587</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97078.991596638662</v>
      </c>
      <c r="C53" s="621">
        <f t="shared" si="3"/>
        <v>73.361344537815114</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2020-06-20T15:40:44Z</dcterms:modified>
</cp:coreProperties>
</file>