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F50" i="18"/>
  <c r="I8" i="18"/>
  <c r="O8" i="18" s="1"/>
  <c r="O10" i="18" s="1"/>
  <c r="E50" i="18"/>
  <c r="E17" i="18" s="1"/>
  <c r="E20" i="18" s="1"/>
  <c r="G50" i="18"/>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F63" i="14" s="1"/>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<sst xmlns="http://schemas.openxmlformats.org/spreadsheetml/2006/main" count="2416" uniqueCount="897">
  <si>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</si>
  <si>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</si>
  <si>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</si>
  <si>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</si>
  <si>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</si>
  <si>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</si>
  <si>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</si>
  <si>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</si>
  <si>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</si>
  <si>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</si>
  <si>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</si>
  <si>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</si>
  <si>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</si>
  <si>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</si>
  <si>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</si>
  <si>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</si>
  <si>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</si>
  <si>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</si>
  <si>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</si>
  <si>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</si>
  <si>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</si>
  <si>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</si>
  <si>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</si>
  <si>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</si>
  <si>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</si>
  <si>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</si>
  <si>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</si>
  <si>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</si>
  <si>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</si>
  <si>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</si>
  <si>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</si>
  <si>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</si>
  <si>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</si>
  <si>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</si>
  <si>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</si>
  <si>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</si>
  <si>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</si>
  <si>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</si>
  <si>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</si>
  <si>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</si>
  <si>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</si>
  <si>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</si>
  <si>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</si>
  <si>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</si>
  <si>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</si>
  <si>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</si>
  <si>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</si>
  <si>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</si>
  <si>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</si>
  <si>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</si>
  <si>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</si>
  <si>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</si>
  <si>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</si>
  <si>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</si>
  <si>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</si>
  <si>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</si>
  <si>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</si>
  <si>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</si>
  <si>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</si>
  <si>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</si>
  <si>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</si>
  <si>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</si>
  <si>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</si>
  <si>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</si>
  <si>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</si>
  <si>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</si>
  <si>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</si>
  <si>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</si>
  <si>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</si>
  <si>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</si>
  <si>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</si>
  <si>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</si>
  <si>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</si>
  <si>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</si>
  <si>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</si>
  <si>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</si>
  <si>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</si>
  <si>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</si>
  <si>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</si>
  <si>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</si>
  <si>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</si>
  <si>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</si>
  <si>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</si>
  <si>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</si>
  <si>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</si>
  <si>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</si>
  <si>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</si>
  <si>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</si>
  <si>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</si>
  <si>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</si>
  <si>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</si>
  <si>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</si>
  <si>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</si>
  <si>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</si>
  <si>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</si>
  <si>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</si>
  <si>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</si>
  <si>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</si>
  <si>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</si>
  <si>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</si>
  <si>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</si>
  <si>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</si>
  <si>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</si>
  <si>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</si>
  <si>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</si>
  <si>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</si>
  <si>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</si>
  <si>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</si>
  <si>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</si>
  <si>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</si>
  <si>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</si>
  <si>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</si>
  <si>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</si>
  <si>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</si>
  <si>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</si>
  <si>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</si>
  <si>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</si>
  <si>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</si>
  <si>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</si>
  <si>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</si>
  <si>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</si>
  <si>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</si>
  <si>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</si>
  <si>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</si>
  <si>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</si>
  <si>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</si>
  <si>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</si>
  <si>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</si>
  <si>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</si>
  <si>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</si>
  <si>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</si>
  <si>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</si>
  <si>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</si>
  <si>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</si>
  <si>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</si>
  <si>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</si>
  <si>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</si>
  <si>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</si>
  <si>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</si>
  <si>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</si>
  <si>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</si>
  <si>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</si>
  <si>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</si>
  <si>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</si>
  <si>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</si>
  <si>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</si>
  <si>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</si>
  <si>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</si>
  <si>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</si>
  <si>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</si>
  <si>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</si>
  <si>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</si>
  <si>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</si>
  <si>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</si>
  <si>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</si>
  <si>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</si>
  <si>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</si>
  <si>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</si>
  <si>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</si>
  <si>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</si>
  <si>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</si>
  <si>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</si>
  <si>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</si>
  <si>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</si>
  <si>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</si>
  <si>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</si>
  <si>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</si>
  <si>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</si>
  <si>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</si>
  <si>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</si>
  <si>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</si>
  <si>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</si>
  <si>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</si>
  <si>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</si>
  <si>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</si>
  <si>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</si>
  <si>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</si>
  <si>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</si>
  <si>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</si>
  <si>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</si>
  <si>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</si>
  <si>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</si>
  <si>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</si>
  <si>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</si>
  <si>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</si>
  <si>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</si>
  <si>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</si>
  <si>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</si>
  <si>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</si>
  <si>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</si>
  <si>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</si>
  <si>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</si>
  <si>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</si>
  <si>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</si>
  <si>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</si>
  <si>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</si>
  <si>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</si>
  <si>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</si>
  <si>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</si>
  <si>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</si>
  <si>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</si>
  <si>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</si>
  <si>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</si>
  <si>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</si>
  <si>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</si>
  <si>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</si>
  <si>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</si>
  <si>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</si>
  <si>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</si>
  <si>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</si>
  <si>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</si>
  <si>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</si>
  <si>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</si>
  <si>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</si>
  <si>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</si>
  <si>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</si>
  <si>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</si>
  <si>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</si>
  <si>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</si>
  <si>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</si>
  <si>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</si>
  <si>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</si>
  <si>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</si>
  <si>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</si>
  <si>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</si>
  <si>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</si>
  <si>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</si>
  <si>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</si>
  <si>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</si>
  <si>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</si>
  <si>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</si>
  <si>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</si>
  <si>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</si>
  <si>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</si>
  <si>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</si>
  <si>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</si>
  <si>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</si>
  <si>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</si>
  <si>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</si>
  <si>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</si>
  <si>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</si>
  <si>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</si>
  <si>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</si>
  <si>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</si>
  <si>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</si>
  <si>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</si>
  <si>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</si>
  <si>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</si>
  <si>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</si>
  <si>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</si>
  <si>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</si>
  <si>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</si>
  <si>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</si>
  <si>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</si>
  <si>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</si>
  <si>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</si>
  <si>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</si>
  <si>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</si>
  <si>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</si>
  <si>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</si>
  <si>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</si>
  <si>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</si>
  <si>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</si>
  <si>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</si>
  <si>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</si>
  <si>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</si>
  <si>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</si>
  <si>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</si>
  <si>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</si>
  <si>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</si>
  <si>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</si>
  <si>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</si>
  <si>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</si>
  <si>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</si>
  <si>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</si>
  <si>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</si>
  <si>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</si>
  <si>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</si>
  <si>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</si>
  <si>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</si>
  <si>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</si>
  <si>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</si>
  <si>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</si>
  <si>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</si>
  <si>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</si>
  <si>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</si>
  <si>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</si>
  <si>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</si>
  <si>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</si>
  <si>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</si>
  <si>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</si>
  <si>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</si>
  <si>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</si>
  <si>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</si>
  <si>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</si>
  <si>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</si>
  <si>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</si>
  <si>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</si>
  <si>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</si>
  <si>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</si>
  <si>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</si>
  <si>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</si>
  <si>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</si>
  <si>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</si>
  <si>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</si>
  <si>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</si>
  <si>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</si>
  <si>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</si>
  <si>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</si>
  <si>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</si>
  <si>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</si>
  <si>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</si>
  <si>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</si>
  <si>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</si>
  <si>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</si>
  <si>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</si>
  <si>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</si>
  <si>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</si>
  <si>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</si>
  <si>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</si>
  <si>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</si>
  <si>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</si>
  <si>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</si>
  <si>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</si>
  <si>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</si>
  <si>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</si>
  <si>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</si>
  <si>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</si>
  <si>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</si>
  <si>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</si>
  <si>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</si>
  <si>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</si>
  <si>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</si>
  <si>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</si>
  <si>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</si>
  <si>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</si>
  <si>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</si>
  <si>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</si>
  <si>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</si>
  <si>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</si>
  <si>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</si>
  <si>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</si>
  <si>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</si>
  <si>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</si>
  <si>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</si>
  <si>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</si>
  <si>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</si>
  <si>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</si>
  <si>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</si>
  <si>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</si>
  <si>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</si>
  <si>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</si>
  <si>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</si>
  <si>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</si>
  <si>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</si>
  <si>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</si>
  <si>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</si>
  <si>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</si>
  <si>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</si>
  <si>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</si>
  <si>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</si>
  <si>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</si>
  <si>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</si>
  <si>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</si>
  <si>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</si>
  <si>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</si>
  <si>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</si>
  <si>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</si>
  <si>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</si>
  <si>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</si>
  <si>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</si>
  <si>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</si>
  <si>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</si>
  <si>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</si>
  <si>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</si>
  <si>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</si>
  <si>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</si>
  <si>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</si>
  <si>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</si>
  <si>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</si>
  <si>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</si>
  <si>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</si>
  <si>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</si>
  <si>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</si>
  <si>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</si>
  <si>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</si>
  <si>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</si>
  <si>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</si>
  <si>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</si>
  <si>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</si>
  <si>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</si>
  <si>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</si>
  <si>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</si>
  <si>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</si>
  <si>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</si>
  <si>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</si>
  <si>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</si>
  <si>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</si>
  <si>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</si>
  <si>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</si>
  <si>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</si>
  <si>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</si>
  <si>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</si>
  <si>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</si>
  <si>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</si>
  <si>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</si>
  <si>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</si>
  <si>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</si>
  <si>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</si>
  <si>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</si>
  <si>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</si>
  <si>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</si>
  <si>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</si>
  <si>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</si>
  <si>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</si>
  <si>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</si>
  <si>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</si>
  <si>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</si>
  <si>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</si>
  <si>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</si>
  <si>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</si>
  <si>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</si>
  <si>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</si>
  <si>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</si>
  <si>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</si>
  <si>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</si>
  <si>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</si>
  <si>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</si>
  <si>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</si>
  <si>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</si>
  <si>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</si>
  <si>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</si>
  <si>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</si>
  <si>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</si>
  <si>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</si>
  <si>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</si>
  <si>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</si>
  <si>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</si>
  <si>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</si>
  <si>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</si>
  <si>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</si>
  <si>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</si>
  <si>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</si>
  <si>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</si>
  <si>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</si>
  <si>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</si>
  <si>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</si>
  <si>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</si>
  <si>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</si>
  <si>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</si>
  <si>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</si>
  <si>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</si>
  <si>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</si>
  <si>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</si>
  <si>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</si>
  <si>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</si>
  <si>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</si>
  <si>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</si>
  <si>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</si>
  <si>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</si>
  <si>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</si>
  <si>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</si>
  <si>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</si>
  <si>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</si>
  <si>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</si>
  <si>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</si>
  <si>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</si>
  <si>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</si>
  <si>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</si>
  <si>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</si>
  <si>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</si>
  <si>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</si>
  <si>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</si>
  <si>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</si>
  <si>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</si>
  <si>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</si>
  <si>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</si>
  <si>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</si>
  <si>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</si>
  <si>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</si>
  <si>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</si>
  <si>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</si>
  <si>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</si>
  <si>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</si>
  <si>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</si>
  <si>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</si>
  <si>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</si>
  <si>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</si>
  <si>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</si>
  <si>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</si>
  <si>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</si>
  <si>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</si>
  <si>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</si>
  <si>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</si>
  <si>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</si>
  <si>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</si>
  <si>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</si>
  <si>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</si>
  <si>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</si>
  <si>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</si>
  <si>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</si>
  <si>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</si>
  <si>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</si>
  <si>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</si>
  <si>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</si>
  <si>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</si>
  <si>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</si>
  <si>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</si>
  <si>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</si>
  <si>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</si>
  <si>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</si>
  <si>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</si>
  <si>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</si>
  <si>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</si>
  <si>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</si>
  <si>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</si>
  <si>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</si>
  <si>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</si>
  <si>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</si>
  <si>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</si>
  <si>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</si>
  <si>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</si>
  <si>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</si>
  <si>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</si>
  <si>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</si>
  <si>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</si>
  <si>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</si>
  <si>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</si>
  <si>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</si>
  <si>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</si>
  <si>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</si>
  <si>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</si>
  <si>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</si>
  <si>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</si>
  <si>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</si>
  <si>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</si>
  <si>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</si>
  <si>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</si>
  <si>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</si>
  <si>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</si>
  <si>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</si>
  <si>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</si>
  <si>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</si>
  <si>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</si>
  <si>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</si>
  <si>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</si>
  <si>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</si>
  <si>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</si>
  <si>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</si>
  <si>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</si>
  <si>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</si>
  <si>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</si>
  <si>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</si>
  <si>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</si>
  <si>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</si>
  <si>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</si>
  <si>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</si>
  <si>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</si>
  <si>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</si>
  <si>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</si>
  <si>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</si>
  <si>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</si>
  <si>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</si>
  <si>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</si>
  <si>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</si>
  <si>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</si>
  <si>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</si>
  <si>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</si>
  <si>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</si>
  <si>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</si>
  <si>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</si>
  <si>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</si>
  <si>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</si>
  <si>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</si>
  <si>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</si>
  <si>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</si>
  <si>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</si>
  <si>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</si>
  <si>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</si>
  <si>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</si>
  <si>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</si>
  <si>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</si>
  <si>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</si>
  <si>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</si>
  <si>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</si>
  <si>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</si>
  <si>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</si>
  <si>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</si>
  <si>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</si>
  <si>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</si>
  <si>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</si>
  <si>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</si>
  <si>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</si>
  <si>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</si>
  <si>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</si>
  <si>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</si>
  <si>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</si>
  <si>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</si>
  <si>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</si>
  <si>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</si>
  <si>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</si>
  <si>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</si>
  <si>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</si>
  <si>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</si>
  <si>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</si>
  <si>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</si>
  <si>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</si>
  <si>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</si>
  <si>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</si>
  <si>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</si>
  <si>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</si>
  <si>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</si>
  <si>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</si>
  <si>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</si>
  <si>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</si>
  <si>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</si>
  <si>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</si>
  <si>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</si>
  <si>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</si>
  <si>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</si>
  <si>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</si>
  <si>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</si>
  <si>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</si>
  <si>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</si>
  <si>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</si>
  <si>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</si>
  <si>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</si>
  <si>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</si>
  <si>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</si>
  <si>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</si>
  <si>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</si>
  <si>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</si>
  <si>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</si>
  <si>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</si>
  <si>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</si>
  <si>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</si>
  <si>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</si>
  <si>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</si>
  <si>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</si>
  <si>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</si>
  <si>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</si>
  <si>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</si>
  <si>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</si>
  <si>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</si>
  <si>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</si>
  <si>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</si>
  <si>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</si>
  <si>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</si>
  <si>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</si>
  <si>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</si>
  <si>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</si>
  <si>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</si>
  <si>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</si>
  <si>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</si>
  <si>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</si>
  <si>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</si>
  <si>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</si>
  <si>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</si>
  <si>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</si>
  <si>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</si>
  <si>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</si>
  <si>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</si>
  <si>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</si>
  <si>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</si>
  <si>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</si>
  <si>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</si>
  <si>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</si>
  <si>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</si>
  <si>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</si>
  <si>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</si>
  <si>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</si>
  <si>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</si>
  <si>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</si>
  <si>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</si>
  <si>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</si>
  <si>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</si>
  <si>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</si>
  <si>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</si>
  <si>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</si>
  <si>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</si>
  <si>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</si>
  <si>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</si>
  <si>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</si>
  <si>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</si>
  <si>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</si>
  <si>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</si>
  <si>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</si>
  <si>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</si>
  <si>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</si>
  <si>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</si>
  <si>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</si>
  <si>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</si>
  <si>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</si>
  <si>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</si>
  <si>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</si>
  <si>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</si>
  <si>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</si>
  <si>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</si>
  <si>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</si>
  <si>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</si>
  <si>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</si>
  <si>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</si>
  <si>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</si>
  <si>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</si>
  <si>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</si>
  <si>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</si>
  <si>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</si>
  <si>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</si>
  <si>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</si>
  <si>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</si>
  <si>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</si>
  <si>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</si>
  <si>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</si>
  <si>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</si>
  <si>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</si>
  <si>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</si>
  <si>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</si>
  <si>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</si>
  <si>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</si>
  <si>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</si>
  <si>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</si>
  <si>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</si>
  <si>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</si>
  <si>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</si>
  <si>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</si>
  <si>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</si>
  <si>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</si>
  <si>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</si>
  <si>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</si>
  <si>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</si>
  <si>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</si>
  <si>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</si>
  <si>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</si>
  <si>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</si>
  <si>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</si>
  <si>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</si>
  <si>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</si>
  <si>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</si>
  <si>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</si>
  <si>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</si>
  <si>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</si>
  <si>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</si>
  <si>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</si>
  <si>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</si>
  <si>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</si>
  <si>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</si>
  <si>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</si>
  <si>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</si>
  <si>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</si>
  <si>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</si>
  <si>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</si>
  <si>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</si>
  <si>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</si>
  <si>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</si>
  <si>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</si>
  <si>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</si>
  <si>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</si>
  <si>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</si>
  <si>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</si>
  <si>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</si>
  <si>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</si>
  <si>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</si>
  <si>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</si>
  <si>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</si>
  <si>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</si>
  <si>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</si>
  <si>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</si>
  <si>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</si>
  <si>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</si>
  <si>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</si>
  <si>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</si>
  <si>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</si>
  <si>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</si>
  <si>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</si>
  <si>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</si>
  <si>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</si>
  <si>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</si>
  <si>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</si>
  <si>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</si>
  <si>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</si>
  <si>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</si>
  <si>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</si>
  <si>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</si>
  <si>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</si>
  <si>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</si>
  <si>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</si>
  <si>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</si>
  <si>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</si>
  <si>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</si>
  <si>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</si>
  <si>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</si>
  <si>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</si>
  <si>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</si>
  <si>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</si>
  <si>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</si>
  <si>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</si>
  <si>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</si>
  <si>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</si>
  <si>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</si>
  <si>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</si>
  <si>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</si>
  <si>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</si>
  <si>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</si>
  <si>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</si>
  <si>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</si>
  <si>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</si>
  <si>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</si>
  <si>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</si>
  <si>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</si>
  <si>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</si>
  <si>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</si>
  <si>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</si>
  <si>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</si>
  <si>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</si>
  <si>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</si>
  <si>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</si>
  <si>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</si>
  <si>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</si>
  <si>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</si>
  <si>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</si>
  <si>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</si>
  <si>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</si>
  <si>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</si>
  <si>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</si>
  <si>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</si>
  <si>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</si>
  <si>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</si>
  <si>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</si>
  <si>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</si>
  <si>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</si>
  <si>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</si>
  <si>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</si>
  <si>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</si>
  <si>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</si>
  <si>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</si>
  <si>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</si>
  <si>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</si>
  <si>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</si>
  <si>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</si>
  <si>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</si>
  <si>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</si>
  <si>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</si>
  <si>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</si>
  <si>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</si>
  <si>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</si>
  <si>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</si>
  <si>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</si>
  <si>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</si>
  <si>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</si>
  <si>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</si>
  <si>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</si>
  <si>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</si>
  <si>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</si>
  <si>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</si>
  <si>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</si>
  <si>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</si>
  <si>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</si>
  <si>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</si>
  <si>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</si>
  <si>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</si>
  <si>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</si>
  <si>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</si>
  <si>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</si>
  <si>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</si>
  <si>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</si>
  <si>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</si>
  <si>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</si>
  <si>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</si>
  <si>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</si>
  <si>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</si>
  <si>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</si>
  <si>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</si>
  <si>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</si>
  <si>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</si>
  <si>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</si>
  <si>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</si>
  <si>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</si>
  <si>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</si>
  <si>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</si>
  <si>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</si>
  <si>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</si>
  <si>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</si>
  <si>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</si>
  <si>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13012</t>
  </si>
  <si>
    <t>HERENTHOUT</t>
  </si>
  <si>
    <t>Fluvius</t>
  </si>
  <si>
    <t>referentietaak LNE (2017); Jaarverslag De Lijn</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</si>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</sst>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78826.317391648976</c:v>
                </c:pt>
                <c:pt idx="1">
                  <c:v>23176.999417555016</c:v>
                </c:pt>
                <c:pt idx="2">
                  <c:v>430.339</c:v>
                </c:pt>
                <c:pt idx="3">
                  <c:v>26642.691235594768</c:v>
                </c:pt>
                <c:pt idx="4">
                  <c:v>8407.8734146444749</c:v>
                </c:pt>
                <c:pt idx="5">
                  <c:v>42436.583310752234</c:v>
                </c:pt>
                <c:pt idx="6">
                  <c:v>454.36228102874981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78826.317391648976</c:v>
                </c:pt>
                <c:pt idx="1">
                  <c:v>23176.999417555016</c:v>
                </c:pt>
                <c:pt idx="2">
                  <c:v>430.339</c:v>
                </c:pt>
                <c:pt idx="3">
                  <c:v>26642.691235594768</c:v>
                </c:pt>
                <c:pt idx="4">
                  <c:v>8407.8734146444749</c:v>
                </c:pt>
                <c:pt idx="5">
                  <c:v>42436.583310752234</c:v>
                </c:pt>
                <c:pt idx="6">
                  <c:v>454.36228102874981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14503.388422052221</c:v>
                </c:pt>
                <c:pt idx="2">
                  <c:v>4635.9212234105426</c:v>
                </c:pt>
                <c:pt idx="3">
                  <c:v>89.880814538789807</c:v>
                </c:pt>
                <c:pt idx="4">
                  <c:v>6299.2539831102486</c:v>
                </c:pt>
                <c:pt idx="5">
                  <c:v>1753.3136984212538</c:v>
                </c:pt>
                <c:pt idx="6">
                  <c:v>10611.07499313088</c:v>
                </c:pt>
                <c:pt idx="7">
                  <c:v>114.79535230211745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14503.388422052221</c:v>
                </c:pt>
                <c:pt idx="2">
                  <c:v>4635.9212234105426</c:v>
                </c:pt>
                <c:pt idx="3">
                  <c:v>89.880814538789807</c:v>
                </c:pt>
                <c:pt idx="4">
                  <c:v>6299.2539831102486</c:v>
                </c:pt>
                <c:pt idx="5">
                  <c:v>1753.3136984212538</c:v>
                </c:pt>
                <c:pt idx="6">
                  <c:v>10611.07499313088</c:v>
                </c:pt>
                <c:pt idx="7">
                  <c:v>114.79535230211745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13012</v>
      </c>
      <c r="B6" s="390"/>
      <c r="C6" s="391"/>
    </row>
    <row r="7" spans="1:7" s="388" customFormat="1" ht="15.75" customHeight="1">
      <c r="A7" s="392" t="str">
        <f>txtMunicipality</f>
        <v>HERENTHOUT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0.20886049030831463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0.20886049030831463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3693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1208.95</v>
      </c>
      <c r="C14" s="330"/>
      <c r="D14" s="330"/>
      <c r="E14" s="330"/>
      <c r="F14" s="330"/>
    </row>
    <row r="15" spans="1:6">
      <c r="A15" s="1293" t="s">
        <v>183</v>
      </c>
      <c r="B15" s="1294">
        <v>20</v>
      </c>
      <c r="C15" s="330"/>
      <c r="D15" s="330"/>
      <c r="E15" s="330"/>
      <c r="F15" s="330"/>
    </row>
    <row r="16" spans="1:6">
      <c r="A16" s="1293" t="s">
        <v>6</v>
      </c>
      <c r="B16" s="1294">
        <v>1046</v>
      </c>
      <c r="C16" s="330"/>
      <c r="D16" s="330"/>
      <c r="E16" s="330"/>
      <c r="F16" s="330"/>
    </row>
    <row r="17" spans="1:6">
      <c r="A17" s="1293" t="s">
        <v>7</v>
      </c>
      <c r="B17" s="1294">
        <v>55</v>
      </c>
      <c r="C17" s="330"/>
      <c r="D17" s="330"/>
      <c r="E17" s="330"/>
      <c r="F17" s="330"/>
    </row>
    <row r="18" spans="1:6">
      <c r="A18" s="1293" t="s">
        <v>8</v>
      </c>
      <c r="B18" s="1294">
        <v>556</v>
      </c>
      <c r="C18" s="330"/>
      <c r="D18" s="330"/>
      <c r="E18" s="330"/>
      <c r="F18" s="330"/>
    </row>
    <row r="19" spans="1:6">
      <c r="A19" s="1293" t="s">
        <v>9</v>
      </c>
      <c r="B19" s="1294">
        <v>580</v>
      </c>
      <c r="C19" s="330"/>
      <c r="D19" s="330"/>
      <c r="E19" s="330"/>
      <c r="F19" s="330"/>
    </row>
    <row r="20" spans="1:6">
      <c r="A20" s="1293" t="s">
        <v>10</v>
      </c>
      <c r="B20" s="1294">
        <v>259</v>
      </c>
      <c r="C20" s="330"/>
      <c r="D20" s="330"/>
      <c r="E20" s="330"/>
      <c r="F20" s="330"/>
    </row>
    <row r="21" spans="1:6">
      <c r="A21" s="1293" t="s">
        <v>11</v>
      </c>
      <c r="B21" s="1294">
        <v>2300</v>
      </c>
      <c r="C21" s="330"/>
      <c r="D21" s="330"/>
      <c r="E21" s="330"/>
      <c r="F21" s="330"/>
    </row>
    <row r="22" spans="1:6">
      <c r="A22" s="1293" t="s">
        <v>12</v>
      </c>
      <c r="B22" s="1294">
        <v>6518</v>
      </c>
      <c r="C22" s="330"/>
      <c r="D22" s="330"/>
      <c r="E22" s="330"/>
      <c r="F22" s="330"/>
    </row>
    <row r="23" spans="1:6">
      <c r="A23" s="1293" t="s">
        <v>13</v>
      </c>
      <c r="B23" s="1294">
        <v>124</v>
      </c>
      <c r="C23" s="330"/>
      <c r="D23" s="330"/>
      <c r="E23" s="330"/>
      <c r="F23" s="330"/>
    </row>
    <row r="24" spans="1:6">
      <c r="A24" s="1293" t="s">
        <v>14</v>
      </c>
      <c r="B24" s="1294">
        <v>9</v>
      </c>
      <c r="C24" s="330"/>
      <c r="D24" s="330"/>
      <c r="E24" s="330"/>
      <c r="F24" s="330"/>
    </row>
    <row r="25" spans="1:6">
      <c r="A25" s="1293" t="s">
        <v>15</v>
      </c>
      <c r="B25" s="1294">
        <v>763</v>
      </c>
      <c r="C25" s="330"/>
      <c r="D25" s="330"/>
      <c r="E25" s="330"/>
      <c r="F25" s="330"/>
    </row>
    <row r="26" spans="1:6">
      <c r="A26" s="1293" t="s">
        <v>16</v>
      </c>
      <c r="B26" s="1294">
        <v>48</v>
      </c>
      <c r="C26" s="330"/>
      <c r="D26" s="330"/>
      <c r="E26" s="330"/>
      <c r="F26" s="330"/>
    </row>
    <row r="27" spans="1:6">
      <c r="A27" s="1293" t="s">
        <v>17</v>
      </c>
      <c r="B27" s="1294">
        <v>9</v>
      </c>
      <c r="C27" s="330"/>
      <c r="D27" s="330"/>
      <c r="E27" s="330"/>
      <c r="F27" s="330"/>
    </row>
    <row r="28" spans="1:6" s="43" customFormat="1">
      <c r="A28" s="1295" t="s">
        <v>18</v>
      </c>
      <c r="B28" s="1296">
        <v>2</v>
      </c>
      <c r="C28" s="336"/>
      <c r="D28" s="336"/>
      <c r="E28" s="336"/>
      <c r="F28" s="336"/>
    </row>
    <row r="29" spans="1:6">
      <c r="A29" s="1295" t="s">
        <v>734</v>
      </c>
      <c r="B29" s="1296">
        <v>125</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132532.90609233399</v>
      </c>
      <c r="E38" s="1294">
        <v>2</v>
      </c>
      <c r="F38" s="1294">
        <v>56121.308608147803</v>
      </c>
    </row>
    <row r="39" spans="1:6">
      <c r="A39" s="1293" t="s">
        <v>29</v>
      </c>
      <c r="B39" s="1293" t="s">
        <v>30</v>
      </c>
      <c r="C39" s="1294">
        <v>2860</v>
      </c>
      <c r="D39" s="1294">
        <v>49287343.021118</v>
      </c>
      <c r="E39" s="1294">
        <v>3649</v>
      </c>
      <c r="F39" s="1294">
        <v>12883884.801208099</v>
      </c>
    </row>
    <row r="40" spans="1:6">
      <c r="A40" s="1293" t="s">
        <v>29</v>
      </c>
      <c r="B40" s="1293" t="s">
        <v>28</v>
      </c>
      <c r="C40" s="1294">
        <v>0</v>
      </c>
      <c r="D40" s="1294">
        <v>0</v>
      </c>
      <c r="E40" s="1294">
        <v>0</v>
      </c>
      <c r="F40" s="1294">
        <v>0</v>
      </c>
    </row>
    <row r="41" spans="1:6">
      <c r="A41" s="1293" t="s">
        <v>31</v>
      </c>
      <c r="B41" s="1293" t="s">
        <v>32</v>
      </c>
      <c r="C41" s="1294">
        <v>33</v>
      </c>
      <c r="D41" s="1294">
        <v>758688.80242207798</v>
      </c>
      <c r="E41" s="1294">
        <v>58</v>
      </c>
      <c r="F41" s="1294">
        <v>575644.48363914096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317580.23808000702</v>
      </c>
      <c r="E44" s="1294">
        <v>4</v>
      </c>
      <c r="F44" s="1294">
        <v>220770.53124493701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23</v>
      </c>
      <c r="D48" s="1294">
        <v>1046464.25640392</v>
      </c>
      <c r="E48" s="1294">
        <v>25</v>
      </c>
      <c r="F48" s="1294">
        <v>3286457.6947082798</v>
      </c>
    </row>
    <row r="49" spans="1:6">
      <c r="A49" s="1293" t="s">
        <v>31</v>
      </c>
      <c r="B49" s="1293" t="s">
        <v>39</v>
      </c>
      <c r="C49" s="1294">
        <v>0</v>
      </c>
      <c r="D49" s="1294">
        <v>0</v>
      </c>
      <c r="E49" s="1294">
        <v>0</v>
      </c>
      <c r="F49" s="1294">
        <v>0</v>
      </c>
    </row>
    <row r="50" spans="1:6">
      <c r="A50" s="1293" t="s">
        <v>31</v>
      </c>
      <c r="B50" s="1293" t="s">
        <v>40</v>
      </c>
      <c r="C50" s="1294">
        <v>6</v>
      </c>
      <c r="D50" s="1294">
        <v>251359.13511215401</v>
      </c>
      <c r="E50" s="1294">
        <v>6</v>
      </c>
      <c r="F50" s="1294">
        <v>358523.94988857099</v>
      </c>
    </row>
    <row r="51" spans="1:6">
      <c r="A51" s="1293" t="s">
        <v>41</v>
      </c>
      <c r="B51" s="1293" t="s">
        <v>42</v>
      </c>
      <c r="C51" s="1294">
        <v>3</v>
      </c>
      <c r="D51" s="1294">
        <v>141016.10834041901</v>
      </c>
      <c r="E51" s="1294">
        <v>40</v>
      </c>
      <c r="F51" s="1294">
        <v>877473.46369676699</v>
      </c>
    </row>
    <row r="52" spans="1:6">
      <c r="A52" s="1293" t="s">
        <v>41</v>
      </c>
      <c r="B52" s="1293" t="s">
        <v>28</v>
      </c>
      <c r="C52" s="1294">
        <v>4</v>
      </c>
      <c r="D52" s="1294">
        <v>34765114.783636101</v>
      </c>
      <c r="E52" s="1294">
        <v>8</v>
      </c>
      <c r="F52" s="1294">
        <v>640162.09412847401</v>
      </c>
    </row>
    <row r="53" spans="1:6">
      <c r="A53" s="1293" t="s">
        <v>43</v>
      </c>
      <c r="B53" s="1293" t="s">
        <v>44</v>
      </c>
      <c r="C53" s="1294">
        <v>60</v>
      </c>
      <c r="D53" s="1294">
        <v>1296203.3445001901</v>
      </c>
      <c r="E53" s="1294">
        <v>117</v>
      </c>
      <c r="F53" s="1294">
        <v>438787.591223458</v>
      </c>
    </row>
    <row r="54" spans="1:6">
      <c r="A54" s="1293" t="s">
        <v>45</v>
      </c>
      <c r="B54" s="1293" t="s">
        <v>46</v>
      </c>
      <c r="C54" s="1294">
        <v>0</v>
      </c>
      <c r="D54" s="1294">
        <v>0</v>
      </c>
      <c r="E54" s="1294">
        <v>1</v>
      </c>
      <c r="F54" s="1294">
        <v>430339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40</v>
      </c>
      <c r="D57" s="1294">
        <v>2828030.4410077198</v>
      </c>
      <c r="E57" s="1294">
        <v>62</v>
      </c>
      <c r="F57" s="1294">
        <v>991489.11860467703</v>
      </c>
    </row>
    <row r="58" spans="1:6">
      <c r="A58" s="1293" t="s">
        <v>48</v>
      </c>
      <c r="B58" s="1293" t="s">
        <v>50</v>
      </c>
      <c r="C58" s="1294">
        <v>24</v>
      </c>
      <c r="D58" s="1294">
        <v>687544.52936001099</v>
      </c>
      <c r="E58" s="1294">
        <v>18</v>
      </c>
      <c r="F58" s="1294">
        <v>74065.285368799407</v>
      </c>
    </row>
    <row r="59" spans="1:6">
      <c r="A59" s="1293" t="s">
        <v>48</v>
      </c>
      <c r="B59" s="1293" t="s">
        <v>51</v>
      </c>
      <c r="C59" s="1294">
        <v>40</v>
      </c>
      <c r="D59" s="1294">
        <v>1431801.3393385401</v>
      </c>
      <c r="E59" s="1294">
        <v>84</v>
      </c>
      <c r="F59" s="1294">
        <v>3374484.7504513799</v>
      </c>
    </row>
    <row r="60" spans="1:6">
      <c r="A60" s="1293" t="s">
        <v>48</v>
      </c>
      <c r="B60" s="1293" t="s">
        <v>52</v>
      </c>
      <c r="C60" s="1294">
        <v>32</v>
      </c>
      <c r="D60" s="1294">
        <v>1131439.4506562101</v>
      </c>
      <c r="E60" s="1294">
        <v>42</v>
      </c>
      <c r="F60" s="1294">
        <v>877985.71527292405</v>
      </c>
    </row>
    <row r="61" spans="1:6">
      <c r="A61" s="1293" t="s">
        <v>48</v>
      </c>
      <c r="B61" s="1293" t="s">
        <v>53</v>
      </c>
      <c r="C61" s="1294">
        <v>47</v>
      </c>
      <c r="D61" s="1294">
        <v>3483125.9661745201</v>
      </c>
      <c r="E61" s="1294">
        <v>147</v>
      </c>
      <c r="F61" s="1294">
        <v>1459336.95497507</v>
      </c>
    </row>
    <row r="62" spans="1:6">
      <c r="A62" s="1293" t="s">
        <v>48</v>
      </c>
      <c r="B62" s="1293" t="s">
        <v>54</v>
      </c>
      <c r="C62" s="1294">
        <v>0</v>
      </c>
      <c r="D62" s="1294">
        <v>0</v>
      </c>
      <c r="E62" s="1294">
        <v>0</v>
      </c>
      <c r="F62" s="1294">
        <v>0</v>
      </c>
    </row>
    <row r="63" spans="1:6">
      <c r="A63" s="1293" t="s">
        <v>48</v>
      </c>
      <c r="B63" s="1293" t="s">
        <v>28</v>
      </c>
      <c r="C63" s="1294">
        <v>64</v>
      </c>
      <c r="D63" s="1294">
        <v>3147952.2717325701</v>
      </c>
      <c r="E63" s="1294">
        <v>78</v>
      </c>
      <c r="F63" s="1294">
        <v>2095866.3397180501</v>
      </c>
    </row>
    <row r="64" spans="1:6">
      <c r="A64" s="1293" t="s">
        <v>55</v>
      </c>
      <c r="B64" s="1293" t="s">
        <v>56</v>
      </c>
      <c r="C64" s="1294">
        <v>0</v>
      </c>
      <c r="D64" s="1294">
        <v>0</v>
      </c>
      <c r="E64" s="1294">
        <v>0</v>
      </c>
      <c r="F64" s="1294">
        <v>0</v>
      </c>
    </row>
    <row r="65" spans="1:6">
      <c r="A65" s="1293" t="s">
        <v>55</v>
      </c>
      <c r="B65" s="1293" t="s">
        <v>28</v>
      </c>
      <c r="C65" s="1294">
        <v>1</v>
      </c>
      <c r="D65" s="1294">
        <v>28808.9665258842</v>
      </c>
      <c r="E65" s="1294">
        <v>4</v>
      </c>
      <c r="F65" s="1294">
        <v>24238.967493915901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919054.54291166901</v>
      </c>
      <c r="E68" s="1297">
        <v>6</v>
      </c>
      <c r="F68" s="1297">
        <v>291074.38371443597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44424037</v>
      </c>
      <c r="E73" s="449"/>
      <c r="F73" s="330"/>
    </row>
    <row r="74" spans="1:6">
      <c r="A74" s="1293" t="s">
        <v>63</v>
      </c>
      <c r="B74" s="1293" t="s">
        <v>656</v>
      </c>
      <c r="C74" s="1307" t="s">
        <v>658</v>
      </c>
      <c r="D74" s="1308">
        <v>2005556.5</v>
      </c>
      <c r="E74" s="449"/>
      <c r="F74" s="330"/>
    </row>
    <row r="75" spans="1:6">
      <c r="A75" s="1293" t="s">
        <v>64</v>
      </c>
      <c r="B75" s="1293" t="s">
        <v>655</v>
      </c>
      <c r="C75" s="1307" t="s">
        <v>659</v>
      </c>
      <c r="D75" s="1308">
        <v>8628492</v>
      </c>
      <c r="E75" s="449"/>
      <c r="F75" s="330"/>
    </row>
    <row r="76" spans="1:6">
      <c r="A76" s="1293" t="s">
        <v>64</v>
      </c>
      <c r="B76" s="1293" t="s">
        <v>656</v>
      </c>
      <c r="C76" s="1307" t="s">
        <v>660</v>
      </c>
      <c r="D76" s="1308">
        <v>403759.5</v>
      </c>
      <c r="E76" s="449"/>
      <c r="F76" s="330"/>
    </row>
    <row r="77" spans="1:6">
      <c r="A77" s="1293" t="s">
        <v>65</v>
      </c>
      <c r="B77" s="1293" t="s">
        <v>655</v>
      </c>
      <c r="C77" s="1307" t="s">
        <v>661</v>
      </c>
      <c r="D77" s="1308">
        <v>231570</v>
      </c>
      <c r="E77" s="449"/>
      <c r="F77" s="330"/>
    </row>
    <row r="78" spans="1:6">
      <c r="A78" s="1288" t="s">
        <v>65</v>
      </c>
      <c r="B78" s="1288" t="s">
        <v>656</v>
      </c>
      <c r="C78" s="1288" t="s">
        <v>662</v>
      </c>
      <c r="D78" s="1309">
        <v>52556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123919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1967.0893318013391</v>
      </c>
      <c r="C91" s="330"/>
      <c r="D91" s="330"/>
      <c r="E91" s="330"/>
      <c r="F91" s="330"/>
    </row>
    <row r="92" spans="1:6">
      <c r="A92" s="1288" t="s">
        <v>68</v>
      </c>
      <c r="B92" s="1289">
        <v>398.03181228330686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2060</v>
      </c>
      <c r="C97" s="330"/>
      <c r="D97" s="330"/>
      <c r="E97" s="330"/>
      <c r="F97" s="330"/>
    </row>
    <row r="98" spans="1:6">
      <c r="A98" s="1293" t="s">
        <v>71</v>
      </c>
      <c r="B98" s="1294">
        <v>2</v>
      </c>
      <c r="C98" s="330"/>
      <c r="D98" s="330"/>
      <c r="E98" s="330"/>
      <c r="F98" s="330"/>
    </row>
    <row r="99" spans="1:6">
      <c r="A99" s="1293" t="s">
        <v>72</v>
      </c>
      <c r="B99" s="1294">
        <v>50</v>
      </c>
      <c r="C99" s="330"/>
      <c r="D99" s="330"/>
      <c r="E99" s="330"/>
      <c r="F99" s="330"/>
    </row>
    <row r="100" spans="1:6">
      <c r="A100" s="1293" t="s">
        <v>73</v>
      </c>
      <c r="B100" s="1294">
        <v>144</v>
      </c>
      <c r="C100" s="330"/>
      <c r="D100" s="330"/>
      <c r="E100" s="330"/>
      <c r="F100" s="330"/>
    </row>
    <row r="101" spans="1:6">
      <c r="A101" s="1293" t="s">
        <v>74</v>
      </c>
      <c r="B101" s="1294">
        <v>41</v>
      </c>
      <c r="C101" s="330"/>
      <c r="D101" s="330"/>
      <c r="E101" s="330"/>
      <c r="F101" s="330"/>
    </row>
    <row r="102" spans="1:6">
      <c r="A102" s="1293" t="s">
        <v>75</v>
      </c>
      <c r="B102" s="1294">
        <v>32</v>
      </c>
      <c r="C102" s="330"/>
      <c r="D102" s="330"/>
      <c r="E102" s="330"/>
      <c r="F102" s="330"/>
    </row>
    <row r="103" spans="1:6">
      <c r="A103" s="1293" t="s">
        <v>76</v>
      </c>
      <c r="B103" s="1294">
        <v>94</v>
      </c>
      <c r="C103" s="330"/>
      <c r="D103" s="330"/>
      <c r="E103" s="330"/>
      <c r="F103" s="330"/>
    </row>
    <row r="104" spans="1:6">
      <c r="A104" s="1293" t="s">
        <v>77</v>
      </c>
      <c r="B104" s="1294">
        <v>824</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11</v>
      </c>
      <c r="C123" s="1294">
        <v>13</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64</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30594.931216502337</v>
      </c>
      <c r="C3" s="43" t="s">
        <v>169</v>
      </c>
      <c r="D3" s="43"/>
      <c r="E3" s="154"/>
      <c r="F3" s="43"/>
      <c r="G3" s="43"/>
      <c r="H3" s="43"/>
      <c r="I3" s="43"/>
      <c r="J3" s="43"/>
      <c r="K3" s="96"/>
    </row>
    <row r="4" spans="1:11">
      <c r="A4" s="358" t="s">
        <v>170</v>
      </c>
      <c r="B4" s="49">
        <f>IF(ISERROR('SEAP template'!B78+'SEAP template'!C78),0,'SEAP template'!B78+'SEAP template'!C78)</f>
        <v>11452.871144084644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2159.677058823529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0.20886049030831463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3085.2529411764704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12982.499999999998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430.339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430.339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0.20886049030831463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89.880814538789807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12883.8848012081</v>
      </c>
      <c r="C5" s="17">
        <f>IF(ISERROR('Eigen informatie GS &amp; warmtenet'!B57),0,'Eigen informatie GS &amp; warmtenet'!B57)</f>
        <v>0</v>
      </c>
      <c r="D5" s="30">
        <f>(SUM(HH_hh_gas_kWh,HH_rest_gas_kWh)/1000)*0.902</f>
        <v>44457.183405048439</v>
      </c>
      <c r="E5" s="17">
        <f>B46*B57</f>
        <v>7818.9850042530943</v>
      </c>
      <c r="F5" s="17">
        <f>B51*B62</f>
        <v>2169.3912795517726</v>
      </c>
      <c r="G5" s="18"/>
      <c r="H5" s="17"/>
      <c r="I5" s="17"/>
      <c r="J5" s="17">
        <f>B50*B61+C50*C61</f>
        <v>189.60047358817116</v>
      </c>
      <c r="K5" s="17"/>
      <c r="L5" s="17"/>
      <c r="M5" s="17"/>
      <c r="N5" s="17">
        <f>B48*B59+C48*C59</f>
        <v>8836.9097628647287</v>
      </c>
      <c r="O5" s="17">
        <f>B69*B70*B71</f>
        <v>121.94000000000001</v>
      </c>
      <c r="P5" s="17">
        <f>B77*B78*B79/1000-B77*B78*B79/1000/B80</f>
        <v>381.33333333333337</v>
      </c>
    </row>
    <row r="6" spans="1:16">
      <c r="A6" s="16" t="s">
        <v>620</v>
      </c>
      <c r="B6" s="762">
        <f>kWh_PV_kleiner_dan_10kW</f>
        <v>1967.0893318013391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14850.974133009438</v>
      </c>
      <c r="C8" s="21">
        <f>C5</f>
        <v>0</v>
      </c>
      <c r="D8" s="21">
        <f>D5</f>
        <v>44457.183405048439</v>
      </c>
      <c r="E8" s="21">
        <f>E5</f>
        <v>7818.9850042530943</v>
      </c>
      <c r="F8" s="21">
        <f>F5</f>
        <v>2169.3912795517726</v>
      </c>
      <c r="G8" s="21"/>
      <c r="H8" s="21"/>
      <c r="I8" s="21"/>
      <c r="J8" s="21">
        <f>J5</f>
        <v>189.60047358817116</v>
      </c>
      <c r="K8" s="21"/>
      <c r="L8" s="21">
        <f>L5</f>
        <v>0</v>
      </c>
      <c r="M8" s="21">
        <f>M5</f>
        <v>0</v>
      </c>
      <c r="N8" s="21">
        <f>N5</f>
        <v>8836.9097628647287</v>
      </c>
      <c r="O8" s="21">
        <f>O5</f>
        <v>121.94000000000001</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0.20886049030831463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3101.7817389764491</v>
      </c>
      <c r="C12" s="23">
        <f ca="1">C10*C8</f>
        <v>0</v>
      </c>
      <c r="D12" s="23">
        <f>D8*D10</f>
        <v>8980.3510478197859</v>
      </c>
      <c r="E12" s="23">
        <f>E10*E8</f>
        <v>1774.9095959654524</v>
      </c>
      <c r="F12" s="23">
        <f>F10*F8</f>
        <v>579.2274716403233</v>
      </c>
      <c r="G12" s="23"/>
      <c r="H12" s="23"/>
      <c r="I12" s="23"/>
      <c r="J12" s="23">
        <f>J10*J8</f>
        <v>67.118567650212583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2060</v>
      </c>
      <c r="C18" s="166" t="s">
        <v>110</v>
      </c>
      <c r="D18" s="228"/>
      <c r="E18" s="15"/>
    </row>
    <row r="19" spans="1:7">
      <c r="A19" s="171" t="s">
        <v>71</v>
      </c>
      <c r="B19" s="37">
        <f>aantalw2001_ander</f>
        <v>2</v>
      </c>
      <c r="C19" s="166" t="s">
        <v>110</v>
      </c>
      <c r="D19" s="229"/>
      <c r="E19" s="15"/>
    </row>
    <row r="20" spans="1:7">
      <c r="A20" s="171" t="s">
        <v>72</v>
      </c>
      <c r="B20" s="37">
        <f>aantalw2001_propaan</f>
        <v>50</v>
      </c>
      <c r="C20" s="167">
        <f>IF(ISERROR(B20/SUM($B$20,$B$21,$B$22)*100),0,B20/SUM($B$20,$B$21,$B$22)*100)</f>
        <v>21.276595744680851</v>
      </c>
      <c r="D20" s="229"/>
      <c r="E20" s="15"/>
    </row>
    <row r="21" spans="1:7">
      <c r="A21" s="171" t="s">
        <v>73</v>
      </c>
      <c r="B21" s="37">
        <f>aantalw2001_elektriciteit</f>
        <v>144</v>
      </c>
      <c r="C21" s="167">
        <f>IF(ISERROR(B21/SUM($B$20,$B$21,$B$22)*100),0,B21/SUM($B$20,$B$21,$B$22)*100)</f>
        <v>61.276595744680847</v>
      </c>
      <c r="D21" s="229"/>
      <c r="E21" s="15"/>
    </row>
    <row r="22" spans="1:7">
      <c r="A22" s="171" t="s">
        <v>74</v>
      </c>
      <c r="B22" s="37">
        <f>aantalw2001_hout</f>
        <v>41</v>
      </c>
      <c r="C22" s="167">
        <f>IF(ISERROR(B22/SUM($B$20,$B$21,$B$22)*100),0,B22/SUM($B$20,$B$21,$B$22)*100)</f>
        <v>17.446808510638299</v>
      </c>
      <c r="D22" s="229"/>
      <c r="E22" s="15"/>
    </row>
    <row r="23" spans="1:7">
      <c r="A23" s="171" t="s">
        <v>75</v>
      </c>
      <c r="B23" s="37">
        <f>aantalw2001_niet_gespec</f>
        <v>32</v>
      </c>
      <c r="C23" s="166" t="s">
        <v>110</v>
      </c>
      <c r="D23" s="228"/>
      <c r="E23" s="15"/>
    </row>
    <row r="24" spans="1:7">
      <c r="A24" s="171" t="s">
        <v>76</v>
      </c>
      <c r="B24" s="37">
        <f>aantalw2001_steenkool</f>
        <v>94</v>
      </c>
      <c r="C24" s="166" t="s">
        <v>110</v>
      </c>
      <c r="D24" s="229"/>
      <c r="E24" s="15"/>
    </row>
    <row r="25" spans="1:7">
      <c r="A25" s="171" t="s">
        <v>77</v>
      </c>
      <c r="B25" s="37">
        <f>aantalw2001_stookolie</f>
        <v>824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3693</v>
      </c>
      <c r="C28" s="36"/>
      <c r="D28" s="228"/>
    </row>
    <row r="29" spans="1:7" s="15" customFormat="1">
      <c r="A29" s="230" t="s">
        <v>781</v>
      </c>
      <c r="B29" s="37">
        <f>SUM(HH_hh_gas_aantal,HH_rest_gas_aantal)</f>
        <v>2860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2860</v>
      </c>
      <c r="C32" s="167">
        <f>IF(ISERROR(B32/SUM($B$32,$B$34,$B$35,$B$36,$B$38,$B$39)*100),0,B32/SUM($B$32,$B$34,$B$35,$B$36,$B$38,$B$39)*100)</f>
        <v>77.865505036754698</v>
      </c>
      <c r="D32" s="233"/>
      <c r="G32" s="15"/>
    </row>
    <row r="33" spans="1:7">
      <c r="A33" s="171" t="s">
        <v>71</v>
      </c>
      <c r="B33" s="34" t="s">
        <v>110</v>
      </c>
      <c r="C33" s="167"/>
      <c r="D33" s="233"/>
      <c r="G33" s="15"/>
    </row>
    <row r="34" spans="1:7">
      <c r="A34" s="171" t="s">
        <v>72</v>
      </c>
      <c r="B34" s="33">
        <f>IF((($B$28-$B$32-$B$39-$B$77-$B$38)*C20/100)&lt;0,0,($B$28-$B$32-$B$39-$B$77-$B$38)*C20/100)</f>
        <v>147.87234042553192</v>
      </c>
      <c r="C34" s="167">
        <f>IF(ISERROR(B34/SUM($B$32,$B$34,$B$35,$B$36,$B$38,$B$39)*100),0,B34/SUM($B$32,$B$34,$B$35,$B$36,$B$38,$B$39)*100)</f>
        <v>4.0259281357346017</v>
      </c>
      <c r="D34" s="233"/>
      <c r="G34" s="15"/>
    </row>
    <row r="35" spans="1:7">
      <c r="A35" s="171" t="s">
        <v>73</v>
      </c>
      <c r="B35" s="33">
        <f>IF((($B$28-$B$32-$B$39-$B$77-$B$38)*C21/100)&lt;0,0,($B$28-$B$32-$B$39-$B$77-$B$38)*C21/100)</f>
        <v>425.87234042553189</v>
      </c>
      <c r="C35" s="167">
        <f>IF(ISERROR(B35/SUM($B$32,$B$34,$B$35,$B$36,$B$38,$B$39)*100),0,B35/SUM($B$32,$B$34,$B$35,$B$36,$B$38,$B$39)*100)</f>
        <v>11.594673030915652</v>
      </c>
      <c r="D35" s="233"/>
      <c r="G35" s="15"/>
    </row>
    <row r="36" spans="1:7">
      <c r="A36" s="171" t="s">
        <v>74</v>
      </c>
      <c r="B36" s="33">
        <f>IF((($B$28-$B$32-$B$39-$B$77-$B$38)*C22/100)&lt;0,0,($B$28-$B$32-$B$39-$B$77-$B$38)*C22/100)</f>
        <v>121.25531914893618</v>
      </c>
      <c r="C36" s="167">
        <f>IF(ISERROR(B36/SUM($B$32,$B$34,$B$35,$B$36,$B$38,$B$39)*100),0,B36/SUM($B$32,$B$34,$B$35,$B$36,$B$38,$B$39)*100)</f>
        <v>3.3012610713023736</v>
      </c>
      <c r="D36" s="233"/>
      <c r="G36" s="15"/>
    </row>
    <row r="37" spans="1:7">
      <c r="A37" s="171" t="s">
        <v>75</v>
      </c>
      <c r="B37" s="34" t="s">
        <v>110</v>
      </c>
      <c r="C37" s="167"/>
      <c r="D37" s="173"/>
      <c r="G37" s="15"/>
    </row>
    <row r="38" spans="1:7">
      <c r="A38" s="171" t="s">
        <v>76</v>
      </c>
      <c r="B38" s="33">
        <f>IF((B24-(B29-B18)*0.1)&lt;0,0,B24-(B29-B18)*0.1)</f>
        <v>14</v>
      </c>
      <c r="C38" s="167">
        <f>IF(ISERROR(B38/SUM($B$32,$B$34,$B$35,$B$36,$B$38,$B$39)*100),0,B38/SUM($B$32,$B$34,$B$35,$B$36,$B$38,$B$39)*100)</f>
        <v>0.38115981486523276</v>
      </c>
      <c r="D38" s="234"/>
      <c r="G38" s="15"/>
    </row>
    <row r="39" spans="1:7">
      <c r="A39" s="171" t="s">
        <v>77</v>
      </c>
      <c r="B39" s="33">
        <f>IF((B25-(B29-B18))&lt;0,0,B25-(B29-B18)*0.9)</f>
        <v>104</v>
      </c>
      <c r="C39" s="167">
        <f>IF(ISERROR(B39/SUM($B$32,$B$34,$B$35,$B$36,$B$38,$B$39)*100),0,B39/SUM($B$32,$B$34,$B$35,$B$36,$B$38,$B$39)*100)</f>
        <v>2.8314729104274439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2860</v>
      </c>
      <c r="C44" s="34" t="s">
        <v>110</v>
      </c>
      <c r="D44" s="174"/>
    </row>
    <row r="45" spans="1:7">
      <c r="A45" s="171" t="s">
        <v>71</v>
      </c>
      <c r="B45" s="33" t="str">
        <f t="shared" si="0"/>
        <v>-</v>
      </c>
      <c r="C45" s="34" t="s">
        <v>110</v>
      </c>
      <c r="D45" s="174"/>
    </row>
    <row r="46" spans="1:7">
      <c r="A46" s="171" t="s">
        <v>72</v>
      </c>
      <c r="B46" s="33">
        <f t="shared" si="0"/>
        <v>147.87234042553192</v>
      </c>
      <c r="C46" s="34" t="s">
        <v>110</v>
      </c>
      <c r="D46" s="174"/>
    </row>
    <row r="47" spans="1:7">
      <c r="A47" s="171" t="s">
        <v>73</v>
      </c>
      <c r="B47" s="33">
        <f t="shared" si="0"/>
        <v>425.87234042553189</v>
      </c>
      <c r="C47" s="34" t="s">
        <v>110</v>
      </c>
      <c r="D47" s="174"/>
    </row>
    <row r="48" spans="1:7">
      <c r="A48" s="171" t="s">
        <v>74</v>
      </c>
      <c r="B48" s="33">
        <f t="shared" si="0"/>
        <v>121.25531914893618</v>
      </c>
      <c r="C48" s="33">
        <f>B48*10</f>
        <v>1212.5531914893618</v>
      </c>
      <c r="D48" s="234"/>
    </row>
    <row r="49" spans="1:6">
      <c r="A49" s="171" t="s">
        <v>75</v>
      </c>
      <c r="B49" s="33" t="str">
        <f t="shared" si="0"/>
        <v>-</v>
      </c>
      <c r="C49" s="34" t="s">
        <v>110</v>
      </c>
      <c r="D49" s="234"/>
    </row>
    <row r="50" spans="1:6">
      <c r="A50" s="171" t="s">
        <v>76</v>
      </c>
      <c r="B50" s="33">
        <f t="shared" si="0"/>
        <v>14</v>
      </c>
      <c r="C50" s="33">
        <f>B50*2</f>
        <v>28</v>
      </c>
      <c r="D50" s="234"/>
    </row>
    <row r="51" spans="1:6">
      <c r="A51" s="171" t="s">
        <v>77</v>
      </c>
      <c r="B51" s="33">
        <f t="shared" si="0"/>
        <v>104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8873.2281643909009</v>
      </c>
      <c r="C5" s="17">
        <f>IF(ISERROR('Eigen informatie GS &amp; warmtenet'!B58),0,'Eigen informatie GS &amp; warmtenet'!B58)</f>
        <v>0</v>
      </c>
      <c r="D5" s="30">
        <f>SUM(D6:D12)</f>
        <v>11464.324386439155</v>
      </c>
      <c r="E5" s="17">
        <f>SUM(E6:E12)</f>
        <v>162.18678967285575</v>
      </c>
      <c r="F5" s="17">
        <f>SUM(F6:F12)</f>
        <v>1613.2867545283175</v>
      </c>
      <c r="G5" s="18"/>
      <c r="H5" s="17"/>
      <c r="I5" s="17"/>
      <c r="J5" s="17">
        <f>SUM(J6:J12)</f>
        <v>2.6596535468873465E-2</v>
      </c>
      <c r="K5" s="17"/>
      <c r="L5" s="17"/>
      <c r="M5" s="17"/>
      <c r="N5" s="17">
        <f>SUM(N6:N12)</f>
        <v>1052.3605355121279</v>
      </c>
      <c r="O5" s="17">
        <f>B38*B39*B40</f>
        <v>3.1266666666666669</v>
      </c>
      <c r="P5" s="17">
        <f>B46*B47*B48/1000-B46*B47*B48/1000/B49</f>
        <v>19.066666666666666</v>
      </c>
      <c r="R5" s="32"/>
    </row>
    <row r="6" spans="1:18">
      <c r="A6" s="32" t="s">
        <v>53</v>
      </c>
      <c r="B6" s="37">
        <f>B26</f>
        <v>1459.3369549750701</v>
      </c>
      <c r="C6" s="33"/>
      <c r="D6" s="37">
        <f>IF(ISERROR(TER_kantoor_gas_kWh/1000),0,TER_kantoor_gas_kWh/1000)*0.902</f>
        <v>3141.7796214894174</v>
      </c>
      <c r="E6" s="33">
        <f>$C$26*'E Balans VL '!I12/100/3.6*1000000</f>
        <v>9.1466386659164855E-3</v>
      </c>
      <c r="F6" s="33">
        <f>$C$26*('E Balans VL '!L12+'E Balans VL '!N12)/100/3.6*1000000</f>
        <v>219.29756656910223</v>
      </c>
      <c r="G6" s="34"/>
      <c r="H6" s="33"/>
      <c r="I6" s="33"/>
      <c r="J6" s="33">
        <f>$C$26*('E Balans VL '!D12+'E Balans VL '!E12)/100/3.6*1000000</f>
        <v>0</v>
      </c>
      <c r="K6" s="33"/>
      <c r="L6" s="33"/>
      <c r="M6" s="33"/>
      <c r="N6" s="33">
        <f>$C$26*'E Balans VL '!Y12/100/3.6*1000000</f>
        <v>1.3956394269846846</v>
      </c>
      <c r="O6" s="33"/>
      <c r="P6" s="33"/>
      <c r="R6" s="32"/>
    </row>
    <row r="7" spans="1:18">
      <c r="A7" s="32" t="s">
        <v>52</v>
      </c>
      <c r="B7" s="37">
        <f t="shared" ref="B7:B12" si="0">B27</f>
        <v>877.98571527292404</v>
      </c>
      <c r="C7" s="33"/>
      <c r="D7" s="37">
        <f>IF(ISERROR(TER_horeca_gas_kWh/1000),0,TER_horeca_gas_kWh/1000)*0.902</f>
        <v>1020.5583844919015</v>
      </c>
      <c r="E7" s="33">
        <f>$C$27*'E Balans VL '!I9/100/3.6*1000000</f>
        <v>12.572609198205905</v>
      </c>
      <c r="F7" s="33">
        <f>$C$27*('E Balans VL '!L9+'E Balans VL '!N9)/100/3.6*1000000</f>
        <v>111.18194863803858</v>
      </c>
      <c r="G7" s="34"/>
      <c r="H7" s="33"/>
      <c r="I7" s="33"/>
      <c r="J7" s="33">
        <f>$C$27*('E Balans VL '!D9+'E Balans VL '!E9)/100/3.6*1000000</f>
        <v>0</v>
      </c>
      <c r="K7" s="33"/>
      <c r="L7" s="33"/>
      <c r="M7" s="33"/>
      <c r="N7" s="33">
        <f>$C$27*'E Balans VL '!Y9/100/3.6*1000000</f>
        <v>0.2524015352176216</v>
      </c>
      <c r="O7" s="33"/>
      <c r="P7" s="33"/>
      <c r="R7" s="32"/>
    </row>
    <row r="8" spans="1:18">
      <c r="A8" s="6" t="s">
        <v>51</v>
      </c>
      <c r="B8" s="37">
        <f t="shared" si="0"/>
        <v>3374.48475045138</v>
      </c>
      <c r="C8" s="33"/>
      <c r="D8" s="37">
        <f>IF(ISERROR(TER_handel_gas_kWh/1000),0,TER_handel_gas_kWh/1000)*0.902</f>
        <v>1291.4848080833633</v>
      </c>
      <c r="E8" s="33">
        <f>$C$28*'E Balans VL '!I13/100/3.6*1000000</f>
        <v>122.39214577605505</v>
      </c>
      <c r="F8" s="33">
        <f>$C$28*('E Balans VL '!L13+'E Balans VL '!N13)/100/3.6*1000000</f>
        <v>649.95993176742047</v>
      </c>
      <c r="G8" s="34"/>
      <c r="H8" s="33"/>
      <c r="I8" s="33"/>
      <c r="J8" s="33">
        <f>$C$28*('E Balans VL '!D13+'E Balans VL '!E13)/100/3.6*1000000</f>
        <v>0</v>
      </c>
      <c r="K8" s="33"/>
      <c r="L8" s="33"/>
      <c r="M8" s="33"/>
      <c r="N8" s="33">
        <f>$C$28*'E Balans VL '!Y13/100/3.6*1000000</f>
        <v>4.6744378136883071</v>
      </c>
      <c r="O8" s="33"/>
      <c r="P8" s="33"/>
      <c r="R8" s="32"/>
    </row>
    <row r="9" spans="1:18">
      <c r="A9" s="32" t="s">
        <v>50</v>
      </c>
      <c r="B9" s="37">
        <f t="shared" si="0"/>
        <v>74.065285368799408</v>
      </c>
      <c r="C9" s="33"/>
      <c r="D9" s="37">
        <f>IF(ISERROR(TER_gezond_gas_kWh/1000),0,TER_gezond_gas_kWh/1000)*0.902</f>
        <v>620.16516548272989</v>
      </c>
      <c r="E9" s="33">
        <f>$C$29*'E Balans VL '!I10/100/3.6*1000000</f>
        <v>4.637218126669636E-3</v>
      </c>
      <c r="F9" s="33">
        <f>$C$29*('E Balans VL '!L10+'E Balans VL '!N10)/100/3.6*1000000</f>
        <v>11.00262364885292</v>
      </c>
      <c r="G9" s="34"/>
      <c r="H9" s="33"/>
      <c r="I9" s="33"/>
      <c r="J9" s="33">
        <f>$C$29*('E Balans VL '!D10+'E Balans VL '!E10)/100/3.6*1000000</f>
        <v>0</v>
      </c>
      <c r="K9" s="33"/>
      <c r="L9" s="33"/>
      <c r="M9" s="33"/>
      <c r="N9" s="33">
        <f>$C$29*'E Balans VL '!Y10/100/3.6*1000000</f>
        <v>1.1456489807737273</v>
      </c>
      <c r="O9" s="33"/>
      <c r="P9" s="33"/>
      <c r="R9" s="32"/>
    </row>
    <row r="10" spans="1:18">
      <c r="A10" s="32" t="s">
        <v>49</v>
      </c>
      <c r="B10" s="37">
        <f t="shared" si="0"/>
        <v>991.48911860467706</v>
      </c>
      <c r="C10" s="33"/>
      <c r="D10" s="37">
        <f>IF(ISERROR(TER_ander_gas_kWh/1000),0,TER_ander_gas_kWh/1000)*0.902</f>
        <v>2550.8834577889634</v>
      </c>
      <c r="E10" s="33">
        <f>$C$30*'E Balans VL '!I14/100/3.6*1000000</f>
        <v>1.1818195995422662</v>
      </c>
      <c r="F10" s="33">
        <f>$C$30*('E Balans VL '!L14+'E Balans VL '!N14)/100/3.6*1000000</f>
        <v>259.41763157116071</v>
      </c>
      <c r="G10" s="34"/>
      <c r="H10" s="33"/>
      <c r="I10" s="33"/>
      <c r="J10" s="33">
        <f>$C$30*('E Balans VL '!D14+'E Balans VL '!E14)/100/3.6*1000000</f>
        <v>2.1521342234877321E-2</v>
      </c>
      <c r="K10" s="33"/>
      <c r="L10" s="33"/>
      <c r="M10" s="33"/>
      <c r="N10" s="33">
        <f>$C$30*'E Balans VL '!Y14/100/3.6*1000000</f>
        <v>841.9482981218631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2095.8663397180503</v>
      </c>
      <c r="C12" s="33"/>
      <c r="D12" s="37">
        <f>IF(ISERROR(TER_rest_gas_kWh/1000),0,TER_rest_gas_kWh/1000)*0.902</f>
        <v>2839.4529491027783</v>
      </c>
      <c r="E12" s="33">
        <f>$C$32*'E Balans VL '!I8/100/3.6*1000000</f>
        <v>26.026431242259935</v>
      </c>
      <c r="F12" s="33">
        <f>$C$32*('E Balans VL '!L8+'E Balans VL '!N8)/100/3.6*1000000</f>
        <v>362.42705233374255</v>
      </c>
      <c r="G12" s="34"/>
      <c r="H12" s="33"/>
      <c r="I12" s="33"/>
      <c r="J12" s="33">
        <f>$C$32*('E Balans VL '!D8+'E Balans VL '!E8)/100/3.6*1000000</f>
        <v>5.0751932339961458E-3</v>
      </c>
      <c r="K12" s="33"/>
      <c r="L12" s="33"/>
      <c r="M12" s="33"/>
      <c r="N12" s="33">
        <f>$C$32*'E Balans VL '!Y8/100/3.6*1000000</f>
        <v>202.94410963360036</v>
      </c>
      <c r="O12" s="33"/>
      <c r="P12" s="33"/>
      <c r="R12" s="32"/>
    </row>
    <row r="13" spans="1:18">
      <c r="A13" s="16" t="s">
        <v>487</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8897.9781643909009</v>
      </c>
      <c r="C16" s="21">
        <f t="shared" ca="1" si="1"/>
        <v>35.357142857142861</v>
      </c>
      <c r="D16" s="21">
        <f t="shared" ca="1" si="1"/>
        <v>11393.610100724869</v>
      </c>
      <c r="E16" s="21">
        <f t="shared" si="1"/>
        <v>162.18678967285575</v>
      </c>
      <c r="F16" s="21">
        <f t="shared" ca="1" si="1"/>
        <v>1613.2867545283175</v>
      </c>
      <c r="G16" s="21">
        <f t="shared" si="1"/>
        <v>0</v>
      </c>
      <c r="H16" s="21">
        <f t="shared" si="1"/>
        <v>0</v>
      </c>
      <c r="I16" s="21">
        <f t="shared" si="1"/>
        <v>0</v>
      </c>
      <c r="J16" s="21">
        <f t="shared" si="1"/>
        <v>2.6596535468873465E-2</v>
      </c>
      <c r="K16" s="21">
        <f t="shared" si="1"/>
        <v>0</v>
      </c>
      <c r="L16" s="21">
        <f t="shared" ca="1" si="1"/>
        <v>0</v>
      </c>
      <c r="M16" s="21">
        <f t="shared" si="1"/>
        <v>0</v>
      </c>
      <c r="N16" s="21">
        <f t="shared" ca="1" si="1"/>
        <v>1052.3605355121279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0.20886049030831463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1858.4360821673611</v>
      </c>
      <c r="C20" s="23">
        <f t="shared" ref="C20:P20" ca="1" si="2">C16*C18</f>
        <v>8.4025210084033635</v>
      </c>
      <c r="D20" s="23">
        <f t="shared" ca="1" si="2"/>
        <v>2301.5092403464237</v>
      </c>
      <c r="E20" s="23">
        <f t="shared" si="2"/>
        <v>36.816401255738256</v>
      </c>
      <c r="F20" s="23">
        <f t="shared" ca="1" si="2"/>
        <v>430.74756345906081</v>
      </c>
      <c r="G20" s="23">
        <f t="shared" si="2"/>
        <v>0</v>
      </c>
      <c r="H20" s="23">
        <f t="shared" si="2"/>
        <v>0</v>
      </c>
      <c r="I20" s="23">
        <f t="shared" si="2"/>
        <v>0</v>
      </c>
      <c r="J20" s="23">
        <f t="shared" si="2"/>
        <v>9.4151735559812062E-3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1459.3369549750701</v>
      </c>
      <c r="C26" s="39">
        <f>IF(ISERROR(B26*3.6/1000000/'E Balans VL '!Z12*100),0,B26*3.6/1000000/'E Balans VL '!Z12*100)</f>
        <v>3.0848071451702392E-2</v>
      </c>
      <c r="D26" s="237" t="s">
        <v>744</v>
      </c>
      <c r="F26" s="6"/>
    </row>
    <row r="27" spans="1:18">
      <c r="A27" s="231" t="s">
        <v>52</v>
      </c>
      <c r="B27" s="33">
        <f>IF(ISERROR(TER_horeca_ele_kWh/1000),0,TER_horeca_ele_kWh/1000)</f>
        <v>877.98571527292404</v>
      </c>
      <c r="C27" s="39">
        <f>IF(ISERROR(B27*3.6/1000000/'E Balans VL '!Z9*100),0,B27*3.6/1000000/'E Balans VL '!Z9*100)</f>
        <v>6.921128669298221E-2</v>
      </c>
      <c r="D27" s="237" t="s">
        <v>744</v>
      </c>
      <c r="F27" s="6"/>
    </row>
    <row r="28" spans="1:18">
      <c r="A28" s="171" t="s">
        <v>51</v>
      </c>
      <c r="B28" s="33">
        <f>IF(ISERROR(TER_handel_ele_kWh/1000),0,TER_handel_ele_kWh/1000)</f>
        <v>3374.48475045138</v>
      </c>
      <c r="C28" s="39">
        <f>IF(ISERROR(B28*3.6/1000000/'E Balans VL '!Z13*100),0,B28*3.6/1000000/'E Balans VL '!Z13*100)</f>
        <v>9.7941181904313793E-2</v>
      </c>
      <c r="D28" s="237" t="s">
        <v>744</v>
      </c>
      <c r="F28" s="6"/>
    </row>
    <row r="29" spans="1:18">
      <c r="A29" s="231" t="s">
        <v>50</v>
      </c>
      <c r="B29" s="33">
        <f>IF(ISERROR(TER_gezond_ele_kWh/1000),0,TER_gezond_ele_kWh/1000)</f>
        <v>74.065285368799408</v>
      </c>
      <c r="C29" s="39">
        <f>IF(ISERROR(B29*3.6/1000000/'E Balans VL '!Z10*100),0,B29*3.6/1000000/'E Balans VL '!Z10*100)</f>
        <v>7.8002907334228941E-3</v>
      </c>
      <c r="D29" s="237" t="s">
        <v>744</v>
      </c>
      <c r="F29" s="6"/>
    </row>
    <row r="30" spans="1:18">
      <c r="A30" s="231" t="s">
        <v>49</v>
      </c>
      <c r="B30" s="33">
        <f>IF(ISERROR(TER_ander_ele_kWh/1000),0,TER_ander_ele_kWh/1000)</f>
        <v>991.48911860467706</v>
      </c>
      <c r="C30" s="39">
        <f>IF(ISERROR(B30*3.6/1000000/'E Balans VL '!Z14*100),0,B30*3.6/1000000/'E Balans VL '!Z14*100)</f>
        <v>7.3132452738646311E-2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2095.8663397180503</v>
      </c>
      <c r="C32" s="39">
        <f>IF(ISERROR(B32*3.6/1000000/'E Balans VL '!Z8*100),0,B32*3.6/1000000/'E Balans VL '!Z8*100)</f>
        <v>1.7246197996109162E-2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4441.3966594809281</v>
      </c>
      <c r="C5" s="17">
        <f>IF(ISERROR('Eigen informatie GS &amp; warmtenet'!B59),0,'Eigen informatie GS &amp; warmtenet'!B59)</f>
        <v>0</v>
      </c>
      <c r="D5" s="30">
        <f>SUM(D6:D15)</f>
        <v>2141.4313736803792</v>
      </c>
      <c r="E5" s="17">
        <f>SUM(E6:E15)</f>
        <v>352.52517886842054</v>
      </c>
      <c r="F5" s="17">
        <f>SUM(F6:F15)</f>
        <v>1157.0190634420464</v>
      </c>
      <c r="G5" s="18"/>
      <c r="H5" s="17"/>
      <c r="I5" s="17"/>
      <c r="J5" s="17">
        <f>SUM(J6:J15)</f>
        <v>11.765456052999452</v>
      </c>
      <c r="K5" s="17"/>
      <c r="L5" s="17"/>
      <c r="M5" s="17"/>
      <c r="N5" s="17">
        <f>SUM(N6:N15)</f>
        <v>303.73568311970149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220.77053124493702</v>
      </c>
      <c r="C8" s="33"/>
      <c r="D8" s="37">
        <f>IF( ISERROR(IND_metaal_Gas_kWH/1000),0,IND_metaal_Gas_kWH/1000)*0.902</f>
        <v>286.45737474816633</v>
      </c>
      <c r="E8" s="33">
        <f>C30*'E Balans VL '!I18/100/3.6*1000000</f>
        <v>2.0297718125903699</v>
      </c>
      <c r="F8" s="33">
        <f>C30*'E Balans VL '!L18/100/3.6*1000000+C30*'E Balans VL '!N18/100/3.6*1000000</f>
        <v>20.700925635769512</v>
      </c>
      <c r="G8" s="34"/>
      <c r="H8" s="33"/>
      <c r="I8" s="33"/>
      <c r="J8" s="40">
        <f>C30*'E Balans VL '!D18/100/3.6*1000000+C30*'E Balans VL '!E18/100/3.6*1000000</f>
        <v>0</v>
      </c>
      <c r="K8" s="33"/>
      <c r="L8" s="33"/>
      <c r="M8" s="33"/>
      <c r="N8" s="33">
        <f>C30*'E Balans VL '!Y18/100/3.6*1000000</f>
        <v>3.1496564668756477</v>
      </c>
      <c r="O8" s="33"/>
      <c r="P8" s="33"/>
      <c r="R8" s="32"/>
    </row>
    <row r="9" spans="1:18">
      <c r="A9" s="6" t="s">
        <v>32</v>
      </c>
      <c r="B9" s="37">
        <f t="shared" si="0"/>
        <v>575.64448363914096</v>
      </c>
      <c r="C9" s="33"/>
      <c r="D9" s="37">
        <f>IF( ISERROR(IND_andere_gas_kWh/1000),0,IND_andere_gas_kWh/1000)*0.902</f>
        <v>684.33729978471433</v>
      </c>
      <c r="E9" s="33">
        <f>C31*'E Balans VL '!I19/100/3.6*1000000</f>
        <v>168.27208904402116</v>
      </c>
      <c r="F9" s="33">
        <f>C31*'E Balans VL '!L19/100/3.6*1000000+C31*'E Balans VL '!N19/100/3.6*1000000</f>
        <v>462.57391488778188</v>
      </c>
      <c r="G9" s="34"/>
      <c r="H9" s="33"/>
      <c r="I9" s="33"/>
      <c r="J9" s="40">
        <f>C31*'E Balans VL '!D19/100/3.6*1000000+C31*'E Balans VL '!E19/100/3.6*1000000</f>
        <v>0</v>
      </c>
      <c r="K9" s="33"/>
      <c r="L9" s="33"/>
      <c r="M9" s="33"/>
      <c r="N9" s="33">
        <f>C31*'E Balans VL '!Y19/100/3.6*1000000</f>
        <v>45.152771474236275</v>
      </c>
      <c r="O9" s="33"/>
      <c r="P9" s="33"/>
      <c r="R9" s="32"/>
    </row>
    <row r="10" spans="1:18">
      <c r="A10" s="6" t="s">
        <v>40</v>
      </c>
      <c r="B10" s="37">
        <f t="shared" si="0"/>
        <v>358.523949888571</v>
      </c>
      <c r="C10" s="33"/>
      <c r="D10" s="37">
        <f>IF( ISERROR(IND_voed_gas_kWh/1000),0,IND_voed_gas_kWh/1000)*0.902</f>
        <v>226.72593987116292</v>
      </c>
      <c r="E10" s="33">
        <f>C32*'E Balans VL '!I20/100/3.6*1000000</f>
        <v>0.75846297496895498</v>
      </c>
      <c r="F10" s="33">
        <f>C32*'E Balans VL '!L20/100/3.6*1000000+C32*'E Balans VL '!N20/100/3.6*1000000</f>
        <v>22.795318955390883</v>
      </c>
      <c r="G10" s="34"/>
      <c r="H10" s="33"/>
      <c r="I10" s="33"/>
      <c r="J10" s="40">
        <f>C32*'E Balans VL '!D20/100/3.6*1000000+C32*'E Balans VL '!E20/100/3.6*1000000</f>
        <v>0</v>
      </c>
      <c r="K10" s="33"/>
      <c r="L10" s="33"/>
      <c r="M10" s="33"/>
      <c r="N10" s="33">
        <f>C32*'E Balans VL '!Y20/100/3.6*1000000</f>
        <v>24.741690543098475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3286.4576947082796</v>
      </c>
      <c r="C15" s="33"/>
      <c r="D15" s="37">
        <f>IF( ISERROR(IND_rest_gas_kWh/1000),0,IND_rest_gas_kWh/1000)*0.902</f>
        <v>943.91075927633585</v>
      </c>
      <c r="E15" s="33">
        <f>C37*'E Balans VL '!I15/100/3.6*1000000</f>
        <v>181.46485503684005</v>
      </c>
      <c r="F15" s="33">
        <f>C37*'E Balans VL '!L15/100/3.6*1000000+C37*'E Balans VL '!N15/100/3.6*1000000</f>
        <v>650.94890396310427</v>
      </c>
      <c r="G15" s="34"/>
      <c r="H15" s="33"/>
      <c r="I15" s="33"/>
      <c r="J15" s="40">
        <f>C37*'E Balans VL '!D15/100/3.6*1000000+C37*'E Balans VL '!E15/100/3.6*1000000</f>
        <v>11.765456052999452</v>
      </c>
      <c r="K15" s="33"/>
      <c r="L15" s="33"/>
      <c r="M15" s="33"/>
      <c r="N15" s="33">
        <f>C37*'E Balans VL '!Y15/100/3.6*1000000</f>
        <v>230.69156463549109</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4441.3966594809281</v>
      </c>
      <c r="C18" s="21">
        <f>C5+C16</f>
        <v>0</v>
      </c>
      <c r="D18" s="21">
        <f>MAX((D5+D16),0)</f>
        <v>2141.4313736803792</v>
      </c>
      <c r="E18" s="21">
        <f>MAX((E5+E16),0)</f>
        <v>352.52517886842054</v>
      </c>
      <c r="F18" s="21">
        <f>MAX((F5+F16),0)</f>
        <v>1157.0190634420464</v>
      </c>
      <c r="G18" s="21"/>
      <c r="H18" s="21"/>
      <c r="I18" s="21"/>
      <c r="J18" s="21">
        <f>MAX((J5+J16),0)</f>
        <v>11.765456052999452</v>
      </c>
      <c r="K18" s="21"/>
      <c r="L18" s="21">
        <f>MAX((L5+L16),0)</f>
        <v>0</v>
      </c>
      <c r="M18" s="21"/>
      <c r="N18" s="21">
        <f>MAX((N5+N16),0)</f>
        <v>303.73568311970149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0.20886049030831463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927.63228395289741</v>
      </c>
      <c r="C22" s="23">
        <f ca="1">C18*C20</f>
        <v>0</v>
      </c>
      <c r="D22" s="23">
        <f>D18*D20</f>
        <v>432.56913748343663</v>
      </c>
      <c r="E22" s="23">
        <f>E18*E20</f>
        <v>80.023215603131462</v>
      </c>
      <c r="F22" s="23">
        <f>F18*F20</f>
        <v>308.92408993902643</v>
      </c>
      <c r="G22" s="23"/>
      <c r="H22" s="23"/>
      <c r="I22" s="23"/>
      <c r="J22" s="23">
        <f>J18*J20</f>
        <v>4.1649714427618063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220.77053124493702</v>
      </c>
      <c r="C30" s="39">
        <f>IF(ISERROR(B30*3.6/1000000/'E Balans VL '!Z18*100),0,B30*3.6/1000000/'E Balans VL '!Z18*100)</f>
        <v>1.2511632098317894E-2</v>
      </c>
      <c r="D30" s="237" t="s">
        <v>744</v>
      </c>
    </row>
    <row r="31" spans="1:18">
      <c r="A31" s="6" t="s">
        <v>32</v>
      </c>
      <c r="B31" s="37">
        <f>IF( ISERROR(IND_ander_ele_kWh/1000),0,IND_ander_ele_kWh/1000)</f>
        <v>575.64448363914096</v>
      </c>
      <c r="C31" s="39">
        <f>IF(ISERROR(B31*3.6/1000000/'E Balans VL '!Z19*100),0,B31*3.6/1000000/'E Balans VL '!Z19*100)</f>
        <v>2.6108836835959607E-2</v>
      </c>
      <c r="D31" s="237" t="s">
        <v>744</v>
      </c>
    </row>
    <row r="32" spans="1:18">
      <c r="A32" s="171" t="s">
        <v>40</v>
      </c>
      <c r="B32" s="37">
        <f>IF( ISERROR(IND_voed_ele_kWh/1000),0,IND_voed_ele_kWh/1000)</f>
        <v>358.523949888571</v>
      </c>
      <c r="C32" s="39">
        <f>IF(ISERROR(B32*3.6/1000000/'E Balans VL '!Z20*100),0,B32*3.6/1000000/'E Balans VL '!Z20*100)</f>
        <v>1.1090773331362054E-2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3286.4576947082796</v>
      </c>
      <c r="C37" s="39">
        <f>IF(ISERROR(B37*3.6/1000000/'E Balans VL '!Z15*100),0,B37*3.6/1000000/'E Balans VL '!Z15*100)</f>
        <v>2.6049213384469881E-2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1517.635557825241</v>
      </c>
      <c r="C5" s="17">
        <f>'Eigen informatie GS &amp; warmtenet'!B60</f>
        <v>0</v>
      </c>
      <c r="D5" s="30">
        <f>IF(ISERROR(SUM(LB_lb_gas_kWh,LB_rest_gas_kWh)/1000),0,SUM(LB_lb_gas_kWh,LB_rest_gas_kWh)/1000)*0.902</f>
        <v>31485.330064562822</v>
      </c>
      <c r="E5" s="17">
        <f>B17*'E Balans VL '!I25/3.6*1000000/100</f>
        <v>44.607944438501555</v>
      </c>
      <c r="F5" s="17">
        <f>B17*('E Balans VL '!L25/3.6*1000000+'E Balans VL '!N25/3.6*1000000)/100</f>
        <v>6322.3877251788554</v>
      </c>
      <c r="G5" s="18"/>
      <c r="H5" s="17"/>
      <c r="I5" s="17"/>
      <c r="J5" s="17">
        <f>('E Balans VL '!D25+'E Balans VL '!E25)/3.6*1000000*landbouw!B17/100</f>
        <v>219.87280073220077</v>
      </c>
      <c r="K5" s="17"/>
      <c r="L5" s="17">
        <f>L6*(-1)</f>
        <v>0</v>
      </c>
      <c r="M5" s="17"/>
      <c r="N5" s="17">
        <f>N6*(-1)</f>
        <v>0</v>
      </c>
      <c r="O5" s="17"/>
      <c r="P5" s="17"/>
      <c r="R5" s="32"/>
    </row>
    <row r="6" spans="1:18">
      <c r="A6" s="16" t="s">
        <v>487</v>
      </c>
      <c r="B6" s="17" t="s">
        <v>210</v>
      </c>
      <c r="C6" s="17">
        <f>'lokale energieproductie'!O40+'lokale energieproductie'!O33</f>
        <v>12947.142857142855</v>
      </c>
      <c r="D6" s="308">
        <f>('lokale energieproductie'!P33+'lokale energieproductie'!P40)*(-1)</f>
        <v>-25894.28571428571</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1517.635557825241</v>
      </c>
      <c r="C8" s="21">
        <f>C5+C6</f>
        <v>12947.142857142855</v>
      </c>
      <c r="D8" s="21">
        <f>MAX((D5+D6),0)</f>
        <v>5591.0443502771122</v>
      </c>
      <c r="E8" s="21">
        <f>MAX((E5+E6),0)</f>
        <v>44.607944438501555</v>
      </c>
      <c r="F8" s="21">
        <f>MAX((F5+F6),0)</f>
        <v>6322.3877251788554</v>
      </c>
      <c r="G8" s="21"/>
      <c r="H8" s="21"/>
      <c r="I8" s="21"/>
      <c r="J8" s="21">
        <f>MAX((J5+J6),0)</f>
        <v>219.87280073220077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0.20886049030831463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316.97410671671241</v>
      </c>
      <c r="C12" s="23">
        <f ca="1">C8*C10</f>
        <v>3076.8504201680671</v>
      </c>
      <c r="D12" s="23">
        <f>D8*D10</f>
        <v>1129.3909587559767</v>
      </c>
      <c r="E12" s="23">
        <f>E8*E10</f>
        <v>10.126003387539853</v>
      </c>
      <c r="F12" s="23">
        <f>F8*F10</f>
        <v>1688.0775226227545</v>
      </c>
      <c r="G12" s="23"/>
      <c r="H12" s="23"/>
      <c r="I12" s="23"/>
      <c r="J12" s="23">
        <f>J8*J10</f>
        <v>77.834971459199068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0.21535724709175535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236.4915345806813</v>
      </c>
      <c r="C26" s="247">
        <f>B26*'GWP N2O_CH4'!B5</f>
        <v>4966.3222261943074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89.141844973469318</v>
      </c>
      <c r="C27" s="247">
        <f>B27*'GWP N2O_CH4'!B5</f>
        <v>1871.9787444428557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2.5904682850712257</v>
      </c>
      <c r="C28" s="247">
        <f>B28*'GWP N2O_CH4'!B4</f>
        <v>803.04516837207996</v>
      </c>
      <c r="D28" s="50"/>
    </row>
    <row r="29" spans="1:4">
      <c r="A29" s="41" t="s">
        <v>276</v>
      </c>
      <c r="B29" s="247">
        <f>B34*'ha_N2O bodem landbouw'!B4</f>
        <v>7.8657193134690235</v>
      </c>
      <c r="C29" s="247">
        <f>B29*'GWP N2O_CH4'!B4</f>
        <v>2438.3729871753972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1.7949300408589891E-3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6.4152398060521101E-5</v>
      </c>
      <c r="C5" s="437" t="s">
        <v>210</v>
      </c>
      <c r="D5" s="422">
        <f>SUM(D6:D11)</f>
        <v>1.7675463794889664E-4</v>
      </c>
      <c r="E5" s="422">
        <f>SUM(E6:E11)</f>
        <v>2.9997536621337176E-4</v>
      </c>
      <c r="F5" s="435" t="s">
        <v>210</v>
      </c>
      <c r="G5" s="422">
        <f>SUM(G6:G11)</f>
        <v>0.11477142594235538</v>
      </c>
      <c r="H5" s="422">
        <f>SUM(H6:H11)</f>
        <v>2.9874303222300384E-2</v>
      </c>
      <c r="I5" s="437" t="s">
        <v>210</v>
      </c>
      <c r="J5" s="437" t="s">
        <v>210</v>
      </c>
      <c r="K5" s="437" t="s">
        <v>210</v>
      </c>
      <c r="L5" s="437" t="s">
        <v>210</v>
      </c>
      <c r="M5" s="422">
        <f>SUM(M6:M11)</f>
        <v>7.5850883518294955E-3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5.3485158960449296E-5</v>
      </c>
      <c r="C6" s="423"/>
      <c r="D6" s="865">
        <f>vkm_GW_PW*SUMIFS(TableVerdeelsleutelVkm[CNG],TableVerdeelsleutelVkm[Voertuigtype],"Lichte voertuigen")*SUMIFS(TableECFTransport[EnergieConsumptieFactor (PJ per km)],TableECFTransport[Index],CONCATENATE($A6,"_CNG_CNG"))</f>
        <v>1.3254928329362143E-4</v>
      </c>
      <c r="E6" s="865">
        <f>vkm_GW_PW*SUMIFS(TableVerdeelsleutelVkm[LPG],TableVerdeelsleutelVkm[Voertuigtype],"Lichte voertuigen")*SUMIFS(TableECFTransport[EnergieConsumptieFactor (PJ per km)],TableECFTransport[Index],CONCATENATE($A6,"_LPG_LPG"))</f>
        <v>2.2755402002781657E-4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6.9725856266471042E-2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2.2520676945643511E-2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4.7367923061475831E-3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1.8841958378738772E-2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3.1519169060829501E-7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1.1008518947329955E-3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1.0388436021898801E-5</v>
      </c>
      <c r="C8" s="423"/>
      <c r="D8" s="425">
        <f>vkm_NGW_PW*SUMIFS(TableVerdeelsleutelVkm[CNG],TableVerdeelsleutelVkm[Voertuigtype],"Lichte voertuigen")*SUMIFS(TableECFTransport[EnergieConsumptieFactor (PJ per km)],TableECFTransport[Index],CONCATENATE($A8,"_CNG_CNG"))</f>
        <v>4.3514772591561294E-5</v>
      </c>
      <c r="E8" s="425">
        <f>vkm_NGW_PW*SUMIFS(TableVerdeelsleutelVkm[LPG],TableVerdeelsleutelVkm[Voertuigtype],"Lichte voertuigen")*SUMIFS(TableECFTransport[EnergieConsumptieFactor (PJ per km)],TableECFTransport[Index],CONCATENATE($A8,"_LPG_LPG"))</f>
        <v>7.0943174369824123E-5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2.0447506617590806E-2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7.2307283928623265E-3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1.4075342846815761E-3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4.8803435700770443E-3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1.0056895600612694E-7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2.8513734396589665E-4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2.78803078173E-7</v>
      </c>
      <c r="C10" s="423"/>
      <c r="D10" s="425">
        <f>vkm_SW_PW*SUMIFS(TableVerdeelsleutelVkm[CNG],TableVerdeelsleutelVkm[Voertuigtype],"Lichte voertuigen")*SUMIFS(TableECFTransport[EnergieConsumptieFactor (PJ per km)],TableECFTransport[Index],CONCATENATE($A10,"_CNG_CNG"))</f>
        <v>6.9058206371392781E-7</v>
      </c>
      <c r="E10" s="425">
        <f>vkm_SW_PW*SUMIFS(TableVerdeelsleutelVkm[LPG],TableVerdeelsleutelVkm[Voertuigtype],"Lichte voertuigen")*SUMIFS(TableECFTransport[EnergieConsumptieFactor (PJ per km)],TableECFTransport[Index],CONCATENATE($A10,"_LPG_LPG"))</f>
        <v>1.478171815731092E-6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4.0520922113436355E-4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1.2247373799856851E-4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2.7280251466424919E-5</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4.7055188834335058E-4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8.3851493624522586E-9</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2.7492270835018163E-5</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17.820110572366975</v>
      </c>
      <c r="C14" s="21"/>
      <c r="D14" s="21">
        <f t="shared" ref="D14:M14" si="0">((D5)*10^9/3600)+D12</f>
        <v>49.098510541360177</v>
      </c>
      <c r="E14" s="21">
        <f t="shared" si="0"/>
        <v>83.326490614825488</v>
      </c>
      <c r="F14" s="21"/>
      <c r="G14" s="21">
        <f t="shared" si="0"/>
        <v>31880.951650654271</v>
      </c>
      <c r="H14" s="21">
        <f t="shared" si="0"/>
        <v>8298.417561750106</v>
      </c>
      <c r="I14" s="21"/>
      <c r="J14" s="21"/>
      <c r="K14" s="21"/>
      <c r="L14" s="21"/>
      <c r="M14" s="21">
        <f t="shared" si="0"/>
        <v>2106.9689866193044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0.20886049030831463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3.7219170314929477</v>
      </c>
      <c r="C18" s="23"/>
      <c r="D18" s="23">
        <f t="shared" ref="D18:M18" si="1">D14*D16</f>
        <v>9.9178991293547565</v>
      </c>
      <c r="E18" s="23">
        <f t="shared" si="1"/>
        <v>18.915113369565386</v>
      </c>
      <c r="F18" s="23"/>
      <c r="G18" s="23">
        <f t="shared" si="1"/>
        <v>8512.2140907246903</v>
      </c>
      <c r="H18" s="23">
        <f t="shared" si="1"/>
        <v>2066.3059728757762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1.5478025029498981E-3</v>
      </c>
      <c r="H50" s="319">
        <f t="shared" si="2"/>
        <v>0</v>
      </c>
      <c r="I50" s="319">
        <f t="shared" si="2"/>
        <v>0</v>
      </c>
      <c r="J50" s="319">
        <f t="shared" si="2"/>
        <v>0</v>
      </c>
      <c r="K50" s="319">
        <f t="shared" si="2"/>
        <v>0</v>
      </c>
      <c r="L50" s="319">
        <f t="shared" si="2"/>
        <v>0</v>
      </c>
      <c r="M50" s="319">
        <f t="shared" si="2"/>
        <v>8.7901708753601297E-5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1.5478025029498981E-3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8.7901708753601297E-5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429.94513970830502</v>
      </c>
      <c r="H54" s="21">
        <f t="shared" si="3"/>
        <v>0</v>
      </c>
      <c r="I54" s="21">
        <f t="shared" si="3"/>
        <v>0</v>
      </c>
      <c r="J54" s="21">
        <f t="shared" si="3"/>
        <v>0</v>
      </c>
      <c r="K54" s="21">
        <f t="shared" si="3"/>
        <v>0</v>
      </c>
      <c r="L54" s="21">
        <f t="shared" si="3"/>
        <v>0</v>
      </c>
      <c r="M54" s="21">
        <f t="shared" si="3"/>
        <v>24.417141320444806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0.20886049030831463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114.79535230211745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9328.3171643909009</v>
      </c>
      <c r="D10" s="979">
        <f ca="1">tertiair!C16</f>
        <v>35.357142857142861</v>
      </c>
      <c r="E10" s="979">
        <f ca="1">tertiair!D16</f>
        <v>11393.610100724869</v>
      </c>
      <c r="F10" s="979">
        <f>tertiair!E16</f>
        <v>162.18678967285575</v>
      </c>
      <c r="G10" s="979">
        <f ca="1">tertiair!F16</f>
        <v>1613.2867545283175</v>
      </c>
      <c r="H10" s="979">
        <f>tertiair!G16</f>
        <v>0</v>
      </c>
      <c r="I10" s="979">
        <f>tertiair!H16</f>
        <v>0</v>
      </c>
      <c r="J10" s="979">
        <f>tertiair!I16</f>
        <v>0</v>
      </c>
      <c r="K10" s="979">
        <f>tertiair!J16</f>
        <v>2.6596535468873465E-2</v>
      </c>
      <c r="L10" s="979">
        <f>tertiair!K16</f>
        <v>0</v>
      </c>
      <c r="M10" s="979">
        <f ca="1">tertiair!L16</f>
        <v>0</v>
      </c>
      <c r="N10" s="979">
        <f>tertiair!M16</f>
        <v>0</v>
      </c>
      <c r="O10" s="979">
        <f ca="1">tertiair!N16</f>
        <v>1052.3605355121279</v>
      </c>
      <c r="P10" s="979">
        <f>tertiair!O16</f>
        <v>3.1266666666666669</v>
      </c>
      <c r="Q10" s="980">
        <f>tertiair!P16</f>
        <v>19.066666666666666</v>
      </c>
      <c r="R10" s="674">
        <f ca="1">SUM(C10:Q10)</f>
        <v>23607.338417555016</v>
      </c>
      <c r="S10" s="67"/>
    </row>
    <row r="11" spans="1:19" s="447" customFormat="1">
      <c r="A11" s="783" t="s">
        <v>224</v>
      </c>
      <c r="B11" s="788"/>
      <c r="C11" s="979">
        <f>huishoudens!B8</f>
        <v>14850.974133009438</v>
      </c>
      <c r="D11" s="979">
        <f>huishoudens!C8</f>
        <v>0</v>
      </c>
      <c r="E11" s="979">
        <f>huishoudens!D8</f>
        <v>44457.183405048439</v>
      </c>
      <c r="F11" s="979">
        <f>huishoudens!E8</f>
        <v>7818.9850042530943</v>
      </c>
      <c r="G11" s="979">
        <f>huishoudens!F8</f>
        <v>2169.3912795517726</v>
      </c>
      <c r="H11" s="979">
        <f>huishoudens!G8</f>
        <v>0</v>
      </c>
      <c r="I11" s="979">
        <f>huishoudens!H8</f>
        <v>0</v>
      </c>
      <c r="J11" s="979">
        <f>huishoudens!I8</f>
        <v>0</v>
      </c>
      <c r="K11" s="979">
        <f>huishoudens!J8</f>
        <v>189.60047358817116</v>
      </c>
      <c r="L11" s="979">
        <f>huishoudens!K8</f>
        <v>0</v>
      </c>
      <c r="M11" s="979">
        <f>huishoudens!L8</f>
        <v>0</v>
      </c>
      <c r="N11" s="979">
        <f>huishoudens!M8</f>
        <v>0</v>
      </c>
      <c r="O11" s="979">
        <f>huishoudens!N8</f>
        <v>8836.9097628647287</v>
      </c>
      <c r="P11" s="979">
        <f>huishoudens!O8</f>
        <v>121.94000000000001</v>
      </c>
      <c r="Q11" s="980">
        <f>huishoudens!P8</f>
        <v>381.33333333333337</v>
      </c>
      <c r="R11" s="674">
        <f>SUM(C11:Q11)</f>
        <v>78826.317391648976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4441.3966594809281</v>
      </c>
      <c r="D13" s="979">
        <f>industrie!C18</f>
        <v>0</v>
      </c>
      <c r="E13" s="979">
        <f>industrie!D18</f>
        <v>2141.4313736803792</v>
      </c>
      <c r="F13" s="979">
        <f>industrie!E18</f>
        <v>352.52517886842054</v>
      </c>
      <c r="G13" s="979">
        <f>industrie!F18</f>
        <v>1157.0190634420464</v>
      </c>
      <c r="H13" s="979">
        <f>industrie!G18</f>
        <v>0</v>
      </c>
      <c r="I13" s="979">
        <f>industrie!H18</f>
        <v>0</v>
      </c>
      <c r="J13" s="979">
        <f>industrie!I18</f>
        <v>0</v>
      </c>
      <c r="K13" s="979">
        <f>industrie!J18</f>
        <v>11.765456052999452</v>
      </c>
      <c r="L13" s="979">
        <f>industrie!K18</f>
        <v>0</v>
      </c>
      <c r="M13" s="979">
        <f>industrie!L18</f>
        <v>0</v>
      </c>
      <c r="N13" s="979">
        <f>industrie!M18</f>
        <v>0</v>
      </c>
      <c r="O13" s="979">
        <f>industrie!N18</f>
        <v>303.73568311970149</v>
      </c>
      <c r="P13" s="979">
        <f>industrie!O18</f>
        <v>0</v>
      </c>
      <c r="Q13" s="980">
        <f>industrie!P18</f>
        <v>0</v>
      </c>
      <c r="R13" s="674">
        <f>SUM(C13:Q13)</f>
        <v>8407.8734146444749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28620.687956881269</v>
      </c>
      <c r="D16" s="706">
        <f t="shared" ref="D16:R16" ca="1" si="0">SUM(D9:D15)</f>
        <v>35.357142857142861</v>
      </c>
      <c r="E16" s="706">
        <f t="shared" ca="1" si="0"/>
        <v>57992.224879453694</v>
      </c>
      <c r="F16" s="706">
        <f t="shared" si="0"/>
        <v>8333.6969727943706</v>
      </c>
      <c r="G16" s="706">
        <f t="shared" ca="1" si="0"/>
        <v>4939.6970975221366</v>
      </c>
      <c r="H16" s="706">
        <f t="shared" si="0"/>
        <v>0</v>
      </c>
      <c r="I16" s="706">
        <f t="shared" si="0"/>
        <v>0</v>
      </c>
      <c r="J16" s="706">
        <f t="shared" si="0"/>
        <v>0</v>
      </c>
      <c r="K16" s="706">
        <f t="shared" si="0"/>
        <v>201.39252617663948</v>
      </c>
      <c r="L16" s="706">
        <f t="shared" si="0"/>
        <v>0</v>
      </c>
      <c r="M16" s="706">
        <f t="shared" ca="1" si="0"/>
        <v>0</v>
      </c>
      <c r="N16" s="706">
        <f t="shared" si="0"/>
        <v>0</v>
      </c>
      <c r="O16" s="706">
        <f t="shared" ca="1" si="0"/>
        <v>10193.005981496557</v>
      </c>
      <c r="P16" s="706">
        <f t="shared" si="0"/>
        <v>125.06666666666668</v>
      </c>
      <c r="Q16" s="706">
        <f t="shared" si="0"/>
        <v>400.40000000000003</v>
      </c>
      <c r="R16" s="706">
        <f t="shared" ca="1" si="0"/>
        <v>110841.52922384847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429.94513970830502</v>
      </c>
      <c r="I19" s="979">
        <f>transport!H54</f>
        <v>0</v>
      </c>
      <c r="J19" s="979">
        <f>transport!I54</f>
        <v>0</v>
      </c>
      <c r="K19" s="979">
        <f>transport!J54</f>
        <v>0</v>
      </c>
      <c r="L19" s="979">
        <f>transport!K54</f>
        <v>0</v>
      </c>
      <c r="M19" s="979">
        <f>transport!L54</f>
        <v>0</v>
      </c>
      <c r="N19" s="979">
        <f>transport!M54</f>
        <v>24.417141320444806</v>
      </c>
      <c r="O19" s="979">
        <f>transport!N54</f>
        <v>0</v>
      </c>
      <c r="P19" s="979">
        <f>transport!O54</f>
        <v>0</v>
      </c>
      <c r="Q19" s="980">
        <f>transport!P54</f>
        <v>0</v>
      </c>
      <c r="R19" s="674">
        <f>SUM(C19:Q19)</f>
        <v>454.36228102874981</v>
      </c>
      <c r="S19" s="67"/>
    </row>
    <row r="20" spans="1:19" s="447" customFormat="1">
      <c r="A20" s="783" t="s">
        <v>306</v>
      </c>
      <c r="B20" s="788"/>
      <c r="C20" s="979">
        <f>transport!B14</f>
        <v>17.820110572366975</v>
      </c>
      <c r="D20" s="979">
        <f>transport!C14</f>
        <v>0</v>
      </c>
      <c r="E20" s="979">
        <f>transport!D14</f>
        <v>49.098510541360177</v>
      </c>
      <c r="F20" s="979">
        <f>transport!E14</f>
        <v>83.326490614825488</v>
      </c>
      <c r="G20" s="979">
        <f>transport!F14</f>
        <v>0</v>
      </c>
      <c r="H20" s="979">
        <f>transport!G14</f>
        <v>31880.951650654271</v>
      </c>
      <c r="I20" s="979">
        <f>transport!H14</f>
        <v>8298.417561750106</v>
      </c>
      <c r="J20" s="979">
        <f>transport!I14</f>
        <v>0</v>
      </c>
      <c r="K20" s="979">
        <f>transport!J14</f>
        <v>0</v>
      </c>
      <c r="L20" s="979">
        <f>transport!K14</f>
        <v>0</v>
      </c>
      <c r="M20" s="979">
        <f>transport!L14</f>
        <v>0</v>
      </c>
      <c r="N20" s="979">
        <f>transport!M14</f>
        <v>2106.9689866193044</v>
      </c>
      <c r="O20" s="979">
        <f>transport!N14</f>
        <v>0</v>
      </c>
      <c r="P20" s="979">
        <f>transport!O14</f>
        <v>0</v>
      </c>
      <c r="Q20" s="980">
        <f>transport!P14</f>
        <v>0</v>
      </c>
      <c r="R20" s="674">
        <f>SUM(C20:Q20)</f>
        <v>42436.583310752234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17.820110572366975</v>
      </c>
      <c r="D22" s="786">
        <f t="shared" ref="D22:R22" si="1">SUM(D18:D21)</f>
        <v>0</v>
      </c>
      <c r="E22" s="786">
        <f t="shared" si="1"/>
        <v>49.098510541360177</v>
      </c>
      <c r="F22" s="786">
        <f t="shared" si="1"/>
        <v>83.326490614825488</v>
      </c>
      <c r="G22" s="786">
        <f t="shared" si="1"/>
        <v>0</v>
      </c>
      <c r="H22" s="786">
        <f t="shared" si="1"/>
        <v>32310.896790362578</v>
      </c>
      <c r="I22" s="786">
        <f t="shared" si="1"/>
        <v>8298.417561750106</v>
      </c>
      <c r="J22" s="786">
        <f t="shared" si="1"/>
        <v>0</v>
      </c>
      <c r="K22" s="786">
        <f t="shared" si="1"/>
        <v>0</v>
      </c>
      <c r="L22" s="786">
        <f t="shared" si="1"/>
        <v>0</v>
      </c>
      <c r="M22" s="786">
        <f t="shared" si="1"/>
        <v>0</v>
      </c>
      <c r="N22" s="786">
        <f t="shared" si="1"/>
        <v>2131.3861279397493</v>
      </c>
      <c r="O22" s="786">
        <f t="shared" si="1"/>
        <v>0</v>
      </c>
      <c r="P22" s="786">
        <f t="shared" si="1"/>
        <v>0</v>
      </c>
      <c r="Q22" s="786">
        <f t="shared" si="1"/>
        <v>0</v>
      </c>
      <c r="R22" s="786">
        <f t="shared" si="1"/>
        <v>42890.945591780983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1517.635557825241</v>
      </c>
      <c r="D24" s="979">
        <f>+landbouw!C8</f>
        <v>12947.142857142855</v>
      </c>
      <c r="E24" s="979">
        <f>+landbouw!D8</f>
        <v>5591.0443502771122</v>
      </c>
      <c r="F24" s="979">
        <f>+landbouw!E8</f>
        <v>44.607944438501555</v>
      </c>
      <c r="G24" s="979">
        <f>+landbouw!F8</f>
        <v>6322.3877251788554</v>
      </c>
      <c r="H24" s="979">
        <f>+landbouw!G8</f>
        <v>0</v>
      </c>
      <c r="I24" s="979">
        <f>+landbouw!H8</f>
        <v>0</v>
      </c>
      <c r="J24" s="979">
        <f>+landbouw!I8</f>
        <v>0</v>
      </c>
      <c r="K24" s="979">
        <f>+landbouw!J8</f>
        <v>219.87280073220077</v>
      </c>
      <c r="L24" s="979">
        <f>+landbouw!K8</f>
        <v>0</v>
      </c>
      <c r="M24" s="979">
        <f>+landbouw!L8</f>
        <v>0</v>
      </c>
      <c r="N24" s="979">
        <f>+landbouw!M8</f>
        <v>0</v>
      </c>
      <c r="O24" s="979">
        <f>+landbouw!N8</f>
        <v>0</v>
      </c>
      <c r="P24" s="979">
        <f>+landbouw!O8</f>
        <v>0</v>
      </c>
      <c r="Q24" s="980">
        <f>+landbouw!P8</f>
        <v>0</v>
      </c>
      <c r="R24" s="674">
        <f>SUM(C24:Q24)</f>
        <v>26642.691235594768</v>
      </c>
      <c r="S24" s="67"/>
    </row>
    <row r="25" spans="1:19" s="447" customFormat="1" ht="15" thickBot="1">
      <c r="A25" s="805" t="s">
        <v>823</v>
      </c>
      <c r="B25" s="982"/>
      <c r="C25" s="983">
        <f>IF(Onbekend_ele_kWh="---",0,Onbekend_ele_kWh)/1000+IF(REST_rest_ele_kWh="---",0,REST_rest_ele_kWh)/1000</f>
        <v>438.78759122345798</v>
      </c>
      <c r="D25" s="983"/>
      <c r="E25" s="983">
        <f>IF(onbekend_gas_kWh="---",0,onbekend_gas_kWh)/1000+IF(REST_rest_gas_kWh="---",0,REST_rest_gas_kWh)/1000</f>
        <v>1296.20334450019</v>
      </c>
      <c r="F25" s="983"/>
      <c r="G25" s="983"/>
      <c r="H25" s="983"/>
      <c r="I25" s="983"/>
      <c r="J25" s="983"/>
      <c r="K25" s="983"/>
      <c r="L25" s="983"/>
      <c r="M25" s="983"/>
      <c r="N25" s="983"/>
      <c r="O25" s="983"/>
      <c r="P25" s="983"/>
      <c r="Q25" s="984"/>
      <c r="R25" s="674">
        <f>SUM(C25:Q25)</f>
        <v>1734.9909357236479</v>
      </c>
      <c r="S25" s="67"/>
    </row>
    <row r="26" spans="1:19" s="447" customFormat="1" ht="15.75" thickBot="1">
      <c r="A26" s="679" t="s">
        <v>824</v>
      </c>
      <c r="B26" s="791"/>
      <c r="C26" s="786">
        <f>SUM(C24:C25)</f>
        <v>1956.4231490486991</v>
      </c>
      <c r="D26" s="786">
        <f t="shared" ref="D26:R26" si="2">SUM(D24:D25)</f>
        <v>12947.142857142855</v>
      </c>
      <c r="E26" s="786">
        <f t="shared" si="2"/>
        <v>6887.2476947773021</v>
      </c>
      <c r="F26" s="786">
        <f t="shared" si="2"/>
        <v>44.607944438501555</v>
      </c>
      <c r="G26" s="786">
        <f t="shared" si="2"/>
        <v>6322.3877251788554</v>
      </c>
      <c r="H26" s="786">
        <f t="shared" si="2"/>
        <v>0</v>
      </c>
      <c r="I26" s="786">
        <f t="shared" si="2"/>
        <v>0</v>
      </c>
      <c r="J26" s="786">
        <f t="shared" si="2"/>
        <v>0</v>
      </c>
      <c r="K26" s="786">
        <f t="shared" si="2"/>
        <v>219.87280073220077</v>
      </c>
      <c r="L26" s="786">
        <f t="shared" si="2"/>
        <v>0</v>
      </c>
      <c r="M26" s="786">
        <f t="shared" si="2"/>
        <v>0</v>
      </c>
      <c r="N26" s="786">
        <f t="shared" si="2"/>
        <v>0</v>
      </c>
      <c r="O26" s="786">
        <f t="shared" si="2"/>
        <v>0</v>
      </c>
      <c r="P26" s="786">
        <f t="shared" si="2"/>
        <v>0</v>
      </c>
      <c r="Q26" s="786">
        <f t="shared" si="2"/>
        <v>0</v>
      </c>
      <c r="R26" s="786">
        <f t="shared" si="2"/>
        <v>28377.682171318414</v>
      </c>
      <c r="S26" s="67"/>
    </row>
    <row r="27" spans="1:19" s="447" customFormat="1" ht="17.25" thickTop="1" thickBot="1">
      <c r="A27" s="680" t="s">
        <v>115</v>
      </c>
      <c r="B27" s="779"/>
      <c r="C27" s="681">
        <f ca="1">C22+C16+C26</f>
        <v>30594.931216502337</v>
      </c>
      <c r="D27" s="681">
        <f t="shared" ref="D27:R27" ca="1" si="3">D22+D16+D26</f>
        <v>12982.499999999998</v>
      </c>
      <c r="E27" s="681">
        <f t="shared" ca="1" si="3"/>
        <v>64928.57108477236</v>
      </c>
      <c r="F27" s="681">
        <f t="shared" si="3"/>
        <v>8461.6314078476971</v>
      </c>
      <c r="G27" s="681">
        <f t="shared" ca="1" si="3"/>
        <v>11262.084822700992</v>
      </c>
      <c r="H27" s="681">
        <f t="shared" si="3"/>
        <v>32310.896790362578</v>
      </c>
      <c r="I27" s="681">
        <f t="shared" si="3"/>
        <v>8298.417561750106</v>
      </c>
      <c r="J27" s="681">
        <f t="shared" si="3"/>
        <v>0</v>
      </c>
      <c r="K27" s="681">
        <f t="shared" si="3"/>
        <v>421.26532690884028</v>
      </c>
      <c r="L27" s="681">
        <f t="shared" si="3"/>
        <v>0</v>
      </c>
      <c r="M27" s="681">
        <f t="shared" ca="1" si="3"/>
        <v>0</v>
      </c>
      <c r="N27" s="681">
        <f t="shared" si="3"/>
        <v>2131.3861279397493</v>
      </c>
      <c r="O27" s="681">
        <f t="shared" ca="1" si="3"/>
        <v>10193.005981496557</v>
      </c>
      <c r="P27" s="681">
        <f t="shared" si="3"/>
        <v>125.06666666666668</v>
      </c>
      <c r="Q27" s="681">
        <f t="shared" si="3"/>
        <v>400.40000000000003</v>
      </c>
      <c r="R27" s="681">
        <f t="shared" ca="1" si="3"/>
        <v>182110.15698694787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1948.3168967061508</v>
      </c>
      <c r="D40" s="979">
        <f ca="1">tertiair!C20</f>
        <v>8.4025210084033635</v>
      </c>
      <c r="E40" s="979">
        <f ca="1">tertiair!D20</f>
        <v>2301.5092403464237</v>
      </c>
      <c r="F40" s="979">
        <f>tertiair!E20</f>
        <v>36.816401255738256</v>
      </c>
      <c r="G40" s="979">
        <f ca="1">tertiair!F20</f>
        <v>430.74756345906081</v>
      </c>
      <c r="H40" s="979">
        <f>tertiair!G20</f>
        <v>0</v>
      </c>
      <c r="I40" s="979">
        <f>tertiair!H20</f>
        <v>0</v>
      </c>
      <c r="J40" s="979">
        <f>tertiair!I20</f>
        <v>0</v>
      </c>
      <c r="K40" s="979">
        <f>tertiair!J20</f>
        <v>9.4151735559812062E-3</v>
      </c>
      <c r="L40" s="979">
        <f>tertiair!K20</f>
        <v>0</v>
      </c>
      <c r="M40" s="979">
        <f ca="1">tertiair!L20</f>
        <v>0</v>
      </c>
      <c r="N40" s="979">
        <f>tertiair!M20</f>
        <v>0</v>
      </c>
      <c r="O40" s="979">
        <f ca="1">tertiair!N20</f>
        <v>0</v>
      </c>
      <c r="P40" s="979">
        <f>tertiair!O20</f>
        <v>0</v>
      </c>
      <c r="Q40" s="748">
        <f>tertiair!P20</f>
        <v>0</v>
      </c>
      <c r="R40" s="824">
        <f t="shared" ca="1" si="4"/>
        <v>4725.8020379493328</v>
      </c>
    </row>
    <row r="41" spans="1:18">
      <c r="A41" s="796" t="s">
        <v>224</v>
      </c>
      <c r="B41" s="803"/>
      <c r="C41" s="979">
        <f ca="1">huishoudens!B12</f>
        <v>3101.7817389764491</v>
      </c>
      <c r="D41" s="979">
        <f ca="1">huishoudens!C12</f>
        <v>0</v>
      </c>
      <c r="E41" s="979">
        <f>huishoudens!D12</f>
        <v>8980.3510478197859</v>
      </c>
      <c r="F41" s="979">
        <f>huishoudens!E12</f>
        <v>1774.9095959654524</v>
      </c>
      <c r="G41" s="979">
        <f>huishoudens!F12</f>
        <v>579.2274716403233</v>
      </c>
      <c r="H41" s="979">
        <f>huishoudens!G12</f>
        <v>0</v>
      </c>
      <c r="I41" s="979">
        <f>huishoudens!H12</f>
        <v>0</v>
      </c>
      <c r="J41" s="979">
        <f>huishoudens!I12</f>
        <v>0</v>
      </c>
      <c r="K41" s="979">
        <f>huishoudens!J12</f>
        <v>67.118567650212583</v>
      </c>
      <c r="L41" s="979">
        <f>huishoudens!K12</f>
        <v>0</v>
      </c>
      <c r="M41" s="979">
        <f>huishoudens!L12</f>
        <v>0</v>
      </c>
      <c r="N41" s="979">
        <f>huishoudens!M12</f>
        <v>0</v>
      </c>
      <c r="O41" s="979">
        <f>huishoudens!N12</f>
        <v>0</v>
      </c>
      <c r="P41" s="979">
        <f>huishoudens!O12</f>
        <v>0</v>
      </c>
      <c r="Q41" s="748">
        <f>huishoudens!P12</f>
        <v>0</v>
      </c>
      <c r="R41" s="824">
        <f t="shared" ca="1" si="4"/>
        <v>14503.388422052221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927.63228395289741</v>
      </c>
      <c r="D43" s="979">
        <f ca="1">industrie!C22</f>
        <v>0</v>
      </c>
      <c r="E43" s="979">
        <f>industrie!D22</f>
        <v>432.56913748343663</v>
      </c>
      <c r="F43" s="979">
        <f>industrie!E22</f>
        <v>80.023215603131462</v>
      </c>
      <c r="G43" s="979">
        <f>industrie!F22</f>
        <v>308.92408993902643</v>
      </c>
      <c r="H43" s="979">
        <f>industrie!G22</f>
        <v>0</v>
      </c>
      <c r="I43" s="979">
        <f>industrie!H22</f>
        <v>0</v>
      </c>
      <c r="J43" s="979">
        <f>industrie!I22</f>
        <v>0</v>
      </c>
      <c r="K43" s="979">
        <f>industrie!J22</f>
        <v>4.1649714427618063</v>
      </c>
      <c r="L43" s="979">
        <f>industrie!K22</f>
        <v>0</v>
      </c>
      <c r="M43" s="979">
        <f>industrie!L22</f>
        <v>0</v>
      </c>
      <c r="N43" s="979">
        <f>industrie!M22</f>
        <v>0</v>
      </c>
      <c r="O43" s="979">
        <f>industrie!N22</f>
        <v>0</v>
      </c>
      <c r="P43" s="979">
        <f>industrie!O22</f>
        <v>0</v>
      </c>
      <c r="Q43" s="748">
        <f>industrie!P22</f>
        <v>0</v>
      </c>
      <c r="R43" s="823">
        <f t="shared" ca="1" si="4"/>
        <v>1753.3136984212538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5977.7309196354972</v>
      </c>
      <c r="D46" s="706">
        <f t="shared" ref="D46:Q46" ca="1" si="5">SUM(D39:D45)</f>
        <v>8.4025210084033635</v>
      </c>
      <c r="E46" s="706">
        <f t="shared" ca="1" si="5"/>
        <v>11714.429425649647</v>
      </c>
      <c r="F46" s="706">
        <f t="shared" si="5"/>
        <v>1891.7492128243221</v>
      </c>
      <c r="G46" s="706">
        <f t="shared" ca="1" si="5"/>
        <v>1318.8991250384106</v>
      </c>
      <c r="H46" s="706">
        <f t="shared" si="5"/>
        <v>0</v>
      </c>
      <c r="I46" s="706">
        <f t="shared" si="5"/>
        <v>0</v>
      </c>
      <c r="J46" s="706">
        <f t="shared" si="5"/>
        <v>0</v>
      </c>
      <c r="K46" s="706">
        <f t="shared" si="5"/>
        <v>71.292954266530373</v>
      </c>
      <c r="L46" s="706">
        <f t="shared" si="5"/>
        <v>0</v>
      </c>
      <c r="M46" s="706">
        <f t="shared" ca="1" si="5"/>
        <v>0</v>
      </c>
      <c r="N46" s="706">
        <f t="shared" si="5"/>
        <v>0</v>
      </c>
      <c r="O46" s="706">
        <f t="shared" ca="1" si="5"/>
        <v>0</v>
      </c>
      <c r="P46" s="706">
        <f t="shared" si="5"/>
        <v>0</v>
      </c>
      <c r="Q46" s="706">
        <f t="shared" si="5"/>
        <v>0</v>
      </c>
      <c r="R46" s="706">
        <f ca="1">SUM(R39:R45)</f>
        <v>20982.504158422809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114.79535230211745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114.79535230211745</v>
      </c>
    </row>
    <row r="50" spans="1:18">
      <c r="A50" s="799" t="s">
        <v>306</v>
      </c>
      <c r="B50" s="809"/>
      <c r="C50" s="677">
        <f ca="1">transport!B18</f>
        <v>3.7219170314929477</v>
      </c>
      <c r="D50" s="677">
        <f>transport!C18</f>
        <v>0</v>
      </c>
      <c r="E50" s="677">
        <f>transport!D18</f>
        <v>9.9178991293547565</v>
      </c>
      <c r="F50" s="677">
        <f>transport!E18</f>
        <v>18.915113369565386</v>
      </c>
      <c r="G50" s="677">
        <f>transport!F18</f>
        <v>0</v>
      </c>
      <c r="H50" s="677">
        <f>transport!G18</f>
        <v>8512.2140907246903</v>
      </c>
      <c r="I50" s="677">
        <f>transport!H18</f>
        <v>2066.3059728757762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10611.07499313088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3.7219170314929477</v>
      </c>
      <c r="D52" s="706">
        <f t="shared" ref="D52:Q52" ca="1" si="6">SUM(D48:D51)</f>
        <v>0</v>
      </c>
      <c r="E52" s="706">
        <f t="shared" si="6"/>
        <v>9.9178991293547565</v>
      </c>
      <c r="F52" s="706">
        <f t="shared" si="6"/>
        <v>18.915113369565386</v>
      </c>
      <c r="G52" s="706">
        <f t="shared" si="6"/>
        <v>0</v>
      </c>
      <c r="H52" s="706">
        <f t="shared" si="6"/>
        <v>8627.0094430268073</v>
      </c>
      <c r="I52" s="706">
        <f t="shared" si="6"/>
        <v>2066.3059728757762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10725.870345432997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316.97410671671241</v>
      </c>
      <c r="D54" s="677">
        <f ca="1">+landbouw!C12</f>
        <v>3076.8504201680671</v>
      </c>
      <c r="E54" s="677">
        <f>+landbouw!D12</f>
        <v>1129.3909587559767</v>
      </c>
      <c r="F54" s="677">
        <f>+landbouw!E12</f>
        <v>10.126003387539853</v>
      </c>
      <c r="G54" s="677">
        <f>+landbouw!F12</f>
        <v>1688.0775226227545</v>
      </c>
      <c r="H54" s="677">
        <f>+landbouw!G12</f>
        <v>0</v>
      </c>
      <c r="I54" s="677">
        <f>+landbouw!H12</f>
        <v>0</v>
      </c>
      <c r="J54" s="677">
        <f>+landbouw!I12</f>
        <v>0</v>
      </c>
      <c r="K54" s="677">
        <f>+landbouw!J12</f>
        <v>77.834971459199068</v>
      </c>
      <c r="L54" s="677">
        <f>+landbouw!K12</f>
        <v>0</v>
      </c>
      <c r="M54" s="677">
        <f>+landbouw!L12</f>
        <v>0</v>
      </c>
      <c r="N54" s="677">
        <f>+landbouw!M12</f>
        <v>0</v>
      </c>
      <c r="O54" s="677">
        <f>+landbouw!N12</f>
        <v>0</v>
      </c>
      <c r="P54" s="677">
        <f>+landbouw!O12</f>
        <v>0</v>
      </c>
      <c r="Q54" s="678">
        <f>+landbouw!P12</f>
        <v>0</v>
      </c>
      <c r="R54" s="705">
        <f ca="1">SUM(C54:Q54)</f>
        <v>6299.2539831102486</v>
      </c>
    </row>
    <row r="55" spans="1:18" ht="15" thickBot="1">
      <c r="A55" s="799" t="s">
        <v>823</v>
      </c>
      <c r="B55" s="809"/>
      <c r="C55" s="677">
        <f ca="1">C25*'EF ele_warmte'!B12</f>
        <v>91.645391444135768</v>
      </c>
      <c r="D55" s="677"/>
      <c r="E55" s="677">
        <f>E25*EF_CO2_aardgas</f>
        <v>261.8330755890384</v>
      </c>
      <c r="F55" s="677"/>
      <c r="G55" s="677"/>
      <c r="H55" s="677"/>
      <c r="I55" s="677"/>
      <c r="J55" s="677"/>
      <c r="K55" s="677"/>
      <c r="L55" s="677"/>
      <c r="M55" s="677"/>
      <c r="N55" s="677"/>
      <c r="O55" s="677"/>
      <c r="P55" s="677"/>
      <c r="Q55" s="678"/>
      <c r="R55" s="705">
        <f ca="1">SUM(C55:Q55)</f>
        <v>353.47846703317418</v>
      </c>
    </row>
    <row r="56" spans="1:18" ht="15.75" thickBot="1">
      <c r="A56" s="797" t="s">
        <v>824</v>
      </c>
      <c r="B56" s="810"/>
      <c r="C56" s="706">
        <f ca="1">SUM(C54:C55)</f>
        <v>408.6194981608482</v>
      </c>
      <c r="D56" s="706">
        <f t="shared" ref="D56:Q56" ca="1" si="7">SUM(D54:D55)</f>
        <v>3076.8504201680671</v>
      </c>
      <c r="E56" s="706">
        <f t="shared" si="7"/>
        <v>1391.2240343450151</v>
      </c>
      <c r="F56" s="706">
        <f t="shared" si="7"/>
        <v>10.126003387539853</v>
      </c>
      <c r="G56" s="706">
        <f t="shared" si="7"/>
        <v>1688.0775226227545</v>
      </c>
      <c r="H56" s="706">
        <f t="shared" si="7"/>
        <v>0</v>
      </c>
      <c r="I56" s="706">
        <f t="shared" si="7"/>
        <v>0</v>
      </c>
      <c r="J56" s="706">
        <f t="shared" si="7"/>
        <v>0</v>
      </c>
      <c r="K56" s="706">
        <f t="shared" si="7"/>
        <v>77.834971459199068</v>
      </c>
      <c r="L56" s="706">
        <f t="shared" si="7"/>
        <v>0</v>
      </c>
      <c r="M56" s="706">
        <f t="shared" si="7"/>
        <v>0</v>
      </c>
      <c r="N56" s="706">
        <f t="shared" si="7"/>
        <v>0</v>
      </c>
      <c r="O56" s="706">
        <f t="shared" si="7"/>
        <v>0</v>
      </c>
      <c r="P56" s="706">
        <f t="shared" si="7"/>
        <v>0</v>
      </c>
      <c r="Q56" s="707">
        <f t="shared" si="7"/>
        <v>0</v>
      </c>
      <c r="R56" s="708">
        <f ca="1">SUM(R54:R55)</f>
        <v>6652.7324501434232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6390.0723348278379</v>
      </c>
      <c r="D61" s="714">
        <f t="shared" ref="D61:Q61" ca="1" si="8">D46+D52+D56</f>
        <v>3085.2529411764704</v>
      </c>
      <c r="E61" s="714">
        <f t="shared" ca="1" si="8"/>
        <v>13115.571359124018</v>
      </c>
      <c r="F61" s="714">
        <f t="shared" si="8"/>
        <v>1920.7903295814274</v>
      </c>
      <c r="G61" s="714">
        <f t="shared" ca="1" si="8"/>
        <v>3006.9766476611649</v>
      </c>
      <c r="H61" s="714">
        <f t="shared" si="8"/>
        <v>8627.0094430268073</v>
      </c>
      <c r="I61" s="714">
        <f t="shared" si="8"/>
        <v>2066.3059728757762</v>
      </c>
      <c r="J61" s="714">
        <f t="shared" si="8"/>
        <v>0</v>
      </c>
      <c r="K61" s="714">
        <f t="shared" si="8"/>
        <v>149.12792572572943</v>
      </c>
      <c r="L61" s="714">
        <f t="shared" si="8"/>
        <v>0</v>
      </c>
      <c r="M61" s="714">
        <f t="shared" ca="1" si="8"/>
        <v>0</v>
      </c>
      <c r="N61" s="714">
        <f t="shared" si="8"/>
        <v>0</v>
      </c>
      <c r="O61" s="714">
        <f t="shared" ca="1" si="8"/>
        <v>0</v>
      </c>
      <c r="P61" s="714">
        <f t="shared" si="8"/>
        <v>0</v>
      </c>
      <c r="Q61" s="714">
        <f t="shared" si="8"/>
        <v>0</v>
      </c>
      <c r="R61" s="714">
        <f ca="1">R46+R52+R56</f>
        <v>38361.106953999231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0.20886049030831461</v>
      </c>
      <c r="D63" s="755">
        <f t="shared" ca="1" si="9"/>
        <v>0.23764705882352943</v>
      </c>
      <c r="E63" s="990">
        <f t="shared" ca="1" si="9"/>
        <v>0.20200000000000001</v>
      </c>
      <c r="F63" s="755">
        <f t="shared" si="9"/>
        <v>0.22700000000000001</v>
      </c>
      <c r="G63" s="755">
        <f t="shared" ca="1" si="9"/>
        <v>0.26700000000000002</v>
      </c>
      <c r="H63" s="755">
        <f t="shared" si="9"/>
        <v>0.26699999999999996</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2365.1211440846459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9087.7499999999982</v>
      </c>
      <c r="D76" s="1000">
        <f>'lokale energieproductie'!C8</f>
        <v>10691.470588235292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2159.677058823529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2365.1211440846459</v>
      </c>
      <c r="C78" s="729">
        <f>SUM(C72:C77)</f>
        <v>9087.7499999999982</v>
      </c>
      <c r="D78" s="730">
        <f t="shared" ref="D78:H78" si="10">SUM(D76:D77)</f>
        <v>10691.470588235292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2159.677058823529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12982.499999999998</v>
      </c>
      <c r="D87" s="751">
        <f>'lokale energieproductie'!C17</f>
        <v>15273.529411764704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3085.2529411764704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12982.499999999998</v>
      </c>
      <c r="D90" s="729">
        <f t="shared" ref="D90:H90" si="12">SUM(D87:D89)</f>
        <v>15273.529411764704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3085.2529411764704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2365.1211440846459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9087.7499999999982</v>
      </c>
      <c r="C8" s="544">
        <f>B49</f>
        <v>10691.470588235292</v>
      </c>
      <c r="D8" s="1010"/>
      <c r="E8" s="1010">
        <f>E49</f>
        <v>0</v>
      </c>
      <c r="F8" s="1011"/>
      <c r="G8" s="545"/>
      <c r="H8" s="1010">
        <f>I49</f>
        <v>0</v>
      </c>
      <c r="I8" s="1010">
        <f>G49+F49</f>
        <v>0</v>
      </c>
      <c r="J8" s="1010">
        <f>H49+D49+C49</f>
        <v>0</v>
      </c>
      <c r="K8" s="1010"/>
      <c r="L8" s="1010"/>
      <c r="M8" s="1010"/>
      <c r="N8" s="546"/>
      <c r="O8" s="547">
        <f>C8*$C$12+D8*$D$12+E8*$E$12+F8*$F$12+G8*$G$12+H8*$H$12+I8*$I$12+J8*$J$12</f>
        <v>2159.677058823529</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11452.871144084644</v>
      </c>
      <c r="C10" s="557">
        <f t="shared" ref="C10:L10" si="0">SUM(C8:C9)</f>
        <v>10691.470588235292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2159.677058823529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12982.499999999998</v>
      </c>
      <c r="C17" s="569">
        <f>B50</f>
        <v>15273.529411764704</v>
      </c>
      <c r="D17" s="570"/>
      <c r="E17" s="570">
        <f>E50</f>
        <v>0</v>
      </c>
      <c r="F17" s="1016"/>
      <c r="G17" s="571"/>
      <c r="H17" s="569">
        <f>I50</f>
        <v>0</v>
      </c>
      <c r="I17" s="570">
        <f>G50+F50</f>
        <v>0</v>
      </c>
      <c r="J17" s="570">
        <f>H50+D50+C50</f>
        <v>0</v>
      </c>
      <c r="K17" s="570"/>
      <c r="L17" s="570"/>
      <c r="M17" s="570"/>
      <c r="N17" s="1017"/>
      <c r="O17" s="572">
        <f>C17*$C$22+E17*$E$22+H17*$H$22+I17*$I$22+J17*$J$22+D17*$D$22+F17*$F$22+G17*$G$22+K17*$K$22+L17*$L$22</f>
        <v>3085.2529411764704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12982.499999999998</v>
      </c>
      <c r="C20" s="556">
        <f>SUM(C17:C19)</f>
        <v>15273.529411764704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3085.2529411764704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13012</v>
      </c>
      <c r="C28" s="770">
        <v>2270</v>
      </c>
      <c r="D28" s="627" t="s">
        <v>887</v>
      </c>
      <c r="E28" s="626" t="s">
        <v>888</v>
      </c>
      <c r="F28" s="626" t="s">
        <v>889</v>
      </c>
      <c r="G28" s="626" t="s">
        <v>890</v>
      </c>
      <c r="H28" s="626" t="s">
        <v>891</v>
      </c>
      <c r="I28" s="626" t="s">
        <v>892</v>
      </c>
      <c r="J28" s="769">
        <v>36797</v>
      </c>
      <c r="K28" s="769">
        <v>39356</v>
      </c>
      <c r="L28" s="626" t="s">
        <v>893</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80" customFormat="1" ht="25.5">
      <c r="A29" s="579"/>
      <c r="B29" s="770">
        <v>13012</v>
      </c>
      <c r="C29" s="770">
        <v>2270</v>
      </c>
      <c r="D29" s="627" t="s">
        <v>894</v>
      </c>
      <c r="E29" s="626" t="s">
        <v>895</v>
      </c>
      <c r="F29" s="626" t="s">
        <v>896</v>
      </c>
      <c r="G29" s="626" t="s">
        <v>890</v>
      </c>
      <c r="H29" s="626" t="s">
        <v>891</v>
      </c>
      <c r="I29" s="626" t="s">
        <v>895</v>
      </c>
      <c r="J29" s="769">
        <v>39989</v>
      </c>
      <c r="K29" s="769">
        <v>40014</v>
      </c>
      <c r="L29" s="626" t="s">
        <v>893</v>
      </c>
      <c r="M29" s="626">
        <v>2014</v>
      </c>
      <c r="N29" s="626">
        <v>9062.9999999999982</v>
      </c>
      <c r="O29" s="626">
        <v>12947.142857142855</v>
      </c>
      <c r="P29" s="626">
        <v>25894.28571428571</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2019.5</v>
      </c>
      <c r="N30" s="584">
        <f>SUM(N28:N29)</f>
        <v>9087.7499999999982</v>
      </c>
      <c r="O30" s="584">
        <f>SUM(O28:O29)</f>
        <v>12982.499999999998</v>
      </c>
      <c r="P30" s="584">
        <f>SUM(P28:P29)</f>
        <v>25964.999999999996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5.5</v>
      </c>
      <c r="N32" s="584">
        <f ca="1">SUMIF($Z$28:AD29,"tertiair",N28:N29)</f>
        <v>24.75</v>
      </c>
      <c r="O32" s="584">
        <f ca="1">SUMIF($Z$28:AE29,"tertiair",O28:O29)</f>
        <v>35.357142857142861</v>
      </c>
      <c r="P32" s="584">
        <f ca="1">SUMIF($Z$28:AF29,"tertiair",P28:P29)</f>
        <v>70.714285714285722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2014</v>
      </c>
      <c r="N33" s="589">
        <f>SUMIF($Z$28:$Z$29,"landbouw",N28:N29)</f>
        <v>9062.9999999999982</v>
      </c>
      <c r="O33" s="589">
        <f>SUMIF($Z$28:$Z$29,"landbouw",O28:O29)</f>
        <v>12947.142857142855</v>
      </c>
      <c r="P33" s="589">
        <f>SUMIF($Z$28:$Z$29,"landbouw",P28:P29)</f>
        <v>25894.28571428571</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10691.470588235292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15273.529411764704</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14850.974133009438</v>
      </c>
      <c r="C4" s="451">
        <f>huishoudens!C8</f>
        <v>0</v>
      </c>
      <c r="D4" s="451">
        <f>huishoudens!D8</f>
        <v>44457.183405048439</v>
      </c>
      <c r="E4" s="451">
        <f>huishoudens!E8</f>
        <v>7818.9850042530943</v>
      </c>
      <c r="F4" s="451">
        <f>huishoudens!F8</f>
        <v>2169.3912795517726</v>
      </c>
      <c r="G4" s="451">
        <f>huishoudens!G8</f>
        <v>0</v>
      </c>
      <c r="H4" s="451">
        <f>huishoudens!H8</f>
        <v>0</v>
      </c>
      <c r="I4" s="451">
        <f>huishoudens!I8</f>
        <v>0</v>
      </c>
      <c r="J4" s="451">
        <f>huishoudens!J8</f>
        <v>189.60047358817116</v>
      </c>
      <c r="K4" s="451">
        <f>huishoudens!K8</f>
        <v>0</v>
      </c>
      <c r="L4" s="451">
        <f>huishoudens!L8</f>
        <v>0</v>
      </c>
      <c r="M4" s="451">
        <f>huishoudens!M8</f>
        <v>0</v>
      </c>
      <c r="N4" s="451">
        <f>huishoudens!N8</f>
        <v>8836.9097628647287</v>
      </c>
      <c r="O4" s="451">
        <f>huishoudens!O8</f>
        <v>121.94000000000001</v>
      </c>
      <c r="P4" s="452">
        <f>huishoudens!P8</f>
        <v>381.33333333333337</v>
      </c>
      <c r="Q4" s="453">
        <f>SUM(B4:P4)</f>
        <v>78826.317391648976</v>
      </c>
    </row>
    <row r="5" spans="1:17">
      <c r="A5" s="450" t="s">
        <v>155</v>
      </c>
      <c r="B5" s="451">
        <f ca="1">tertiair!B16</f>
        <v>8897.9781643909009</v>
      </c>
      <c r="C5" s="451">
        <f ca="1">tertiair!C16</f>
        <v>35.357142857142861</v>
      </c>
      <c r="D5" s="451">
        <f ca="1">tertiair!D16</f>
        <v>11393.610100724869</v>
      </c>
      <c r="E5" s="451">
        <f>tertiair!E16</f>
        <v>162.18678967285575</v>
      </c>
      <c r="F5" s="451">
        <f ca="1">tertiair!F16</f>
        <v>1613.2867545283175</v>
      </c>
      <c r="G5" s="451">
        <f>tertiair!G16</f>
        <v>0</v>
      </c>
      <c r="H5" s="451">
        <f>tertiair!H16</f>
        <v>0</v>
      </c>
      <c r="I5" s="451">
        <f>tertiair!I16</f>
        <v>0</v>
      </c>
      <c r="J5" s="451">
        <f>tertiair!J16</f>
        <v>2.6596535468873465E-2</v>
      </c>
      <c r="K5" s="451">
        <f>tertiair!K16</f>
        <v>0</v>
      </c>
      <c r="L5" s="451">
        <f ca="1">tertiair!L16</f>
        <v>0</v>
      </c>
      <c r="M5" s="451">
        <f>tertiair!M16</f>
        <v>0</v>
      </c>
      <c r="N5" s="451">
        <f ca="1">tertiair!N16</f>
        <v>1052.3605355121279</v>
      </c>
      <c r="O5" s="451">
        <f>tertiair!O16</f>
        <v>3.1266666666666669</v>
      </c>
      <c r="P5" s="452">
        <f>tertiair!P16</f>
        <v>19.066666666666666</v>
      </c>
      <c r="Q5" s="450">
        <f t="shared" ref="Q5:Q14" ca="1" si="0">SUM(B5:P5)</f>
        <v>23176.999417555016</v>
      </c>
    </row>
    <row r="6" spans="1:17">
      <c r="A6" s="450" t="s">
        <v>193</v>
      </c>
      <c r="B6" s="451">
        <f>'openbare verlichting'!B8</f>
        <v>430.339</v>
      </c>
      <c r="C6" s="451"/>
      <c r="D6" s="451"/>
      <c r="E6" s="451"/>
      <c r="F6" s="451"/>
      <c r="G6" s="451"/>
      <c r="H6" s="451"/>
      <c r="I6" s="451"/>
      <c r="J6" s="451"/>
      <c r="K6" s="451"/>
      <c r="L6" s="451"/>
      <c r="M6" s="451"/>
      <c r="N6" s="451"/>
      <c r="O6" s="451"/>
      <c r="P6" s="452"/>
      <c r="Q6" s="450">
        <f t="shared" si="0"/>
        <v>430.339</v>
      </c>
    </row>
    <row r="7" spans="1:17">
      <c r="A7" s="450" t="s">
        <v>111</v>
      </c>
      <c r="B7" s="451">
        <f>landbouw!B8</f>
        <v>1517.635557825241</v>
      </c>
      <c r="C7" s="451">
        <f>landbouw!C8</f>
        <v>12947.142857142855</v>
      </c>
      <c r="D7" s="451">
        <f>landbouw!D8</f>
        <v>5591.0443502771122</v>
      </c>
      <c r="E7" s="451">
        <f>landbouw!E8</f>
        <v>44.607944438501555</v>
      </c>
      <c r="F7" s="451">
        <f>landbouw!F8</f>
        <v>6322.3877251788554</v>
      </c>
      <c r="G7" s="451">
        <f>landbouw!G8</f>
        <v>0</v>
      </c>
      <c r="H7" s="451">
        <f>landbouw!H8</f>
        <v>0</v>
      </c>
      <c r="I7" s="451">
        <f>landbouw!I8</f>
        <v>0</v>
      </c>
      <c r="J7" s="451">
        <f>landbouw!J8</f>
        <v>219.87280073220077</v>
      </c>
      <c r="K7" s="451">
        <f>landbouw!K8</f>
        <v>0</v>
      </c>
      <c r="L7" s="451">
        <f>landbouw!L8</f>
        <v>0</v>
      </c>
      <c r="M7" s="451">
        <f>landbouw!M8</f>
        <v>0</v>
      </c>
      <c r="N7" s="451">
        <f>landbouw!N8</f>
        <v>0</v>
      </c>
      <c r="O7" s="451">
        <f>landbouw!O8</f>
        <v>0</v>
      </c>
      <c r="P7" s="452">
        <f>landbouw!P8</f>
        <v>0</v>
      </c>
      <c r="Q7" s="450">
        <f t="shared" si="0"/>
        <v>26642.691235594768</v>
      </c>
    </row>
    <row r="8" spans="1:17">
      <c r="A8" s="450" t="s">
        <v>634</v>
      </c>
      <c r="B8" s="451">
        <f>industrie!B18</f>
        <v>4441.3966594809281</v>
      </c>
      <c r="C8" s="451">
        <f>industrie!C18</f>
        <v>0</v>
      </c>
      <c r="D8" s="451">
        <f>industrie!D18</f>
        <v>2141.4313736803792</v>
      </c>
      <c r="E8" s="451">
        <f>industrie!E18</f>
        <v>352.52517886842054</v>
      </c>
      <c r="F8" s="451">
        <f>industrie!F18</f>
        <v>1157.0190634420464</v>
      </c>
      <c r="G8" s="451">
        <f>industrie!G18</f>
        <v>0</v>
      </c>
      <c r="H8" s="451">
        <f>industrie!H18</f>
        <v>0</v>
      </c>
      <c r="I8" s="451">
        <f>industrie!I18</f>
        <v>0</v>
      </c>
      <c r="J8" s="451">
        <f>industrie!J18</f>
        <v>11.765456052999452</v>
      </c>
      <c r="K8" s="451">
        <f>industrie!K18</f>
        <v>0</v>
      </c>
      <c r="L8" s="451">
        <f>industrie!L18</f>
        <v>0</v>
      </c>
      <c r="M8" s="451">
        <f>industrie!M18</f>
        <v>0</v>
      </c>
      <c r="N8" s="451">
        <f>industrie!N18</f>
        <v>303.73568311970149</v>
      </c>
      <c r="O8" s="451">
        <f>industrie!O18</f>
        <v>0</v>
      </c>
      <c r="P8" s="452">
        <f>industrie!P18</f>
        <v>0</v>
      </c>
      <c r="Q8" s="450">
        <f t="shared" si="0"/>
        <v>8407.8734146444749</v>
      </c>
    </row>
    <row r="9" spans="1:17" s="456" customFormat="1">
      <c r="A9" s="454" t="s">
        <v>560</v>
      </c>
      <c r="B9" s="455">
        <f>transport!B14</f>
        <v>17.820110572366975</v>
      </c>
      <c r="C9" s="455">
        <f>transport!C14</f>
        <v>0</v>
      </c>
      <c r="D9" s="455">
        <f>transport!D14</f>
        <v>49.098510541360177</v>
      </c>
      <c r="E9" s="455">
        <f>transport!E14</f>
        <v>83.326490614825488</v>
      </c>
      <c r="F9" s="455">
        <f>transport!F14</f>
        <v>0</v>
      </c>
      <c r="G9" s="455">
        <f>transport!G14</f>
        <v>31880.951650654271</v>
      </c>
      <c r="H9" s="455">
        <f>transport!H14</f>
        <v>8298.417561750106</v>
      </c>
      <c r="I9" s="455">
        <f>transport!I14</f>
        <v>0</v>
      </c>
      <c r="J9" s="455">
        <f>transport!J14</f>
        <v>0</v>
      </c>
      <c r="K9" s="455">
        <f>transport!K14</f>
        <v>0</v>
      </c>
      <c r="L9" s="455">
        <f>transport!L14</f>
        <v>0</v>
      </c>
      <c r="M9" s="455">
        <f>transport!M14</f>
        <v>2106.9689866193044</v>
      </c>
      <c r="N9" s="455">
        <f>transport!N14</f>
        <v>0</v>
      </c>
      <c r="O9" s="455">
        <f>transport!O14</f>
        <v>0</v>
      </c>
      <c r="P9" s="455">
        <f>transport!P14</f>
        <v>0</v>
      </c>
      <c r="Q9" s="454">
        <f>SUM(B9:P9)</f>
        <v>42436.583310752234</v>
      </c>
    </row>
    <row r="10" spans="1:17">
      <c r="A10" s="450" t="s">
        <v>550</v>
      </c>
      <c r="B10" s="451">
        <f>transport!B54</f>
        <v>0</v>
      </c>
      <c r="C10" s="451">
        <f>transport!C54</f>
        <v>0</v>
      </c>
      <c r="D10" s="451">
        <f>transport!D54</f>
        <v>0</v>
      </c>
      <c r="E10" s="451">
        <f>transport!E54</f>
        <v>0</v>
      </c>
      <c r="F10" s="451">
        <f>transport!F54</f>
        <v>0</v>
      </c>
      <c r="G10" s="451">
        <f>transport!G54</f>
        <v>429.94513970830502</v>
      </c>
      <c r="H10" s="451">
        <f>transport!H54</f>
        <v>0</v>
      </c>
      <c r="I10" s="451">
        <f>transport!I54</f>
        <v>0</v>
      </c>
      <c r="J10" s="451">
        <f>transport!J54</f>
        <v>0</v>
      </c>
      <c r="K10" s="451">
        <f>transport!K54</f>
        <v>0</v>
      </c>
      <c r="L10" s="451">
        <f>transport!L54</f>
        <v>0</v>
      </c>
      <c r="M10" s="451">
        <f>transport!M54</f>
        <v>24.417141320444806</v>
      </c>
      <c r="N10" s="451">
        <f>transport!N54</f>
        <v>0</v>
      </c>
      <c r="O10" s="451">
        <f>transport!O54</f>
        <v>0</v>
      </c>
      <c r="P10" s="452">
        <f>transport!P54</f>
        <v>0</v>
      </c>
      <c r="Q10" s="450">
        <f t="shared" si="0"/>
        <v>454.36228102874981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438.78759122345798</v>
      </c>
      <c r="C14" s="458"/>
      <c r="D14" s="458">
        <f>'SEAP template'!E25</f>
        <v>1296.20334450019</v>
      </c>
      <c r="E14" s="458"/>
      <c r="F14" s="458"/>
      <c r="G14" s="458"/>
      <c r="H14" s="458"/>
      <c r="I14" s="458"/>
      <c r="J14" s="458"/>
      <c r="K14" s="458"/>
      <c r="L14" s="458"/>
      <c r="M14" s="458"/>
      <c r="N14" s="458"/>
      <c r="O14" s="458"/>
      <c r="P14" s="459"/>
      <c r="Q14" s="450">
        <f t="shared" si="0"/>
        <v>1734.9909357236479</v>
      </c>
    </row>
    <row r="15" spans="1:17" s="460" customFormat="1">
      <c r="A15" s="1005" t="s">
        <v>554</v>
      </c>
      <c r="B15" s="953">
        <f ca="1">SUM(B4:B14)</f>
        <v>30594.931216502337</v>
      </c>
      <c r="C15" s="953">
        <f t="shared" ref="C15:Q15" ca="1" si="1">SUM(C4:C14)</f>
        <v>12982.499999999998</v>
      </c>
      <c r="D15" s="953">
        <f t="shared" ca="1" si="1"/>
        <v>64928.571084772353</v>
      </c>
      <c r="E15" s="953">
        <f t="shared" si="1"/>
        <v>8461.6314078476971</v>
      </c>
      <c r="F15" s="953">
        <f t="shared" ca="1" si="1"/>
        <v>11262.084822700992</v>
      </c>
      <c r="G15" s="953">
        <f t="shared" si="1"/>
        <v>32310.896790362578</v>
      </c>
      <c r="H15" s="953">
        <f t="shared" si="1"/>
        <v>8298.417561750106</v>
      </c>
      <c r="I15" s="953">
        <f t="shared" si="1"/>
        <v>0</v>
      </c>
      <c r="J15" s="953">
        <f t="shared" si="1"/>
        <v>421.26532690884028</v>
      </c>
      <c r="K15" s="953">
        <f t="shared" si="1"/>
        <v>0</v>
      </c>
      <c r="L15" s="953">
        <f t="shared" ca="1" si="1"/>
        <v>0</v>
      </c>
      <c r="M15" s="953">
        <f t="shared" si="1"/>
        <v>2131.3861279397493</v>
      </c>
      <c r="N15" s="953">
        <f t="shared" ca="1" si="1"/>
        <v>10193.005981496557</v>
      </c>
      <c r="O15" s="953">
        <f t="shared" si="1"/>
        <v>125.06666666666668</v>
      </c>
      <c r="P15" s="953">
        <f t="shared" si="1"/>
        <v>400.40000000000003</v>
      </c>
      <c r="Q15" s="953">
        <f t="shared" ca="1" si="1"/>
        <v>182110.1569869479</v>
      </c>
    </row>
    <row r="17" spans="1:17">
      <c r="A17" s="461" t="s">
        <v>555</v>
      </c>
      <c r="B17" s="760">
        <f ca="1">huishoudens!B10</f>
        <v>0.20886049030831463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3101.7817389764491</v>
      </c>
      <c r="C22" s="451">
        <f t="shared" ref="C22:C32" ca="1" si="3">C4*$C$17</f>
        <v>0</v>
      </c>
      <c r="D22" s="451">
        <f t="shared" ref="D22:D32" si="4">D4*$D$17</f>
        <v>8980.3510478197859</v>
      </c>
      <c r="E22" s="451">
        <f t="shared" ref="E22:E32" si="5">E4*$E$17</f>
        <v>1774.9095959654524</v>
      </c>
      <c r="F22" s="451">
        <f t="shared" ref="F22:F32" si="6">F4*$F$17</f>
        <v>579.2274716403233</v>
      </c>
      <c r="G22" s="451">
        <f t="shared" ref="G22:G32" si="7">G4*$G$17</f>
        <v>0</v>
      </c>
      <c r="H22" s="451">
        <f t="shared" ref="H22:H32" si="8">H4*$H$17</f>
        <v>0</v>
      </c>
      <c r="I22" s="451">
        <f t="shared" ref="I22:I32" si="9">I4*$I$17</f>
        <v>0</v>
      </c>
      <c r="J22" s="451">
        <f t="shared" ref="J22:J32" si="10">J4*$J$17</f>
        <v>67.118567650212583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14503.388422052221</v>
      </c>
    </row>
    <row r="23" spans="1:17">
      <c r="A23" s="450" t="s">
        <v>155</v>
      </c>
      <c r="B23" s="451">
        <f t="shared" ca="1" si="2"/>
        <v>1858.4360821673611</v>
      </c>
      <c r="C23" s="451">
        <f t="shared" ca="1" si="3"/>
        <v>8.4025210084033635</v>
      </c>
      <c r="D23" s="451">
        <f t="shared" ca="1" si="4"/>
        <v>2301.5092403464237</v>
      </c>
      <c r="E23" s="451">
        <f t="shared" si="5"/>
        <v>36.816401255738256</v>
      </c>
      <c r="F23" s="451">
        <f t="shared" ca="1" si="6"/>
        <v>430.74756345906081</v>
      </c>
      <c r="G23" s="451">
        <f t="shared" si="7"/>
        <v>0</v>
      </c>
      <c r="H23" s="451">
        <f t="shared" si="8"/>
        <v>0</v>
      </c>
      <c r="I23" s="451">
        <f t="shared" si="9"/>
        <v>0</v>
      </c>
      <c r="J23" s="451">
        <f t="shared" si="10"/>
        <v>9.4151735559812062E-3</v>
      </c>
      <c r="K23" s="451">
        <f t="shared" si="11"/>
        <v>0</v>
      </c>
      <c r="L23" s="451">
        <f t="shared" ca="1" si="12"/>
        <v>0</v>
      </c>
      <c r="M23" s="451">
        <f t="shared" si="13"/>
        <v>0</v>
      </c>
      <c r="N23" s="451">
        <f t="shared" ca="1" si="14"/>
        <v>0</v>
      </c>
      <c r="O23" s="451">
        <f t="shared" si="15"/>
        <v>0</v>
      </c>
      <c r="P23" s="452">
        <f t="shared" si="16"/>
        <v>0</v>
      </c>
      <c r="Q23" s="450">
        <f t="shared" ref="Q23:Q32" ca="1" si="17">SUM(B23:P23)</f>
        <v>4635.9212234105426</v>
      </c>
    </row>
    <row r="24" spans="1:17">
      <c r="A24" s="450" t="s">
        <v>193</v>
      </c>
      <c r="B24" s="451">
        <f t="shared" ca="1" si="2"/>
        <v>89.880814538789807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89.880814538789807</v>
      </c>
    </row>
    <row r="25" spans="1:17">
      <c r="A25" s="450" t="s">
        <v>111</v>
      </c>
      <c r="B25" s="451">
        <f t="shared" ca="1" si="2"/>
        <v>316.97410671671241</v>
      </c>
      <c r="C25" s="451">
        <f t="shared" ca="1" si="3"/>
        <v>3076.8504201680671</v>
      </c>
      <c r="D25" s="451">
        <f t="shared" si="4"/>
        <v>1129.3909587559767</v>
      </c>
      <c r="E25" s="451">
        <f t="shared" si="5"/>
        <v>10.126003387539853</v>
      </c>
      <c r="F25" s="451">
        <f t="shared" si="6"/>
        <v>1688.0775226227545</v>
      </c>
      <c r="G25" s="451">
        <f t="shared" si="7"/>
        <v>0</v>
      </c>
      <c r="H25" s="451">
        <f t="shared" si="8"/>
        <v>0</v>
      </c>
      <c r="I25" s="451">
        <f t="shared" si="9"/>
        <v>0</v>
      </c>
      <c r="J25" s="451">
        <f t="shared" si="10"/>
        <v>77.834971459199068</v>
      </c>
      <c r="K25" s="451">
        <f t="shared" si="11"/>
        <v>0</v>
      </c>
      <c r="L25" s="451">
        <f t="shared" si="12"/>
        <v>0</v>
      </c>
      <c r="M25" s="451">
        <f t="shared" si="13"/>
        <v>0</v>
      </c>
      <c r="N25" s="451">
        <f t="shared" si="14"/>
        <v>0</v>
      </c>
      <c r="O25" s="451">
        <f t="shared" si="15"/>
        <v>0</v>
      </c>
      <c r="P25" s="452">
        <f t="shared" si="16"/>
        <v>0</v>
      </c>
      <c r="Q25" s="450">
        <f t="shared" ca="1" si="17"/>
        <v>6299.2539831102486</v>
      </c>
    </row>
    <row r="26" spans="1:17">
      <c r="A26" s="450" t="s">
        <v>634</v>
      </c>
      <c r="B26" s="451">
        <f t="shared" ca="1" si="2"/>
        <v>927.63228395289741</v>
      </c>
      <c r="C26" s="451">
        <f t="shared" ca="1" si="3"/>
        <v>0</v>
      </c>
      <c r="D26" s="451">
        <f t="shared" si="4"/>
        <v>432.56913748343663</v>
      </c>
      <c r="E26" s="451">
        <f t="shared" si="5"/>
        <v>80.023215603131462</v>
      </c>
      <c r="F26" s="451">
        <f t="shared" si="6"/>
        <v>308.92408993902643</v>
      </c>
      <c r="G26" s="451">
        <f t="shared" si="7"/>
        <v>0</v>
      </c>
      <c r="H26" s="451">
        <f t="shared" si="8"/>
        <v>0</v>
      </c>
      <c r="I26" s="451">
        <f t="shared" si="9"/>
        <v>0</v>
      </c>
      <c r="J26" s="451">
        <f t="shared" si="10"/>
        <v>4.1649714427618063</v>
      </c>
      <c r="K26" s="451">
        <f t="shared" si="11"/>
        <v>0</v>
      </c>
      <c r="L26" s="451">
        <f t="shared" si="12"/>
        <v>0</v>
      </c>
      <c r="M26" s="451">
        <f t="shared" si="13"/>
        <v>0</v>
      </c>
      <c r="N26" s="451">
        <f t="shared" si="14"/>
        <v>0</v>
      </c>
      <c r="O26" s="451">
        <f t="shared" si="15"/>
        <v>0</v>
      </c>
      <c r="P26" s="452">
        <f t="shared" si="16"/>
        <v>0</v>
      </c>
      <c r="Q26" s="450">
        <f t="shared" ca="1" si="17"/>
        <v>1753.3136984212538</v>
      </c>
    </row>
    <row r="27" spans="1:17" s="456" customFormat="1">
      <c r="A27" s="454" t="s">
        <v>560</v>
      </c>
      <c r="B27" s="754">
        <f t="shared" ca="1" si="2"/>
        <v>3.7219170314929477</v>
      </c>
      <c r="C27" s="455">
        <f t="shared" ca="1" si="3"/>
        <v>0</v>
      </c>
      <c r="D27" s="455">
        <f t="shared" si="4"/>
        <v>9.9178991293547565</v>
      </c>
      <c r="E27" s="455">
        <f t="shared" si="5"/>
        <v>18.915113369565386</v>
      </c>
      <c r="F27" s="455">
        <f t="shared" si="6"/>
        <v>0</v>
      </c>
      <c r="G27" s="455">
        <f t="shared" si="7"/>
        <v>8512.2140907246903</v>
      </c>
      <c r="H27" s="455">
        <f t="shared" si="8"/>
        <v>2066.3059728757762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10611.07499313088</v>
      </c>
    </row>
    <row r="28" spans="1:17">
      <c r="A28" s="450" t="s">
        <v>550</v>
      </c>
      <c r="B28" s="451">
        <f t="shared" ca="1" si="2"/>
        <v>0</v>
      </c>
      <c r="C28" s="451">
        <f t="shared" ca="1" si="3"/>
        <v>0</v>
      </c>
      <c r="D28" s="451">
        <f t="shared" si="4"/>
        <v>0</v>
      </c>
      <c r="E28" s="451">
        <f t="shared" si="5"/>
        <v>0</v>
      </c>
      <c r="F28" s="451">
        <f t="shared" si="6"/>
        <v>0</v>
      </c>
      <c r="G28" s="451">
        <f t="shared" si="7"/>
        <v>114.79535230211745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114.79535230211745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91.645391444135768</v>
      </c>
      <c r="C32" s="451">
        <f t="shared" ca="1" si="3"/>
        <v>0</v>
      </c>
      <c r="D32" s="451">
        <f t="shared" si="4"/>
        <v>261.8330755890384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353.47846703317418</v>
      </c>
    </row>
    <row r="33" spans="1:17" s="460" customFormat="1">
      <c r="A33" s="1005" t="s">
        <v>554</v>
      </c>
      <c r="B33" s="953">
        <f ca="1">SUM(B22:B32)</f>
        <v>6390.0723348278389</v>
      </c>
      <c r="C33" s="953">
        <f t="shared" ref="C33:Q33" ca="1" si="18">SUM(C22:C32)</f>
        <v>3085.2529411764704</v>
      </c>
      <c r="D33" s="953">
        <f t="shared" ca="1" si="18"/>
        <v>13115.571359124018</v>
      </c>
      <c r="E33" s="953">
        <f t="shared" si="18"/>
        <v>1920.7903295814276</v>
      </c>
      <c r="F33" s="953">
        <f t="shared" ca="1" si="18"/>
        <v>3006.9766476611653</v>
      </c>
      <c r="G33" s="953">
        <f t="shared" si="18"/>
        <v>8627.0094430268073</v>
      </c>
      <c r="H33" s="953">
        <f t="shared" si="18"/>
        <v>2066.3059728757762</v>
      </c>
      <c r="I33" s="953">
        <f t="shared" si="18"/>
        <v>0</v>
      </c>
      <c r="J33" s="953">
        <f t="shared" si="18"/>
        <v>149.12792572572945</v>
      </c>
      <c r="K33" s="953">
        <f t="shared" si="18"/>
        <v>0</v>
      </c>
      <c r="L33" s="953">
        <f t="shared" ca="1" si="18"/>
        <v>0</v>
      </c>
      <c r="M33" s="953">
        <f t="shared" si="18"/>
        <v>0</v>
      </c>
      <c r="N33" s="953">
        <f t="shared" ca="1" si="18"/>
        <v>0</v>
      </c>
      <c r="O33" s="953">
        <f t="shared" si="18"/>
        <v>0</v>
      </c>
      <c r="P33" s="953">
        <f t="shared" si="18"/>
        <v>0</v>
      </c>
      <c r="Q33" s="953">
        <f t="shared" ca="1" si="18"/>
        <v>38361.106953999224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2365.1211440846459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9087.7499999999982</v>
      </c>
      <c r="D8" s="1022">
        <f>'SEAP template'!D76</f>
        <v>10691.470588235292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2159.677058823529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2365.1211440846459</v>
      </c>
      <c r="C10" s="1026">
        <f>SUM(C4:C9)</f>
        <v>9087.7499999999982</v>
      </c>
      <c r="D10" s="1026">
        <f t="shared" ref="D10:H10" si="0">SUM(D8:D9)</f>
        <v>10691.470588235292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2159.677058823529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0.20886049030831463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12982.499999999998</v>
      </c>
      <c r="D17" s="1023">
        <f>'SEAP template'!D87</f>
        <v>15273.529411764704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3085.2529411764704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12982.499999999998</v>
      </c>
      <c r="D20" s="1026">
        <f t="shared" ref="D20:H20" si="2">SUM(D17:D19)</f>
        <v>15273.529411764704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3085.2529411764704</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0.20886049030831463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2020-06-20T15:40:21Z</dcterms:modified>
</cp:coreProperties>
</file>