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I8" i="18"/>
  <c r="E50" i="18"/>
  <c r="E17" i="18" s="1"/>
  <c r="F50" i="18"/>
  <c r="G50"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<sst xmlns="http://schemas.openxmlformats.org/spreadsheetml/2006/main" count="2425" uniqueCount="903">
  <si>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</si>
  <si>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</si>
  <si>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</si>
  <si>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</si>
  <si>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</si>
  <si>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</si>
  <si>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</si>
  <si>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</si>
  <si>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</si>
  <si>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</si>
  <si>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</si>
  <si>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</si>
  <si>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</si>
  <si>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</si>
  <si>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</si>
  <si>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</si>
  <si>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</si>
  <si>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</si>
  <si>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</si>
  <si>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</si>
  <si>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</si>
  <si>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</si>
  <si>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</si>
  <si>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</si>
  <si>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</si>
  <si>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</si>
  <si>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</si>
  <si>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</si>
  <si>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</si>
  <si>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</si>
  <si>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</si>
  <si>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</si>
  <si>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</si>
  <si>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</si>
  <si>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</si>
  <si>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</si>
  <si>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</si>
  <si>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</si>
  <si>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</si>
  <si>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</si>
  <si>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</si>
  <si>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</si>
  <si>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</si>
  <si>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</si>
  <si>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</si>
  <si>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</si>
  <si>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</si>
  <si>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</si>
  <si>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</si>
  <si>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</si>
  <si>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</si>
  <si>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</si>
  <si>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</si>
  <si>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</si>
  <si>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</si>
  <si>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</si>
  <si>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</si>
  <si>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</si>
  <si>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</si>
  <si>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</si>
  <si>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</si>
  <si>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</si>
  <si>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</si>
  <si>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</si>
  <si>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</si>
  <si>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</si>
  <si>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</si>
  <si>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</si>
  <si>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</si>
  <si>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</si>
  <si>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</si>
  <si>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</si>
  <si>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</si>
  <si>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</si>
  <si>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</si>
  <si>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</si>
  <si>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</si>
  <si>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</si>
  <si>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</si>
  <si>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</si>
  <si>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</si>
  <si>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</si>
  <si>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</si>
  <si>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</si>
  <si>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</si>
  <si>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</si>
  <si>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</si>
  <si>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</si>
  <si>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</si>
  <si>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</si>
  <si>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</si>
  <si>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</si>
  <si>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</si>
  <si>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</si>
  <si>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</si>
  <si>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</si>
  <si>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</si>
  <si>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</si>
  <si>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</si>
  <si>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</si>
  <si>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</si>
  <si>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</si>
  <si>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</si>
  <si>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</si>
  <si>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</si>
  <si>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</si>
  <si>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</si>
  <si>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</si>
  <si>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</si>
  <si>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</si>
  <si>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</si>
  <si>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</si>
  <si>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</si>
  <si>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</si>
  <si>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</si>
  <si>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</si>
  <si>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</si>
  <si>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</si>
  <si>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</si>
  <si>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</si>
  <si>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</si>
  <si>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</si>
  <si>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</si>
  <si>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</si>
  <si>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</si>
  <si>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</si>
  <si>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</si>
  <si>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</si>
  <si>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</si>
  <si>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</si>
  <si>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</si>
  <si>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</si>
  <si>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</si>
  <si>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</si>
  <si>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</si>
  <si>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</si>
  <si>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</si>
  <si>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</si>
  <si>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</si>
  <si>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</si>
  <si>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</si>
  <si>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</si>
  <si>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</si>
  <si>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</si>
  <si>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</si>
  <si>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</si>
  <si>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</si>
  <si>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</si>
  <si>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</si>
  <si>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</si>
  <si>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</si>
  <si>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</si>
  <si>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</si>
  <si>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</si>
  <si>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</si>
  <si>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</si>
  <si>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</si>
  <si>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</si>
  <si>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</si>
  <si>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</si>
  <si>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</si>
  <si>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</si>
  <si>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</si>
  <si>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</si>
  <si>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</si>
  <si>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</si>
  <si>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</si>
  <si>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</si>
  <si>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</si>
  <si>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</si>
  <si>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</si>
  <si>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</si>
  <si>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</si>
  <si>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</si>
  <si>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</si>
  <si>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</si>
  <si>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</si>
  <si>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</si>
  <si>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</si>
  <si>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</si>
  <si>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</si>
  <si>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</si>
  <si>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</si>
  <si>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</si>
  <si>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</si>
  <si>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</si>
  <si>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</si>
  <si>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</si>
  <si>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</si>
  <si>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</si>
  <si>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</si>
  <si>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</si>
  <si>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</si>
  <si>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</si>
  <si>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</si>
  <si>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</si>
  <si>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</si>
  <si>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</si>
  <si>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</si>
  <si>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</si>
  <si>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</si>
  <si>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</si>
  <si>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</si>
  <si>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</si>
  <si>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</si>
  <si>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</si>
  <si>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</si>
  <si>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</si>
  <si>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</si>
  <si>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</si>
  <si>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</si>
  <si>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</si>
  <si>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</si>
  <si>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</si>
  <si>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</si>
  <si>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</si>
  <si>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</si>
  <si>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</si>
  <si>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</si>
  <si>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</si>
  <si>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</si>
  <si>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</si>
  <si>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</si>
  <si>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</si>
  <si>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</si>
  <si>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</si>
  <si>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</si>
  <si>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</si>
  <si>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</si>
  <si>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</si>
  <si>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</si>
  <si>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</si>
  <si>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</si>
  <si>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</si>
  <si>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</si>
  <si>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</si>
  <si>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</si>
  <si>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</si>
  <si>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</si>
  <si>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</si>
  <si>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</si>
  <si>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</si>
  <si>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</si>
  <si>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</si>
  <si>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</si>
  <si>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</si>
  <si>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</si>
  <si>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</si>
  <si>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</si>
  <si>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</si>
  <si>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</si>
  <si>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</si>
  <si>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</si>
  <si>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</si>
  <si>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</si>
  <si>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</si>
  <si>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</si>
  <si>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</si>
  <si>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</si>
  <si>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</si>
  <si>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</si>
  <si>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</si>
  <si>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</si>
  <si>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</si>
  <si>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</si>
  <si>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</si>
  <si>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</si>
  <si>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</si>
  <si>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</si>
  <si>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</si>
  <si>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</si>
  <si>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</si>
  <si>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</si>
  <si>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</si>
  <si>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</si>
  <si>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</si>
  <si>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</si>
  <si>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</si>
  <si>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</si>
  <si>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</si>
  <si>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</si>
  <si>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</si>
  <si>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</si>
  <si>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</si>
  <si>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</si>
  <si>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</si>
  <si>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</si>
  <si>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</si>
  <si>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</si>
  <si>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</si>
  <si>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</si>
  <si>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</si>
  <si>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</si>
  <si>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</si>
  <si>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</si>
  <si>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</si>
  <si>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</si>
  <si>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</si>
  <si>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</si>
  <si>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</si>
  <si>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</si>
  <si>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</si>
  <si>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</si>
  <si>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</si>
  <si>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</si>
  <si>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</si>
  <si>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</si>
  <si>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</si>
  <si>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</si>
  <si>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</si>
  <si>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</si>
  <si>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</si>
  <si>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</si>
  <si>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</si>
  <si>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</si>
  <si>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</si>
  <si>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</si>
  <si>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</si>
  <si>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</si>
  <si>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</si>
  <si>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</si>
  <si>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</si>
  <si>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</si>
  <si>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</si>
  <si>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</si>
  <si>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</si>
  <si>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</si>
  <si>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</si>
  <si>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</si>
  <si>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</si>
  <si>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</si>
  <si>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</si>
  <si>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</si>
  <si>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</si>
  <si>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</si>
  <si>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</si>
  <si>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</si>
  <si>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</si>
  <si>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</si>
  <si>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</si>
  <si>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</si>
  <si>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</si>
  <si>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</si>
  <si>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</si>
  <si>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</si>
  <si>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</si>
  <si>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</si>
  <si>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</si>
  <si>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</si>
  <si>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</si>
  <si>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</si>
  <si>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</si>
  <si>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</si>
  <si>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</si>
  <si>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</si>
  <si>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</si>
  <si>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</si>
  <si>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</si>
  <si>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</si>
  <si>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</si>
  <si>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</si>
  <si>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</si>
  <si>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</si>
  <si>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</si>
  <si>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</si>
  <si>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</si>
  <si>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</si>
  <si>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</si>
  <si>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</si>
  <si>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</si>
  <si>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</si>
  <si>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</si>
  <si>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</si>
  <si>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</si>
  <si>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</si>
  <si>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</si>
  <si>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</si>
  <si>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</si>
  <si>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</si>
  <si>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</si>
  <si>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</si>
  <si>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</si>
  <si>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</si>
  <si>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</si>
  <si>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</si>
  <si>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</si>
  <si>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</si>
  <si>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</si>
  <si>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</si>
  <si>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</si>
  <si>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</si>
  <si>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</si>
  <si>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</si>
  <si>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</si>
  <si>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</si>
  <si>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</si>
  <si>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</si>
  <si>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</si>
  <si>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</si>
  <si>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</si>
  <si>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</si>
  <si>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</si>
  <si>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</si>
  <si>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</si>
  <si>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</si>
  <si>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</si>
  <si>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</si>
  <si>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</si>
  <si>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</si>
  <si>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</si>
  <si>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</si>
  <si>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</si>
  <si>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</si>
  <si>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</si>
  <si>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</si>
  <si>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</si>
  <si>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</si>
  <si>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</si>
  <si>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</si>
  <si>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</si>
  <si>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</si>
  <si>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</si>
  <si>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</si>
  <si>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</si>
  <si>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</si>
  <si>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</si>
  <si>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</si>
  <si>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</si>
  <si>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</si>
  <si>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</si>
  <si>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</si>
  <si>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</si>
  <si>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</si>
  <si>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</si>
  <si>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</si>
  <si>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</si>
  <si>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</si>
  <si>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</si>
  <si>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</si>
  <si>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</si>
  <si>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</si>
  <si>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</si>
  <si>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</si>
  <si>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</si>
  <si>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</si>
  <si>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</si>
  <si>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</si>
  <si>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</si>
  <si>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</si>
  <si>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</si>
  <si>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</si>
  <si>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</si>
  <si>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</si>
  <si>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</si>
  <si>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</si>
  <si>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</si>
  <si>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</si>
  <si>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</si>
  <si>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</si>
  <si>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</si>
  <si>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</si>
  <si>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</si>
  <si>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</si>
  <si>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</si>
  <si>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</si>
  <si>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</si>
  <si>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</si>
  <si>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</si>
  <si>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</si>
  <si>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</si>
  <si>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</si>
  <si>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</si>
  <si>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</si>
  <si>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</si>
  <si>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</si>
  <si>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</si>
  <si>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</si>
  <si>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</si>
  <si>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</si>
  <si>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</si>
  <si>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</si>
  <si>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</si>
  <si>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</si>
  <si>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</si>
  <si>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</si>
  <si>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</si>
  <si>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</si>
  <si>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</si>
  <si>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</si>
  <si>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</si>
  <si>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</si>
  <si>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</si>
  <si>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</si>
  <si>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</si>
  <si>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</si>
  <si>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</si>
  <si>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</si>
  <si>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</si>
  <si>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</si>
  <si>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</si>
  <si>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</si>
  <si>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</si>
  <si>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</si>
  <si>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</si>
  <si>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</si>
  <si>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</si>
  <si>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</si>
  <si>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</si>
  <si>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</si>
  <si>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</si>
  <si>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</si>
  <si>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</si>
  <si>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</si>
  <si>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</si>
  <si>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</si>
  <si>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</si>
  <si>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</si>
  <si>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</si>
  <si>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</si>
  <si>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</si>
  <si>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</si>
  <si>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</si>
  <si>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</si>
  <si>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</si>
  <si>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</si>
  <si>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</si>
  <si>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</si>
  <si>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</si>
  <si>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</si>
  <si>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</si>
  <si>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</si>
  <si>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</si>
  <si>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</si>
  <si>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</si>
  <si>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</si>
  <si>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</si>
  <si>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</si>
  <si>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</si>
  <si>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</si>
  <si>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</si>
  <si>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</si>
  <si>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</si>
  <si>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</si>
  <si>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</si>
  <si>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</si>
  <si>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</si>
  <si>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</si>
  <si>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</si>
  <si>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</si>
  <si>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</si>
  <si>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</si>
  <si>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</si>
  <si>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</si>
  <si>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</si>
  <si>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</si>
  <si>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</si>
  <si>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</si>
  <si>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</si>
  <si>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</si>
  <si>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</si>
  <si>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</si>
  <si>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</si>
  <si>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</si>
  <si>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</si>
  <si>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</si>
  <si>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</si>
  <si>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</si>
  <si>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</si>
  <si>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</si>
  <si>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</si>
  <si>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</si>
  <si>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</si>
  <si>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</si>
  <si>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</si>
  <si>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</si>
  <si>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</si>
  <si>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</si>
  <si>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</si>
  <si>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</si>
  <si>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</si>
  <si>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</si>
  <si>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</si>
  <si>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</si>
  <si>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</si>
  <si>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</si>
  <si>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</si>
  <si>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</si>
  <si>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</si>
  <si>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</si>
  <si>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</si>
  <si>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</si>
  <si>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</si>
  <si>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</si>
  <si>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</si>
  <si>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</si>
  <si>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</si>
  <si>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</si>
  <si>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</si>
  <si>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</si>
  <si>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</si>
  <si>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</si>
  <si>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</si>
  <si>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</si>
  <si>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</si>
  <si>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</si>
  <si>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</si>
  <si>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</si>
  <si>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</si>
  <si>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</si>
  <si>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</si>
  <si>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</si>
  <si>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</si>
  <si>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</si>
  <si>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</si>
  <si>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</si>
  <si>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</si>
  <si>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</si>
  <si>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</si>
  <si>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</si>
  <si>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</si>
  <si>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</si>
  <si>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</si>
  <si>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</si>
  <si>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</si>
  <si>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</si>
  <si>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</si>
  <si>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</si>
  <si>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</si>
  <si>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</si>
  <si>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</si>
  <si>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</si>
  <si>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</si>
  <si>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</si>
  <si>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</si>
  <si>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</si>
  <si>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</si>
  <si>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</si>
  <si>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</si>
  <si>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</si>
  <si>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</si>
  <si>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</si>
  <si>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</si>
  <si>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</si>
  <si>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</si>
  <si>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</si>
  <si>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</si>
  <si>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</si>
  <si>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</si>
  <si>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</si>
  <si>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</si>
  <si>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</si>
  <si>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</si>
  <si>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</si>
  <si>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</si>
  <si>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</si>
  <si>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</si>
  <si>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</si>
  <si>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</si>
  <si>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</si>
  <si>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</si>
  <si>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</si>
  <si>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</si>
  <si>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</si>
  <si>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</si>
  <si>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</si>
  <si>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</si>
  <si>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</si>
  <si>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</si>
  <si>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</si>
  <si>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</si>
  <si>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</si>
  <si>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</si>
  <si>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</si>
  <si>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</si>
  <si>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</si>
  <si>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</si>
  <si>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</si>
  <si>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</si>
  <si>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</si>
  <si>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</si>
  <si>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</si>
  <si>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</si>
  <si>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</si>
  <si>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</si>
  <si>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</si>
  <si>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</si>
  <si>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</si>
  <si>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</si>
  <si>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</si>
  <si>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</si>
  <si>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</si>
  <si>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</si>
  <si>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</si>
  <si>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</si>
  <si>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</si>
  <si>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</si>
  <si>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</si>
  <si>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</si>
  <si>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</si>
  <si>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</si>
  <si>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</si>
  <si>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</si>
  <si>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</si>
  <si>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</si>
  <si>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</si>
  <si>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</si>
  <si>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</si>
  <si>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</si>
  <si>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</si>
  <si>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</si>
  <si>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</si>
  <si>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</si>
  <si>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</si>
  <si>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</si>
  <si>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</si>
  <si>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</si>
  <si>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</si>
  <si>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</si>
  <si>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</si>
  <si>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</si>
  <si>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</si>
  <si>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</si>
  <si>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</si>
  <si>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</si>
  <si>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</si>
  <si>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</si>
  <si>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</si>
  <si>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</si>
  <si>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</si>
  <si>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</si>
  <si>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</si>
  <si>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</si>
  <si>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</si>
  <si>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</si>
  <si>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</si>
  <si>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</si>
  <si>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</si>
  <si>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</si>
  <si>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</si>
  <si>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</si>
  <si>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</si>
  <si>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</si>
  <si>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</si>
  <si>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</si>
  <si>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</si>
  <si>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</si>
  <si>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</si>
  <si>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</si>
  <si>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</si>
  <si>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</si>
  <si>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</si>
  <si>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</si>
  <si>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</si>
  <si>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</si>
  <si>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</si>
  <si>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</si>
  <si>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</si>
  <si>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</si>
  <si>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</si>
  <si>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</si>
  <si>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</si>
  <si>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</si>
  <si>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</si>
  <si>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</si>
  <si>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</si>
  <si>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</si>
  <si>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</si>
  <si>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</si>
  <si>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</si>
  <si>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</si>
  <si>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</si>
  <si>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</si>
  <si>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</si>
  <si>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</si>
  <si>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</si>
  <si>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</si>
  <si>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</si>
  <si>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</si>
  <si>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</si>
  <si>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</si>
  <si>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</si>
  <si>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</si>
  <si>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</si>
  <si>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</si>
  <si>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</si>
  <si>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</si>
  <si>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</si>
  <si>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</si>
  <si>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</si>
  <si>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</si>
  <si>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</si>
  <si>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</si>
  <si>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</si>
  <si>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</si>
  <si>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</si>
  <si>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</si>
  <si>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</si>
  <si>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</si>
  <si>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</si>
  <si>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</si>
  <si>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</si>
  <si>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</si>
  <si>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</si>
  <si>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</si>
  <si>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</si>
  <si>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</si>
  <si>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</si>
  <si>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</si>
  <si>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</si>
  <si>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</si>
  <si>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</si>
  <si>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</si>
  <si>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</si>
  <si>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</si>
  <si>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</si>
  <si>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</si>
  <si>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</si>
  <si>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</si>
  <si>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</si>
  <si>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</si>
  <si>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</si>
  <si>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</si>
  <si>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</si>
  <si>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</si>
  <si>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</si>
  <si>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</si>
  <si>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</si>
  <si>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</si>
  <si>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</si>
  <si>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</si>
  <si>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</si>
  <si>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</si>
  <si>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</si>
  <si>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</si>
  <si>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</si>
  <si>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</si>
  <si>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</si>
  <si>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</si>
  <si>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</si>
  <si>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</si>
  <si>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</si>
  <si>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</si>
  <si>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</si>
  <si>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</si>
  <si>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</si>
  <si>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</si>
  <si>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</si>
  <si>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</si>
  <si>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</si>
  <si>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</si>
  <si>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</si>
  <si>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</si>
  <si>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</si>
  <si>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</si>
  <si>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</si>
  <si>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</si>
  <si>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</si>
  <si>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</si>
  <si>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</si>
  <si>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</si>
  <si>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</si>
  <si>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</si>
  <si>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</si>
  <si>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</si>
  <si>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</si>
  <si>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</si>
  <si>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</si>
  <si>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</si>
  <si>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</si>
  <si>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</si>
  <si>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</si>
  <si>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</si>
  <si>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</si>
  <si>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</si>
  <si>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</si>
  <si>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</si>
  <si>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</si>
  <si>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</si>
  <si>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</si>
  <si>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</si>
  <si>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</si>
  <si>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</si>
  <si>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</si>
  <si>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13011</t>
  </si>
  <si>
    <t>HERENTALS</t>
  </si>
  <si>
    <t>Fluvius</t>
  </si>
  <si>
    <t>referentietaak LNE (2017); Jaarverslag De Lijn</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</si>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</sst>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237335.9067399725</c:v>
                </c:pt>
                <c:pt idx="1">
                  <c:v>166166.7965577252</c:v>
                </c:pt>
                <c:pt idx="2">
                  <c:v>1387.739</c:v>
                </c:pt>
                <c:pt idx="3">
                  <c:v>40843.801447430327</c:v>
                </c:pt>
                <c:pt idx="4">
                  <c:v>184736.61251455499</c:v>
                </c:pt>
                <c:pt idx="5">
                  <c:v>231525.71400559696</c:v>
                </c:pt>
                <c:pt idx="6">
                  <c:v>2325.7948609784985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237335.9067399725</c:v>
                </c:pt>
                <c:pt idx="1">
                  <c:v>166166.7965577252</c:v>
                </c:pt>
                <c:pt idx="2">
                  <c:v>1387.739</c:v>
                </c:pt>
                <c:pt idx="3">
                  <c:v>40843.801447430327</c:v>
                </c:pt>
                <c:pt idx="4">
                  <c:v>184736.61251455499</c:v>
                </c:pt>
                <c:pt idx="5">
                  <c:v>231525.71400559696</c:v>
                </c:pt>
                <c:pt idx="6">
                  <c:v>2325.7948609784985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42048.380095390276</c:v>
                </c:pt>
                <c:pt idx="2">
                  <c:v>33825.522735228071</c:v>
                </c:pt>
                <c:pt idx="3">
                  <c:v>292.87799431111409</c:v>
                </c:pt>
                <c:pt idx="4">
                  <c:v>9883.7238598664626</c:v>
                </c:pt>
                <c:pt idx="5">
                  <c:v>38663.931597951356</c:v>
                </c:pt>
                <c:pt idx="6">
                  <c:v>57978.031162281928</c:v>
                </c:pt>
                <c:pt idx="7">
                  <c:v>587.61576740915075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42048.380095390276</c:v>
                </c:pt>
                <c:pt idx="2">
                  <c:v>33825.522735228071</c:v>
                </c:pt>
                <c:pt idx="3">
                  <c:v>292.87799431111409</c:v>
                </c:pt>
                <c:pt idx="4">
                  <c:v>9883.7238598664626</c:v>
                </c:pt>
                <c:pt idx="5">
                  <c:v>38663.931597951356</c:v>
                </c:pt>
                <c:pt idx="6">
                  <c:v>57978.031162281928</c:v>
                </c:pt>
                <c:pt idx="7">
                  <c:v>587.61576740915075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13011</v>
      </c>
      <c r="B6" s="390"/>
      <c r="C6" s="391"/>
    </row>
    <row r="7" spans="1:7" s="388" customFormat="1" ht="15.75" customHeight="1">
      <c r="A7" s="392" t="str">
        <f>txtMunicipality</f>
        <v>HERENTALS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0.21104688584172823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0.21104688584172823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12315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1553.93</v>
      </c>
      <c r="C14" s="330"/>
      <c r="D14" s="330"/>
      <c r="E14" s="330"/>
      <c r="F14" s="330"/>
    </row>
    <row r="15" spans="1:6">
      <c r="A15" s="1293" t="s">
        <v>183</v>
      </c>
      <c r="B15" s="1294">
        <v>2180</v>
      </c>
      <c r="C15" s="330"/>
      <c r="D15" s="330"/>
      <c r="E15" s="330"/>
      <c r="F15" s="330"/>
    </row>
    <row r="16" spans="1:6">
      <c r="A16" s="1293" t="s">
        <v>6</v>
      </c>
      <c r="B16" s="1294">
        <v>664</v>
      </c>
      <c r="C16" s="330"/>
      <c r="D16" s="330"/>
      <c r="E16" s="330"/>
      <c r="F16" s="330"/>
    </row>
    <row r="17" spans="1:6">
      <c r="A17" s="1293" t="s">
        <v>7</v>
      </c>
      <c r="B17" s="1294">
        <v>136</v>
      </c>
      <c r="C17" s="330"/>
      <c r="D17" s="330"/>
      <c r="E17" s="330"/>
      <c r="F17" s="330"/>
    </row>
    <row r="18" spans="1:6">
      <c r="A18" s="1293" t="s">
        <v>8</v>
      </c>
      <c r="B18" s="1294">
        <v>402</v>
      </c>
      <c r="C18" s="330"/>
      <c r="D18" s="330"/>
      <c r="E18" s="330"/>
      <c r="F18" s="330"/>
    </row>
    <row r="19" spans="1:6">
      <c r="A19" s="1293" t="s">
        <v>9</v>
      </c>
      <c r="B19" s="1294">
        <v>354</v>
      </c>
      <c r="C19" s="330"/>
      <c r="D19" s="330"/>
      <c r="E19" s="330"/>
      <c r="F19" s="330"/>
    </row>
    <row r="20" spans="1:6">
      <c r="A20" s="1293" t="s">
        <v>10</v>
      </c>
      <c r="B20" s="1294">
        <v>190</v>
      </c>
      <c r="C20" s="330"/>
      <c r="D20" s="330"/>
      <c r="E20" s="330"/>
      <c r="F20" s="330"/>
    </row>
    <row r="21" spans="1:6">
      <c r="A21" s="1293" t="s">
        <v>11</v>
      </c>
      <c r="B21" s="1294">
        <v>1225</v>
      </c>
      <c r="C21" s="330"/>
      <c r="D21" s="330"/>
      <c r="E21" s="330"/>
      <c r="F21" s="330"/>
    </row>
    <row r="22" spans="1:6">
      <c r="A22" s="1293" t="s">
        <v>12</v>
      </c>
      <c r="B22" s="1294">
        <v>5422</v>
      </c>
      <c r="C22" s="330"/>
      <c r="D22" s="330"/>
      <c r="E22" s="330"/>
      <c r="F22" s="330"/>
    </row>
    <row r="23" spans="1:6">
      <c r="A23" s="1293" t="s">
        <v>13</v>
      </c>
      <c r="B23" s="1294">
        <v>59</v>
      </c>
      <c r="C23" s="330"/>
      <c r="D23" s="330"/>
      <c r="E23" s="330"/>
      <c r="F23" s="330"/>
    </row>
    <row r="24" spans="1:6">
      <c r="A24" s="1293" t="s">
        <v>14</v>
      </c>
      <c r="B24" s="1294">
        <v>1</v>
      </c>
      <c r="C24" s="330"/>
      <c r="D24" s="330"/>
      <c r="E24" s="330"/>
      <c r="F24" s="330"/>
    </row>
    <row r="25" spans="1:6">
      <c r="A25" s="1293" t="s">
        <v>15</v>
      </c>
      <c r="B25" s="1294">
        <v>294</v>
      </c>
      <c r="C25" s="330"/>
      <c r="D25" s="330"/>
      <c r="E25" s="330"/>
      <c r="F25" s="330"/>
    </row>
    <row r="26" spans="1:6">
      <c r="A26" s="1293" t="s">
        <v>16</v>
      </c>
      <c r="B26" s="1294">
        <v>64</v>
      </c>
      <c r="C26" s="330"/>
      <c r="D26" s="330"/>
      <c r="E26" s="330"/>
      <c r="F26" s="330"/>
    </row>
    <row r="27" spans="1:6">
      <c r="A27" s="1293" t="s">
        <v>17</v>
      </c>
      <c r="B27" s="1294">
        <v>603</v>
      </c>
      <c r="C27" s="330"/>
      <c r="D27" s="330"/>
      <c r="E27" s="330"/>
      <c r="F27" s="330"/>
    </row>
    <row r="28" spans="1:6" s="43" customFormat="1">
      <c r="A28" s="1295" t="s">
        <v>18</v>
      </c>
      <c r="B28" s="1296">
        <v>123270</v>
      </c>
      <c r="C28" s="336"/>
      <c r="D28" s="336"/>
      <c r="E28" s="336"/>
      <c r="F28" s="336"/>
    </row>
    <row r="29" spans="1:6">
      <c r="A29" s="1295" t="s">
        <v>734</v>
      </c>
      <c r="B29" s="1296">
        <v>196</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6</v>
      </c>
      <c r="F35" s="1294">
        <v>28583</v>
      </c>
    </row>
    <row r="36" spans="1:6">
      <c r="A36" s="1293" t="s">
        <v>24</v>
      </c>
      <c r="B36" s="1293" t="s">
        <v>26</v>
      </c>
      <c r="C36" s="1294">
        <v>6</v>
      </c>
      <c r="D36" s="1294">
        <v>681291.91450363502</v>
      </c>
      <c r="E36" s="1294">
        <v>11</v>
      </c>
      <c r="F36" s="1294">
        <v>121006.794290875</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64708.255901718803</v>
      </c>
    </row>
    <row r="39" spans="1:6">
      <c r="A39" s="1293" t="s">
        <v>29</v>
      </c>
      <c r="B39" s="1293" t="s">
        <v>30</v>
      </c>
      <c r="C39" s="1294">
        <v>9928</v>
      </c>
      <c r="D39" s="1294">
        <v>153775213.75277099</v>
      </c>
      <c r="E39" s="1294">
        <v>12265</v>
      </c>
      <c r="F39" s="1294">
        <v>38099613.367310598</v>
      </c>
    </row>
    <row r="40" spans="1:6">
      <c r="A40" s="1293" t="s">
        <v>29</v>
      </c>
      <c r="B40" s="1293" t="s">
        <v>28</v>
      </c>
      <c r="C40" s="1294">
        <v>0</v>
      </c>
      <c r="D40" s="1294">
        <v>0</v>
      </c>
      <c r="E40" s="1294">
        <v>0</v>
      </c>
      <c r="F40" s="1294">
        <v>0</v>
      </c>
    </row>
    <row r="41" spans="1:6">
      <c r="A41" s="1293" t="s">
        <v>31</v>
      </c>
      <c r="B41" s="1293" t="s">
        <v>32</v>
      </c>
      <c r="C41" s="1294">
        <v>139</v>
      </c>
      <c r="D41" s="1294">
        <v>3978734.5347064598</v>
      </c>
      <c r="E41" s="1294">
        <v>294</v>
      </c>
      <c r="F41" s="1294">
        <v>10958184.285155401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17</v>
      </c>
      <c r="D44" s="1294">
        <v>1727639.24901204</v>
      </c>
      <c r="E44" s="1294">
        <v>41</v>
      </c>
      <c r="F44" s="1294">
        <v>26684115.083977502</v>
      </c>
    </row>
    <row r="45" spans="1:6">
      <c r="A45" s="1293" t="s">
        <v>31</v>
      </c>
      <c r="B45" s="1293" t="s">
        <v>36</v>
      </c>
      <c r="C45" s="1294">
        <v>0</v>
      </c>
      <c r="D45" s="1294">
        <v>0</v>
      </c>
      <c r="E45" s="1294">
        <v>4</v>
      </c>
      <c r="F45" s="1294">
        <v>367786.90002566797</v>
      </c>
    </row>
    <row r="46" spans="1:6">
      <c r="A46" s="1293" t="s">
        <v>31</v>
      </c>
      <c r="B46" s="1293" t="s">
        <v>37</v>
      </c>
      <c r="C46" s="1294">
        <v>0</v>
      </c>
      <c r="D46" s="1294">
        <v>0</v>
      </c>
      <c r="E46" s="1294">
        <v>0</v>
      </c>
      <c r="F46" s="1294">
        <v>0</v>
      </c>
    </row>
    <row r="47" spans="1:6">
      <c r="A47" s="1293" t="s">
        <v>31</v>
      </c>
      <c r="B47" s="1293" t="s">
        <v>38</v>
      </c>
      <c r="C47" s="1294">
        <v>8</v>
      </c>
      <c r="D47" s="1294">
        <v>625712.60000993498</v>
      </c>
      <c r="E47" s="1294">
        <v>12</v>
      </c>
      <c r="F47" s="1294">
        <v>1281092.9011170601</v>
      </c>
    </row>
    <row r="48" spans="1:6">
      <c r="A48" s="1293" t="s">
        <v>31</v>
      </c>
      <c r="B48" s="1293" t="s">
        <v>28</v>
      </c>
      <c r="C48" s="1294">
        <v>45</v>
      </c>
      <c r="D48" s="1294">
        <v>41009882.026073098</v>
      </c>
      <c r="E48" s="1294">
        <v>55</v>
      </c>
      <c r="F48" s="1294">
        <v>51690013.314338803</v>
      </c>
    </row>
    <row r="49" spans="1:6">
      <c r="A49" s="1293" t="s">
        <v>31</v>
      </c>
      <c r="B49" s="1293" t="s">
        <v>39</v>
      </c>
      <c r="C49" s="1294">
        <v>0</v>
      </c>
      <c r="D49" s="1294">
        <v>0</v>
      </c>
      <c r="E49" s="1294">
        <v>0</v>
      </c>
      <c r="F49" s="1294">
        <v>0</v>
      </c>
    </row>
    <row r="50" spans="1:6">
      <c r="A50" s="1293" t="s">
        <v>31</v>
      </c>
      <c r="B50" s="1293" t="s">
        <v>40</v>
      </c>
      <c r="C50" s="1294">
        <v>27</v>
      </c>
      <c r="D50" s="1294">
        <v>10381057.223857</v>
      </c>
      <c r="E50" s="1294">
        <v>42</v>
      </c>
      <c r="F50" s="1294">
        <v>7298674.3120035101</v>
      </c>
    </row>
    <row r="51" spans="1:6">
      <c r="A51" s="1293" t="s">
        <v>41</v>
      </c>
      <c r="B51" s="1293" t="s">
        <v>42</v>
      </c>
      <c r="C51" s="1294">
        <v>0</v>
      </c>
      <c r="D51" s="1294">
        <v>0</v>
      </c>
      <c r="E51" s="1294">
        <v>64</v>
      </c>
      <c r="F51" s="1294">
        <v>1472543.17807146</v>
      </c>
    </row>
    <row r="52" spans="1:6">
      <c r="A52" s="1293" t="s">
        <v>41</v>
      </c>
      <c r="B52" s="1293" t="s">
        <v>28</v>
      </c>
      <c r="C52" s="1294">
        <v>12</v>
      </c>
      <c r="D52" s="1294">
        <v>61906102.220012002</v>
      </c>
      <c r="E52" s="1294">
        <v>10</v>
      </c>
      <c r="F52" s="1294">
        <v>107424.830672222</v>
      </c>
    </row>
    <row r="53" spans="1:6">
      <c r="A53" s="1293" t="s">
        <v>43</v>
      </c>
      <c r="B53" s="1293" t="s">
        <v>44</v>
      </c>
      <c r="C53" s="1294">
        <v>230</v>
      </c>
      <c r="D53" s="1294">
        <v>4776941.1904805396</v>
      </c>
      <c r="E53" s="1294">
        <v>533</v>
      </c>
      <c r="F53" s="1294">
        <v>3335481.6516541098</v>
      </c>
    </row>
    <row r="54" spans="1:6">
      <c r="A54" s="1293" t="s">
        <v>45</v>
      </c>
      <c r="B54" s="1293" t="s">
        <v>46</v>
      </c>
      <c r="C54" s="1294">
        <v>0</v>
      </c>
      <c r="D54" s="1294">
        <v>0</v>
      </c>
      <c r="E54" s="1294">
        <v>1</v>
      </c>
      <c r="F54" s="1294">
        <v>1387739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76</v>
      </c>
      <c r="D57" s="1294">
        <v>9913715.1121938098</v>
      </c>
      <c r="E57" s="1294">
        <v>118</v>
      </c>
      <c r="F57" s="1294">
        <v>8594902.6717672795</v>
      </c>
    </row>
    <row r="58" spans="1:6">
      <c r="A58" s="1293" t="s">
        <v>48</v>
      </c>
      <c r="B58" s="1293" t="s">
        <v>50</v>
      </c>
      <c r="C58" s="1294">
        <v>60</v>
      </c>
      <c r="D58" s="1294">
        <v>5225280.3351004701</v>
      </c>
      <c r="E58" s="1294">
        <v>88</v>
      </c>
      <c r="F58" s="1294">
        <v>8743688.9995496795</v>
      </c>
    </row>
    <row r="59" spans="1:6">
      <c r="A59" s="1293" t="s">
        <v>48</v>
      </c>
      <c r="B59" s="1293" t="s">
        <v>51</v>
      </c>
      <c r="C59" s="1294">
        <v>266</v>
      </c>
      <c r="D59" s="1294">
        <v>23920714.627367198</v>
      </c>
      <c r="E59" s="1294">
        <v>474</v>
      </c>
      <c r="F59" s="1294">
        <v>25190703.937403399</v>
      </c>
    </row>
    <row r="60" spans="1:6">
      <c r="A60" s="1293" t="s">
        <v>48</v>
      </c>
      <c r="B60" s="1293" t="s">
        <v>52</v>
      </c>
      <c r="C60" s="1294">
        <v>128</v>
      </c>
      <c r="D60" s="1294">
        <v>6029431.3085476197</v>
      </c>
      <c r="E60" s="1294">
        <v>158</v>
      </c>
      <c r="F60" s="1294">
        <v>4472628.7384029496</v>
      </c>
    </row>
    <row r="61" spans="1:6">
      <c r="A61" s="1293" t="s">
        <v>48</v>
      </c>
      <c r="B61" s="1293" t="s">
        <v>53</v>
      </c>
      <c r="C61" s="1294">
        <v>347</v>
      </c>
      <c r="D61" s="1294">
        <v>17671073.609787699</v>
      </c>
      <c r="E61" s="1294">
        <v>717</v>
      </c>
      <c r="F61" s="1294">
        <v>13160649.6660149</v>
      </c>
    </row>
    <row r="62" spans="1:6">
      <c r="A62" s="1293" t="s">
        <v>48</v>
      </c>
      <c r="B62" s="1293" t="s">
        <v>54</v>
      </c>
      <c r="C62" s="1294">
        <v>31</v>
      </c>
      <c r="D62" s="1294">
        <v>6885923.9499762002</v>
      </c>
      <c r="E62" s="1294">
        <v>27</v>
      </c>
      <c r="F62" s="1294">
        <v>1635629.2611787999</v>
      </c>
    </row>
    <row r="63" spans="1:6">
      <c r="A63" s="1293" t="s">
        <v>48</v>
      </c>
      <c r="B63" s="1293" t="s">
        <v>28</v>
      </c>
      <c r="C63" s="1294">
        <v>95</v>
      </c>
      <c r="D63" s="1294">
        <v>9906088.6752320193</v>
      </c>
      <c r="E63" s="1294">
        <v>94</v>
      </c>
      <c r="F63" s="1294">
        <v>11036673.6744789</v>
      </c>
    </row>
    <row r="64" spans="1:6">
      <c r="A64" s="1293" t="s">
        <v>55</v>
      </c>
      <c r="B64" s="1293" t="s">
        <v>56</v>
      </c>
      <c r="C64" s="1294">
        <v>0</v>
      </c>
      <c r="D64" s="1294">
        <v>0</v>
      </c>
      <c r="E64" s="1294">
        <v>0</v>
      </c>
      <c r="F64" s="1294">
        <v>0</v>
      </c>
    </row>
    <row r="65" spans="1:6">
      <c r="A65" s="1293" t="s">
        <v>55</v>
      </c>
      <c r="B65" s="1293" t="s">
        <v>28</v>
      </c>
      <c r="C65" s="1294">
        <v>2</v>
      </c>
      <c r="D65" s="1294">
        <v>185427.43316628301</v>
      </c>
      <c r="E65" s="1294">
        <v>1</v>
      </c>
      <c r="F65" s="1294">
        <v>8413.9869816711998</v>
      </c>
    </row>
    <row r="66" spans="1:6">
      <c r="A66" s="1293" t="s">
        <v>55</v>
      </c>
      <c r="B66" s="1293" t="s">
        <v>57</v>
      </c>
      <c r="C66" s="1294">
        <v>0</v>
      </c>
      <c r="D66" s="1294">
        <v>0</v>
      </c>
      <c r="E66" s="1294">
        <v>11</v>
      </c>
      <c r="F66" s="1294">
        <v>598558.18696408195</v>
      </c>
    </row>
    <row r="67" spans="1:6">
      <c r="A67" s="1295" t="s">
        <v>55</v>
      </c>
      <c r="B67" s="1295" t="s">
        <v>58</v>
      </c>
      <c r="C67" s="1294">
        <v>0</v>
      </c>
      <c r="D67" s="1294">
        <v>0</v>
      </c>
      <c r="E67" s="1294">
        <v>0</v>
      </c>
      <c r="F67" s="1294">
        <v>0</v>
      </c>
    </row>
    <row r="68" spans="1:6">
      <c r="A68" s="1288" t="s">
        <v>55</v>
      </c>
      <c r="B68" s="1288" t="s">
        <v>59</v>
      </c>
      <c r="C68" s="1297">
        <v>8</v>
      </c>
      <c r="D68" s="1297">
        <v>372410.75090213103</v>
      </c>
      <c r="E68" s="1297">
        <v>28</v>
      </c>
      <c r="F68" s="1297">
        <v>610620.09780995699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116943049</v>
      </c>
      <c r="E73" s="449"/>
      <c r="F73" s="330"/>
    </row>
    <row r="74" spans="1:6">
      <c r="A74" s="1293" t="s">
        <v>63</v>
      </c>
      <c r="B74" s="1293" t="s">
        <v>656</v>
      </c>
      <c r="C74" s="1307" t="s">
        <v>658</v>
      </c>
      <c r="D74" s="1308">
        <v>7902298</v>
      </c>
      <c r="E74" s="449"/>
      <c r="F74" s="330"/>
    </row>
    <row r="75" spans="1:6">
      <c r="A75" s="1293" t="s">
        <v>64</v>
      </c>
      <c r="B75" s="1293" t="s">
        <v>655</v>
      </c>
      <c r="C75" s="1307" t="s">
        <v>659</v>
      </c>
      <c r="D75" s="1308">
        <v>31685073</v>
      </c>
      <c r="E75" s="449"/>
      <c r="F75" s="330"/>
    </row>
    <row r="76" spans="1:6">
      <c r="A76" s="1293" t="s">
        <v>64</v>
      </c>
      <c r="B76" s="1293" t="s">
        <v>656</v>
      </c>
      <c r="C76" s="1307" t="s">
        <v>660</v>
      </c>
      <c r="D76" s="1308">
        <v>1520292</v>
      </c>
      <c r="E76" s="449"/>
      <c r="F76" s="330"/>
    </row>
    <row r="77" spans="1:6">
      <c r="A77" s="1293" t="s">
        <v>65</v>
      </c>
      <c r="B77" s="1293" t="s">
        <v>655</v>
      </c>
      <c r="C77" s="1307" t="s">
        <v>661</v>
      </c>
      <c r="D77" s="1308">
        <v>93962824</v>
      </c>
      <c r="E77" s="449"/>
      <c r="F77" s="330"/>
    </row>
    <row r="78" spans="1:6">
      <c r="A78" s="1288" t="s">
        <v>65</v>
      </c>
      <c r="B78" s="1288" t="s">
        <v>656</v>
      </c>
      <c r="C78" s="1288" t="s">
        <v>662</v>
      </c>
      <c r="D78" s="1309">
        <v>15367229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634318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4951.5870354812041</v>
      </c>
      <c r="C91" s="330"/>
      <c r="D91" s="330"/>
      <c r="E91" s="330"/>
      <c r="F91" s="330"/>
    </row>
    <row r="92" spans="1:6">
      <c r="A92" s="1288" t="s">
        <v>68</v>
      </c>
      <c r="B92" s="1289">
        <v>5906.368041021793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6292</v>
      </c>
      <c r="C97" s="330"/>
      <c r="D97" s="330"/>
      <c r="E97" s="330"/>
      <c r="F97" s="330"/>
    </row>
    <row r="98" spans="1:6">
      <c r="A98" s="1293" t="s">
        <v>71</v>
      </c>
      <c r="B98" s="1294">
        <v>7</v>
      </c>
      <c r="C98" s="330"/>
      <c r="D98" s="330"/>
      <c r="E98" s="330"/>
      <c r="F98" s="330"/>
    </row>
    <row r="99" spans="1:6">
      <c r="A99" s="1293" t="s">
        <v>72</v>
      </c>
      <c r="B99" s="1294">
        <v>107</v>
      </c>
      <c r="C99" s="330"/>
      <c r="D99" s="330"/>
      <c r="E99" s="330"/>
      <c r="F99" s="330"/>
    </row>
    <row r="100" spans="1:6">
      <c r="A100" s="1293" t="s">
        <v>73</v>
      </c>
      <c r="B100" s="1294">
        <v>383</v>
      </c>
      <c r="C100" s="330"/>
      <c r="D100" s="330"/>
      <c r="E100" s="330"/>
      <c r="F100" s="330"/>
    </row>
    <row r="101" spans="1:6">
      <c r="A101" s="1293" t="s">
        <v>74</v>
      </c>
      <c r="B101" s="1294">
        <v>115</v>
      </c>
      <c r="C101" s="330"/>
      <c r="D101" s="330"/>
      <c r="E101" s="330"/>
      <c r="F101" s="330"/>
    </row>
    <row r="102" spans="1:6">
      <c r="A102" s="1293" t="s">
        <v>75</v>
      </c>
      <c r="B102" s="1294">
        <v>106</v>
      </c>
      <c r="C102" s="330"/>
      <c r="D102" s="330"/>
      <c r="E102" s="330"/>
      <c r="F102" s="330"/>
    </row>
    <row r="103" spans="1:6">
      <c r="A103" s="1293" t="s">
        <v>76</v>
      </c>
      <c r="B103" s="1294">
        <v>207</v>
      </c>
      <c r="C103" s="330"/>
      <c r="D103" s="330"/>
      <c r="E103" s="330"/>
      <c r="F103" s="330"/>
    </row>
    <row r="104" spans="1:6">
      <c r="A104" s="1293" t="s">
        <v>77</v>
      </c>
      <c r="B104" s="1294">
        <v>2932</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2</v>
      </c>
      <c r="C121" s="1294">
        <v>0</v>
      </c>
      <c r="D121" s="330"/>
      <c r="E121" s="330"/>
      <c r="F121" s="330"/>
    </row>
    <row r="122" spans="1:6">
      <c r="A122" s="1293" t="s">
        <v>86</v>
      </c>
      <c r="B122" s="1294">
        <v>0</v>
      </c>
      <c r="C122" s="1294">
        <v>0</v>
      </c>
      <c r="D122" s="330"/>
      <c r="E122" s="330"/>
      <c r="F122" s="330"/>
    </row>
    <row r="123" spans="1:6">
      <c r="A123" s="1293" t="s">
        <v>87</v>
      </c>
      <c r="B123" s="1294">
        <v>29</v>
      </c>
      <c r="C123" s="1294">
        <v>43</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232</v>
      </c>
      <c r="C129" s="330"/>
      <c r="D129" s="330"/>
      <c r="E129" s="330"/>
      <c r="F129" s="330"/>
    </row>
    <row r="130" spans="1:6">
      <c r="A130" s="1293" t="s">
        <v>294</v>
      </c>
      <c r="B130" s="1294">
        <v>1</v>
      </c>
      <c r="C130" s="330"/>
      <c r="D130" s="330"/>
      <c r="E130" s="330"/>
      <c r="F130" s="330"/>
    </row>
    <row r="131" spans="1:6">
      <c r="A131" s="1293" t="s">
        <v>295</v>
      </c>
      <c r="B131" s="1294">
        <v>19</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222080.26390704946</v>
      </c>
      <c r="C3" s="43" t="s">
        <v>169</v>
      </c>
      <c r="D3" s="43"/>
      <c r="E3" s="154"/>
      <c r="F3" s="43"/>
      <c r="G3" s="43"/>
      <c r="H3" s="43"/>
      <c r="I3" s="43"/>
      <c r="J3" s="43"/>
      <c r="K3" s="96"/>
    </row>
    <row r="4" spans="1:11">
      <c r="A4" s="358" t="s">
        <v>170</v>
      </c>
      <c r="B4" s="49">
        <f>IF(ISERROR('SEAP template'!B78+'SEAP template'!C78),0,'SEAP template'!B78+'SEAP template'!C78)</f>
        <v>35072.455076503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5540.6223529411773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0.21104688584172823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7915.1747899159682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33306.428571428572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1387.739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1387.739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0.21104688584172823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292.87799431111409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38099.613367310601</v>
      </c>
      <c r="C5" s="17">
        <f>IF(ISERROR('Eigen informatie GS &amp; warmtenet'!B57),0,'Eigen informatie GS &amp; warmtenet'!B57)</f>
        <v>0</v>
      </c>
      <c r="D5" s="30">
        <f>(SUM(HH_hh_gas_kWh,HH_rest_gas_kWh)/1000)*0.902</f>
        <v>138705.24280499943</v>
      </c>
      <c r="E5" s="17">
        <f>B46*B57</f>
        <v>21780.173004506698</v>
      </c>
      <c r="F5" s="17">
        <f>B51*B62</f>
        <v>0</v>
      </c>
      <c r="G5" s="18"/>
      <c r="H5" s="17"/>
      <c r="I5" s="17"/>
      <c r="J5" s="17">
        <f>B50*B61+C50*C61</f>
        <v>0</v>
      </c>
      <c r="K5" s="17"/>
      <c r="L5" s="17"/>
      <c r="M5" s="17"/>
      <c r="N5" s="17">
        <f>B48*B59+C48*C59</f>
        <v>32263.507194341219</v>
      </c>
      <c r="O5" s="17">
        <f>B69*B70*B71</f>
        <v>429.91666666666669</v>
      </c>
      <c r="P5" s="17">
        <f>B77*B78*B79/1000-B77*B78*B79/1000/B80</f>
        <v>1105.8666666666668</v>
      </c>
    </row>
    <row r="6" spans="1:16">
      <c r="A6" s="16" t="s">
        <v>620</v>
      </c>
      <c r="B6" s="762">
        <f>kWh_PV_kleiner_dan_10kW</f>
        <v>4951.5870354812041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43051.200402791808</v>
      </c>
      <c r="C8" s="21">
        <f>C5</f>
        <v>0</v>
      </c>
      <c r="D8" s="21">
        <f>D5</f>
        <v>138705.24280499943</v>
      </c>
      <c r="E8" s="21">
        <f>E5</f>
        <v>21780.173004506698</v>
      </c>
      <c r="F8" s="21">
        <f>F5</f>
        <v>0</v>
      </c>
      <c r="G8" s="21"/>
      <c r="H8" s="21"/>
      <c r="I8" s="21"/>
      <c r="J8" s="21">
        <f>J5</f>
        <v>0</v>
      </c>
      <c r="K8" s="21"/>
      <c r="L8" s="21">
        <f>L5</f>
        <v>0</v>
      </c>
      <c r="M8" s="21">
        <f>M5</f>
        <v>0</v>
      </c>
      <c r="N8" s="21">
        <f>N5</f>
        <v>32263.507194341219</v>
      </c>
      <c r="O8" s="21">
        <f>O5</f>
        <v>429.91666666666669</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0.21104688584172823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9085.8217767573678</v>
      </c>
      <c r="C12" s="23">
        <f ca="1">C10*C8</f>
        <v>0</v>
      </c>
      <c r="D12" s="23">
        <f>D8*D10</f>
        <v>28018.459046609889</v>
      </c>
      <c r="E12" s="23">
        <f>E10*E8</f>
        <v>4944.0992720230206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6292</v>
      </c>
      <c r="C18" s="166" t="s">
        <v>110</v>
      </c>
      <c r="D18" s="228"/>
      <c r="E18" s="15"/>
    </row>
    <row r="19" spans="1:7">
      <c r="A19" s="171" t="s">
        <v>71</v>
      </c>
      <c r="B19" s="37">
        <f>aantalw2001_ander</f>
        <v>7</v>
      </c>
      <c r="C19" s="166" t="s">
        <v>110</v>
      </c>
      <c r="D19" s="229"/>
      <c r="E19" s="15"/>
    </row>
    <row r="20" spans="1:7">
      <c r="A20" s="171" t="s">
        <v>72</v>
      </c>
      <c r="B20" s="37">
        <f>aantalw2001_propaan</f>
        <v>107</v>
      </c>
      <c r="C20" s="167">
        <f>IF(ISERROR(B20/SUM($B$20,$B$21,$B$22)*100),0,B20/SUM($B$20,$B$21,$B$22)*100)</f>
        <v>17.685950413223139</v>
      </c>
      <c r="D20" s="229"/>
      <c r="E20" s="15"/>
    </row>
    <row r="21" spans="1:7">
      <c r="A21" s="171" t="s">
        <v>73</v>
      </c>
      <c r="B21" s="37">
        <f>aantalw2001_elektriciteit</f>
        <v>383</v>
      </c>
      <c r="C21" s="167">
        <f>IF(ISERROR(B21/SUM($B$20,$B$21,$B$22)*100),0,B21/SUM($B$20,$B$21,$B$22)*100)</f>
        <v>63.305785123966942</v>
      </c>
      <c r="D21" s="229"/>
      <c r="E21" s="15"/>
    </row>
    <row r="22" spans="1:7">
      <c r="A22" s="171" t="s">
        <v>74</v>
      </c>
      <c r="B22" s="37">
        <f>aantalw2001_hout</f>
        <v>115</v>
      </c>
      <c r="C22" s="167">
        <f>IF(ISERROR(B22/SUM($B$20,$B$21,$B$22)*100),0,B22/SUM($B$20,$B$21,$B$22)*100)</f>
        <v>19.008264462809919</v>
      </c>
      <c r="D22" s="229"/>
      <c r="E22" s="15"/>
    </row>
    <row r="23" spans="1:7">
      <c r="A23" s="171" t="s">
        <v>75</v>
      </c>
      <c r="B23" s="37">
        <f>aantalw2001_niet_gespec</f>
        <v>106</v>
      </c>
      <c r="C23" s="166" t="s">
        <v>110</v>
      </c>
      <c r="D23" s="228"/>
      <c r="E23" s="15"/>
    </row>
    <row r="24" spans="1:7">
      <c r="A24" s="171" t="s">
        <v>76</v>
      </c>
      <c r="B24" s="37">
        <f>aantalw2001_steenkool</f>
        <v>207</v>
      </c>
      <c r="C24" s="166" t="s">
        <v>110</v>
      </c>
      <c r="D24" s="229"/>
      <c r="E24" s="15"/>
    </row>
    <row r="25" spans="1:7">
      <c r="A25" s="171" t="s">
        <v>77</v>
      </c>
      <c r="B25" s="37">
        <f>aantalw2001_stookolie</f>
        <v>2932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12315</v>
      </c>
      <c r="C28" s="36"/>
      <c r="D28" s="228"/>
    </row>
    <row r="29" spans="1:7" s="15" customFormat="1">
      <c r="A29" s="230" t="s">
        <v>781</v>
      </c>
      <c r="B29" s="37">
        <f>SUM(HH_hh_gas_aantal,HH_rest_gas_aantal)</f>
        <v>9928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9928</v>
      </c>
      <c r="C32" s="167">
        <f>IF(ISERROR(B32/SUM($B$32,$B$34,$B$35,$B$36,$B$38,$B$39)*100),0,B32/SUM($B$32,$B$34,$B$35,$B$36,$B$38,$B$39)*100)</f>
        <v>80.998613037447981</v>
      </c>
      <c r="D32" s="233"/>
      <c r="G32" s="15"/>
    </row>
    <row r="33" spans="1:7">
      <c r="A33" s="171" t="s">
        <v>71</v>
      </c>
      <c r="B33" s="34" t="s">
        <v>110</v>
      </c>
      <c r="C33" s="167"/>
      <c r="D33" s="233"/>
      <c r="G33" s="15"/>
    </row>
    <row r="34" spans="1:7">
      <c r="A34" s="171" t="s">
        <v>72</v>
      </c>
      <c r="B34" s="33">
        <f>IF((($B$28-$B$32-$B$39-$B$77-$B$38)*C20/100)&lt;0,0,($B$28-$B$32-$B$39-$B$77-$B$38)*C20/100)</f>
        <v>411.90578512396695</v>
      </c>
      <c r="C34" s="167">
        <f>IF(ISERROR(B34/SUM($B$32,$B$34,$B$35,$B$36,$B$38,$B$39)*100),0,B34/SUM($B$32,$B$34,$B$35,$B$36,$B$38,$B$39)*100)</f>
        <v>3.3605758760215951</v>
      </c>
      <c r="D34" s="233"/>
      <c r="G34" s="15"/>
    </row>
    <row r="35" spans="1:7">
      <c r="A35" s="171" t="s">
        <v>73</v>
      </c>
      <c r="B35" s="33">
        <f>IF((($B$28-$B$32-$B$39-$B$77-$B$38)*C21/100)&lt;0,0,($B$28-$B$32-$B$39-$B$77-$B$38)*C21/100)</f>
        <v>1474.39173553719</v>
      </c>
      <c r="C35" s="167">
        <f>IF(ISERROR(B35/SUM($B$32,$B$34,$B$35,$B$36,$B$38,$B$39)*100),0,B35/SUM($B$32,$B$34,$B$35,$B$36,$B$38,$B$39)*100)</f>
        <v>12.028977201086645</v>
      </c>
      <c r="D35" s="233"/>
      <c r="G35" s="15"/>
    </row>
    <row r="36" spans="1:7">
      <c r="A36" s="171" t="s">
        <v>74</v>
      </c>
      <c r="B36" s="33">
        <f>IF((($B$28-$B$32-$B$39-$B$77-$B$38)*C22/100)&lt;0,0,($B$28-$B$32-$B$39-$B$77-$B$38)*C22/100)</f>
        <v>442.70247933884303</v>
      </c>
      <c r="C36" s="167">
        <f>IF(ISERROR(B36/SUM($B$32,$B$34,$B$35,$B$36,$B$38,$B$39)*100),0,B36/SUM($B$32,$B$34,$B$35,$B$36,$B$38,$B$39)*100)</f>
        <v>3.6118338854437715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9928</v>
      </c>
      <c r="C44" s="34" t="s">
        <v>110</v>
      </c>
      <c r="D44" s="174"/>
    </row>
    <row r="45" spans="1:7">
      <c r="A45" s="171" t="s">
        <v>71</v>
      </c>
      <c r="B45" s="33" t="str">
        <f t="shared" si="0"/>
        <v>-</v>
      </c>
      <c r="C45" s="34" t="s">
        <v>110</v>
      </c>
      <c r="D45" s="174"/>
    </row>
    <row r="46" spans="1:7">
      <c r="A46" s="171" t="s">
        <v>72</v>
      </c>
      <c r="B46" s="33">
        <f t="shared" si="0"/>
        <v>411.90578512396695</v>
      </c>
      <c r="C46" s="34" t="s">
        <v>110</v>
      </c>
      <c r="D46" s="174"/>
    </row>
    <row r="47" spans="1:7">
      <c r="A47" s="171" t="s">
        <v>73</v>
      </c>
      <c r="B47" s="33">
        <f t="shared" si="0"/>
        <v>1474.39173553719</v>
      </c>
      <c r="C47" s="34" t="s">
        <v>110</v>
      </c>
      <c r="D47" s="174"/>
    </row>
    <row r="48" spans="1:7">
      <c r="A48" s="171" t="s">
        <v>74</v>
      </c>
      <c r="B48" s="33">
        <f t="shared" si="0"/>
        <v>442.70247933884303</v>
      </c>
      <c r="C48" s="33">
        <f>B48*10</f>
        <v>4427.0247933884302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72834.876948795907</v>
      </c>
      <c r="C5" s="17">
        <f>IF(ISERROR('Eigen informatie GS &amp; warmtenet'!B58),0,'Eigen informatie GS &amp; warmtenet'!B58)</f>
        <v>0</v>
      </c>
      <c r="D5" s="30">
        <f>SUM(D6:D12)</f>
        <v>71756.109311620938</v>
      </c>
      <c r="E5" s="17">
        <f>SUM(E6:E12)</f>
        <v>1150.3179988147681</v>
      </c>
      <c r="F5" s="17">
        <f>SUM(F6:F12)</f>
        <v>13138.856954696443</v>
      </c>
      <c r="G5" s="18"/>
      <c r="H5" s="17"/>
      <c r="I5" s="17"/>
      <c r="J5" s="17">
        <f>SUM(J6:J12)</f>
        <v>0.21328722974583722</v>
      </c>
      <c r="K5" s="17"/>
      <c r="L5" s="17"/>
      <c r="M5" s="17"/>
      <c r="N5" s="17">
        <f>SUM(N6:N12)</f>
        <v>8555.8872946626525</v>
      </c>
      <c r="O5" s="17">
        <f>B38*B39*B40</f>
        <v>1.5633333333333335</v>
      </c>
      <c r="P5" s="17">
        <f>B46*B47*B48/1000-B46*B47*B48/1000/B49</f>
        <v>400.4</v>
      </c>
      <c r="R5" s="32"/>
    </row>
    <row r="6" spans="1:18">
      <c r="A6" s="32" t="s">
        <v>53</v>
      </c>
      <c r="B6" s="37">
        <f>B26</f>
        <v>13160.649666014901</v>
      </c>
      <c r="C6" s="33"/>
      <c r="D6" s="37">
        <f>IF(ISERROR(TER_kantoor_gas_kWh/1000),0,TER_kantoor_gas_kWh/1000)*0.902</f>
        <v>15939.308396028504</v>
      </c>
      <c r="E6" s="33">
        <f>$C$26*'E Balans VL '!I12/100/3.6*1000000</f>
        <v>8.2486574943076901E-2</v>
      </c>
      <c r="F6" s="33">
        <f>$C$26*('E Balans VL '!L12+'E Balans VL '!N12)/100/3.6*1000000</f>
        <v>1977.6779011772776</v>
      </c>
      <c r="G6" s="34"/>
      <c r="H6" s="33"/>
      <c r="I6" s="33"/>
      <c r="J6" s="33">
        <f>$C$26*('E Balans VL '!D12+'E Balans VL '!E12)/100/3.6*1000000</f>
        <v>0</v>
      </c>
      <c r="K6" s="33"/>
      <c r="L6" s="33"/>
      <c r="M6" s="33"/>
      <c r="N6" s="33">
        <f>$C$26*'E Balans VL '!Y12/100/3.6*1000000</f>
        <v>12.586210125088616</v>
      </c>
      <c r="O6" s="33"/>
      <c r="P6" s="33"/>
      <c r="R6" s="32"/>
    </row>
    <row r="7" spans="1:18">
      <c r="A7" s="32" t="s">
        <v>52</v>
      </c>
      <c r="B7" s="37">
        <f t="shared" ref="B7:B12" si="0">B27</f>
        <v>4472.6287384029492</v>
      </c>
      <c r="C7" s="33"/>
      <c r="D7" s="37">
        <f>IF(ISERROR(TER_horeca_gas_kWh/1000),0,TER_horeca_gas_kWh/1000)*0.902</f>
        <v>5438.5470403099534</v>
      </c>
      <c r="E7" s="33">
        <f>$C$27*'E Balans VL '!I9/100/3.6*1000000</f>
        <v>64.047298536201069</v>
      </c>
      <c r="F7" s="33">
        <f>$C$27*('E Balans VL '!L9+'E Balans VL '!N9)/100/3.6*1000000</f>
        <v>566.3823112606708</v>
      </c>
      <c r="G7" s="34"/>
      <c r="H7" s="33"/>
      <c r="I7" s="33"/>
      <c r="J7" s="33">
        <f>$C$27*('E Balans VL '!D9+'E Balans VL '!E9)/100/3.6*1000000</f>
        <v>0</v>
      </c>
      <c r="K7" s="33"/>
      <c r="L7" s="33"/>
      <c r="M7" s="33"/>
      <c r="N7" s="33">
        <f>$C$27*'E Balans VL '!Y9/100/3.6*1000000</f>
        <v>1.2857821492920731</v>
      </c>
      <c r="O7" s="33"/>
      <c r="P7" s="33"/>
      <c r="R7" s="32"/>
    </row>
    <row r="8" spans="1:18">
      <c r="A8" s="6" t="s">
        <v>51</v>
      </c>
      <c r="B8" s="37">
        <f t="shared" si="0"/>
        <v>25190.703937403399</v>
      </c>
      <c r="C8" s="33"/>
      <c r="D8" s="37">
        <f>IF(ISERROR(TER_handel_gas_kWh/1000),0,TER_handel_gas_kWh/1000)*0.902</f>
        <v>21576.484593885212</v>
      </c>
      <c r="E8" s="33">
        <f>$C$28*'E Balans VL '!I13/100/3.6*1000000</f>
        <v>913.66372543118223</v>
      </c>
      <c r="F8" s="33">
        <f>$C$28*('E Balans VL '!L13+'E Balans VL '!N13)/100/3.6*1000000</f>
        <v>4851.9846504382385</v>
      </c>
      <c r="G8" s="34"/>
      <c r="H8" s="33"/>
      <c r="I8" s="33"/>
      <c r="J8" s="33">
        <f>$C$28*('E Balans VL '!D13+'E Balans VL '!E13)/100/3.6*1000000</f>
        <v>0</v>
      </c>
      <c r="K8" s="33"/>
      <c r="L8" s="33"/>
      <c r="M8" s="33"/>
      <c r="N8" s="33">
        <f>$C$28*'E Balans VL '!Y13/100/3.6*1000000</f>
        <v>34.894921075780388</v>
      </c>
      <c r="O8" s="33"/>
      <c r="P8" s="33"/>
      <c r="R8" s="32"/>
    </row>
    <row r="9" spans="1:18">
      <c r="A9" s="32" t="s">
        <v>50</v>
      </c>
      <c r="B9" s="37">
        <f t="shared" si="0"/>
        <v>8743.6889995496786</v>
      </c>
      <c r="C9" s="33"/>
      <c r="D9" s="37">
        <f>IF(ISERROR(TER_gezond_gas_kWh/1000),0,TER_gezond_gas_kWh/1000)*0.902</f>
        <v>4713.2028622606249</v>
      </c>
      <c r="E9" s="33">
        <f>$C$29*'E Balans VL '!I10/100/3.6*1000000</f>
        <v>0.54744125970456514</v>
      </c>
      <c r="F9" s="33">
        <f>$C$29*('E Balans VL '!L10+'E Balans VL '!N10)/100/3.6*1000000</f>
        <v>1298.9016228807634</v>
      </c>
      <c r="G9" s="34"/>
      <c r="H9" s="33"/>
      <c r="I9" s="33"/>
      <c r="J9" s="33">
        <f>$C$29*('E Balans VL '!D10+'E Balans VL '!E10)/100/3.6*1000000</f>
        <v>0</v>
      </c>
      <c r="K9" s="33"/>
      <c r="L9" s="33"/>
      <c r="M9" s="33"/>
      <c r="N9" s="33">
        <f>$C$29*'E Balans VL '!Y10/100/3.6*1000000</f>
        <v>135.24822513890379</v>
      </c>
      <c r="O9" s="33"/>
      <c r="P9" s="33"/>
      <c r="R9" s="32"/>
    </row>
    <row r="10" spans="1:18">
      <c r="A10" s="32" t="s">
        <v>49</v>
      </c>
      <c r="B10" s="37">
        <f t="shared" si="0"/>
        <v>8594.9026717672787</v>
      </c>
      <c r="C10" s="33"/>
      <c r="D10" s="37">
        <f>IF(ISERROR(TER_ander_gas_kWh/1000),0,TER_ander_gas_kWh/1000)*0.902</f>
        <v>8942.1710311988172</v>
      </c>
      <c r="E10" s="33">
        <f>$C$30*'E Balans VL '!I14/100/3.6*1000000</f>
        <v>10.244816854820947</v>
      </c>
      <c r="F10" s="33">
        <f>$C$30*('E Balans VL '!L14+'E Balans VL '!N14)/100/3.6*1000000</f>
        <v>2248.8086382958227</v>
      </c>
      <c r="G10" s="34"/>
      <c r="H10" s="33"/>
      <c r="I10" s="33"/>
      <c r="J10" s="33">
        <f>$C$30*('E Balans VL '!D14+'E Balans VL '!E14)/100/3.6*1000000</f>
        <v>0.18656164591587124</v>
      </c>
      <c r="K10" s="33"/>
      <c r="L10" s="33"/>
      <c r="M10" s="33"/>
      <c r="N10" s="33">
        <f>$C$30*'E Balans VL '!Y14/100/3.6*1000000</f>
        <v>7298.5810345567797</v>
      </c>
      <c r="O10" s="33"/>
      <c r="P10" s="33"/>
      <c r="R10" s="32"/>
    </row>
    <row r="11" spans="1:18">
      <c r="A11" s="32" t="s">
        <v>54</v>
      </c>
      <c r="B11" s="37">
        <f t="shared" si="0"/>
        <v>1635.6292611787999</v>
      </c>
      <c r="C11" s="33"/>
      <c r="D11" s="37">
        <f>IF(ISERROR(TER_onderwijs_gas_kWh/1000),0,TER_onderwijs_gas_kWh/1000)*0.902</f>
        <v>6211.1034028785334</v>
      </c>
      <c r="E11" s="33">
        <f>$C$31*'E Balans VL '!I11/100/3.6*1000000</f>
        <v>24.679011119755682</v>
      </c>
      <c r="F11" s="33">
        <f>$C$31*('E Balans VL '!L11+'E Balans VL '!N11)/100/3.6*1000000</f>
        <v>286.58837651333045</v>
      </c>
      <c r="G11" s="34"/>
      <c r="H11" s="33"/>
      <c r="I11" s="33"/>
      <c r="J11" s="33">
        <f>$C$31*('E Balans VL '!D11+'E Balans VL '!E11)/100/3.6*1000000</f>
        <v>0</v>
      </c>
      <c r="K11" s="33"/>
      <c r="L11" s="33"/>
      <c r="M11" s="33"/>
      <c r="N11" s="33">
        <f>$C$31*'E Balans VL '!Y11/100/3.6*1000000</f>
        <v>4.6027850862288782</v>
      </c>
      <c r="O11" s="33"/>
      <c r="P11" s="33"/>
      <c r="R11" s="32"/>
    </row>
    <row r="12" spans="1:18">
      <c r="A12" s="32" t="s">
        <v>259</v>
      </c>
      <c r="B12" s="37">
        <f t="shared" si="0"/>
        <v>11036.6736744789</v>
      </c>
      <c r="C12" s="33"/>
      <c r="D12" s="37">
        <f>IF(ISERROR(TER_rest_gas_kWh/1000),0,TER_rest_gas_kWh/1000)*0.902</f>
        <v>8935.2919850592807</v>
      </c>
      <c r="E12" s="33">
        <f>$C$32*'E Balans VL '!I8/100/3.6*1000000</f>
        <v>137.05321903816036</v>
      </c>
      <c r="F12" s="33">
        <f>$C$32*('E Balans VL '!L8+'E Balans VL '!N8)/100/3.6*1000000</f>
        <v>1908.5134541303371</v>
      </c>
      <c r="G12" s="34"/>
      <c r="H12" s="33"/>
      <c r="I12" s="33"/>
      <c r="J12" s="33">
        <f>$C$32*('E Balans VL '!D8+'E Balans VL '!E8)/100/3.6*1000000</f>
        <v>2.6725583829965972E-2</v>
      </c>
      <c r="K12" s="33"/>
      <c r="L12" s="33"/>
      <c r="M12" s="33"/>
      <c r="N12" s="33">
        <f>$C$32*'E Balans VL '!Y8/100/3.6*1000000</f>
        <v>1068.6883365305789</v>
      </c>
      <c r="O12" s="33"/>
      <c r="P12" s="33"/>
      <c r="R12" s="32"/>
    </row>
    <row r="13" spans="1:18">
      <c r="A13" s="16" t="s">
        <v>487</v>
      </c>
      <c r="B13" s="247">
        <f ca="1">'lokale energieproductie'!N39+'lokale energieproductie'!N32</f>
        <v>900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-2571.4285714285716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73734.876948795907</v>
      </c>
      <c r="C16" s="21">
        <f t="shared" ca="1" si="1"/>
        <v>0</v>
      </c>
      <c r="D16" s="21">
        <f t="shared" ca="1" si="1"/>
        <v>71756.109311620938</v>
      </c>
      <c r="E16" s="21">
        <f t="shared" si="1"/>
        <v>1150.3179988147681</v>
      </c>
      <c r="F16" s="21">
        <f t="shared" ca="1" si="1"/>
        <v>13138.856954696443</v>
      </c>
      <c r="G16" s="21">
        <f t="shared" si="1"/>
        <v>0</v>
      </c>
      <c r="H16" s="21">
        <f t="shared" si="1"/>
        <v>0</v>
      </c>
      <c r="I16" s="21">
        <f t="shared" si="1"/>
        <v>0</v>
      </c>
      <c r="J16" s="21">
        <f t="shared" si="1"/>
        <v>0.21328722974583722</v>
      </c>
      <c r="K16" s="21">
        <f t="shared" si="1"/>
        <v>0</v>
      </c>
      <c r="L16" s="21">
        <f t="shared" ca="1" si="1"/>
        <v>0</v>
      </c>
      <c r="M16" s="21">
        <f t="shared" si="1"/>
        <v>0</v>
      </c>
      <c r="N16" s="21">
        <f t="shared" ca="1" si="1"/>
        <v>5984.4587232340809</v>
      </c>
      <c r="O16" s="21">
        <f>O5</f>
        <v>1.5633333333333335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0.21104688584172823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15561.516157966409</v>
      </c>
      <c r="C20" s="23">
        <f t="shared" ref="C20:P20" ca="1" si="2">C16*C18</f>
        <v>0</v>
      </c>
      <c r="D20" s="23">
        <f t="shared" ca="1" si="2"/>
        <v>14494.73408094743</v>
      </c>
      <c r="E20" s="23">
        <f t="shared" si="2"/>
        <v>261.12218573095237</v>
      </c>
      <c r="F20" s="23">
        <f t="shared" ca="1" si="2"/>
        <v>3508.0748069039505</v>
      </c>
      <c r="G20" s="23">
        <f t="shared" si="2"/>
        <v>0</v>
      </c>
      <c r="H20" s="23">
        <f t="shared" si="2"/>
        <v>0</v>
      </c>
      <c r="I20" s="23">
        <f t="shared" si="2"/>
        <v>0</v>
      </c>
      <c r="J20" s="23">
        <f t="shared" si="2"/>
        <v>7.5503679330026371E-2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13160.649666014901</v>
      </c>
      <c r="C26" s="39">
        <f>IF(ISERROR(B26*3.6/1000000/'E Balans VL '!Z12*100),0,B26*3.6/1000000/'E Balans VL '!Z12*100)</f>
        <v>0.27819528578647296</v>
      </c>
      <c r="D26" s="237" t="s">
        <v>744</v>
      </c>
      <c r="F26" s="6"/>
    </row>
    <row r="27" spans="1:18">
      <c r="A27" s="231" t="s">
        <v>52</v>
      </c>
      <c r="B27" s="33">
        <f>IF(ISERROR(TER_horeca_ele_kWh/1000),0,TER_horeca_ele_kWh/1000)</f>
        <v>4472.6287384029492</v>
      </c>
      <c r="C27" s="39">
        <f>IF(ISERROR(B27*3.6/1000000/'E Balans VL '!Z9*100),0,B27*3.6/1000000/'E Balans VL '!Z9*100)</f>
        <v>0.35257565641446853</v>
      </c>
      <c r="D27" s="237" t="s">
        <v>744</v>
      </c>
      <c r="F27" s="6"/>
    </row>
    <row r="28" spans="1:18">
      <c r="A28" s="171" t="s">
        <v>51</v>
      </c>
      <c r="B28" s="33">
        <f>IF(ISERROR(TER_handel_ele_kWh/1000),0,TER_handel_ele_kWh/1000)</f>
        <v>25190.703937403399</v>
      </c>
      <c r="C28" s="39">
        <f>IF(ISERROR(B28*3.6/1000000/'E Balans VL '!Z13*100),0,B28*3.6/1000000/'E Balans VL '!Z13*100)</f>
        <v>0.7311360101126313</v>
      </c>
      <c r="D28" s="237" t="s">
        <v>744</v>
      </c>
      <c r="F28" s="6"/>
    </row>
    <row r="29" spans="1:18">
      <c r="A29" s="231" t="s">
        <v>50</v>
      </c>
      <c r="B29" s="33">
        <f>IF(ISERROR(TER_gezond_ele_kWh/1000),0,TER_gezond_ele_kWh/1000)</f>
        <v>8743.6889995496786</v>
      </c>
      <c r="C29" s="39">
        <f>IF(ISERROR(B29*3.6/1000000/'E Balans VL '!Z10*100),0,B29*3.6/1000000/'E Balans VL '!Z10*100)</f>
        <v>0.92085402681578299</v>
      </c>
      <c r="D29" s="237" t="s">
        <v>744</v>
      </c>
      <c r="F29" s="6"/>
    </row>
    <row r="30" spans="1:18">
      <c r="A30" s="231" t="s">
        <v>49</v>
      </c>
      <c r="B30" s="33">
        <f>IF(ISERROR(TER_ander_ele_kWh/1000),0,TER_ander_ele_kWh/1000)</f>
        <v>8594.9026717672787</v>
      </c>
      <c r="C30" s="39">
        <f>IF(ISERROR(B30*3.6/1000000/'E Balans VL '!Z14*100),0,B30*3.6/1000000/'E Balans VL '!Z14*100)</f>
        <v>0.63396188787312868</v>
      </c>
      <c r="D30" s="237" t="s">
        <v>744</v>
      </c>
      <c r="F30" s="6"/>
    </row>
    <row r="31" spans="1:18">
      <c r="A31" s="231" t="s">
        <v>54</v>
      </c>
      <c r="B31" s="33">
        <f>IF(ISERROR(TER_onderwijs_ele_kWh/1000),0,TER_onderwijs_ele_kWh/1000)</f>
        <v>1635.6292611787999</v>
      </c>
      <c r="C31" s="39">
        <f>IF(ISERROR(B31*3.6/1000000/'E Balans VL '!Z11*100),0,B31*3.6/1000000/'E Balans VL '!Z11*100)</f>
        <v>0.4062033629374453</v>
      </c>
      <c r="D31" s="237" t="s">
        <v>744</v>
      </c>
    </row>
    <row r="32" spans="1:18">
      <c r="A32" s="231" t="s">
        <v>259</v>
      </c>
      <c r="B32" s="33">
        <f>IF(ISERROR(TER_rest_ele_kWh/1000),0,TER_rest_ele_kWh/1000)</f>
        <v>11036.6736744789</v>
      </c>
      <c r="C32" s="39">
        <f>IF(ISERROR(B32*3.6/1000000/'E Balans VL '!Z8*100),0,B32*3.6/1000000/'E Balans VL '!Z8*100)</f>
        <v>9.0817174645838633E-2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98279.866796617949</v>
      </c>
      <c r="C5" s="17">
        <f>IF(ISERROR('Eigen informatie GS &amp; warmtenet'!B59),0,'Eigen informatie GS &amp; warmtenet'!B59)</f>
        <v>0</v>
      </c>
      <c r="D5" s="30">
        <f>SUM(D6:D15)</f>
        <v>52066.169121559993</v>
      </c>
      <c r="E5" s="17">
        <f>SUM(E6:E15)</f>
        <v>6330.6566670840766</v>
      </c>
      <c r="F5" s="17">
        <f>SUM(F6:F15)</f>
        <v>22167.839406650528</v>
      </c>
      <c r="G5" s="18"/>
      <c r="H5" s="17"/>
      <c r="I5" s="17"/>
      <c r="J5" s="17">
        <f>SUM(J6:J15)</f>
        <v>185.85178249974271</v>
      </c>
      <c r="K5" s="17"/>
      <c r="L5" s="17"/>
      <c r="M5" s="17"/>
      <c r="N5" s="17">
        <f>SUM(N6:N15)</f>
        <v>5976.2287401426474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26684.1150839775</v>
      </c>
      <c r="C8" s="33"/>
      <c r="D8" s="37">
        <f>IF( ISERROR(IND_metaal_Gas_kWH/1000),0,IND_metaal_Gas_kWH/1000)*0.902</f>
        <v>1558.3306026088601</v>
      </c>
      <c r="E8" s="33">
        <f>C30*'E Balans VL '!I18/100/3.6*1000000</f>
        <v>245.33466643373478</v>
      </c>
      <c r="F8" s="33">
        <f>C30*'E Balans VL '!L18/100/3.6*1000000+C30*'E Balans VL '!N18/100/3.6*1000000</f>
        <v>2502.0815907576057</v>
      </c>
      <c r="G8" s="34"/>
      <c r="H8" s="33"/>
      <c r="I8" s="33"/>
      <c r="J8" s="40">
        <f>C30*'E Balans VL '!D18/100/3.6*1000000+C30*'E Balans VL '!E18/100/3.6*1000000</f>
        <v>0</v>
      </c>
      <c r="K8" s="33"/>
      <c r="L8" s="33"/>
      <c r="M8" s="33"/>
      <c r="N8" s="33">
        <f>C30*'E Balans VL '!Y18/100/3.6*1000000</f>
        <v>380.69299903010119</v>
      </c>
      <c r="O8" s="33"/>
      <c r="P8" s="33"/>
      <c r="R8" s="32"/>
    </row>
    <row r="9" spans="1:18">
      <c r="A9" s="6" t="s">
        <v>32</v>
      </c>
      <c r="B9" s="37">
        <f t="shared" si="0"/>
        <v>10958.184285155401</v>
      </c>
      <c r="C9" s="33"/>
      <c r="D9" s="37">
        <f>IF( ISERROR(IND_andere_gas_kWh/1000),0,IND_andere_gas_kWh/1000)*0.902</f>
        <v>3588.8185503052268</v>
      </c>
      <c r="E9" s="33">
        <f>C31*'E Balans VL '!I19/100/3.6*1000000</f>
        <v>3203.2905972367462</v>
      </c>
      <c r="F9" s="33">
        <f>C31*'E Balans VL '!L19/100/3.6*1000000+C31*'E Balans VL '!N19/100/3.6*1000000</f>
        <v>8805.7305314572077</v>
      </c>
      <c r="G9" s="34"/>
      <c r="H9" s="33"/>
      <c r="I9" s="33"/>
      <c r="J9" s="40">
        <f>C31*'E Balans VL '!D19/100/3.6*1000000+C31*'E Balans VL '!E19/100/3.6*1000000</f>
        <v>0</v>
      </c>
      <c r="K9" s="33"/>
      <c r="L9" s="33"/>
      <c r="M9" s="33"/>
      <c r="N9" s="33">
        <f>C31*'E Balans VL '!Y19/100/3.6*1000000</f>
        <v>859.54509226282016</v>
      </c>
      <c r="O9" s="33"/>
      <c r="P9" s="33"/>
      <c r="R9" s="32"/>
    </row>
    <row r="10" spans="1:18">
      <c r="A10" s="6" t="s">
        <v>40</v>
      </c>
      <c r="B10" s="37">
        <f t="shared" si="0"/>
        <v>7298.6743120035098</v>
      </c>
      <c r="C10" s="33"/>
      <c r="D10" s="37">
        <f>IF( ISERROR(IND_voed_gas_kWh/1000),0,IND_voed_gas_kWh/1000)*0.902</f>
        <v>9363.713615919014</v>
      </c>
      <c r="E10" s="33">
        <f>C32*'E Balans VL '!I20/100/3.6*1000000</f>
        <v>15.440458674328971</v>
      </c>
      <c r="F10" s="33">
        <f>C32*'E Balans VL '!L20/100/3.6*1000000+C32*'E Balans VL '!N20/100/3.6*1000000</f>
        <v>464.0571681343672</v>
      </c>
      <c r="G10" s="34"/>
      <c r="H10" s="33"/>
      <c r="I10" s="33"/>
      <c r="J10" s="40">
        <f>C32*'E Balans VL '!D20/100/3.6*1000000+C32*'E Balans VL '!E20/100/3.6*1000000</f>
        <v>0</v>
      </c>
      <c r="K10" s="33"/>
      <c r="L10" s="33"/>
      <c r="M10" s="33"/>
      <c r="N10" s="33">
        <f>C32*'E Balans VL '!Y20/100/3.6*1000000</f>
        <v>503.68055260625562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367.78690002566799</v>
      </c>
      <c r="C12" s="33"/>
      <c r="D12" s="37">
        <f>IF( ISERROR(IND_min_gas_kWh/1000),0,IND_min_gas_kWh/1000)*0.902</f>
        <v>0</v>
      </c>
      <c r="E12" s="33">
        <f>C34*'E Balans VL '!I22/100/3.6*1000000</f>
        <v>10.660627808818015</v>
      </c>
      <c r="F12" s="33">
        <f>C34*'E Balans VL '!L22/100/3.6*1000000+C34*'E Balans VL '!N22/100/3.6*1000000</f>
        <v>126.44929231342199</v>
      </c>
      <c r="G12" s="34"/>
      <c r="H12" s="33"/>
      <c r="I12" s="33"/>
      <c r="J12" s="40">
        <f>C34*'E Balans VL '!D22/100/3.6*1000000+C34*'E Balans VL '!E22/100/3.6*1000000</f>
        <v>0.60438470767130636</v>
      </c>
      <c r="K12" s="33"/>
      <c r="L12" s="33"/>
      <c r="M12" s="33"/>
      <c r="N12" s="33">
        <f>C34*'E Balans VL '!Y22/100/3.6*1000000</f>
        <v>80.514596364877505</v>
      </c>
      <c r="O12" s="33"/>
      <c r="P12" s="33"/>
      <c r="R12" s="32"/>
    </row>
    <row r="13" spans="1:18">
      <c r="A13" s="6" t="s">
        <v>38</v>
      </c>
      <c r="B13" s="37">
        <f t="shared" si="0"/>
        <v>1281.0929011170601</v>
      </c>
      <c r="C13" s="33"/>
      <c r="D13" s="37">
        <f>IF( ISERROR(IND_papier_gas_kWh/1000),0,IND_papier_gas_kWh/1000)*0.902</f>
        <v>564.39276520896135</v>
      </c>
      <c r="E13" s="33">
        <f>C35*'E Balans VL '!I23/100/3.6*1000000</f>
        <v>1.8175778430130491</v>
      </c>
      <c r="F13" s="33">
        <f>C35*'E Balans VL '!L23/100/3.6*1000000+C35*'E Balans VL '!N23/100/3.6*1000000</f>
        <v>31.276294936163048</v>
      </c>
      <c r="G13" s="34"/>
      <c r="H13" s="33"/>
      <c r="I13" s="33"/>
      <c r="J13" s="40">
        <f>C35*'E Balans VL '!D23/100/3.6*1000000+C35*'E Balans VL '!E23/100/3.6*1000000</f>
        <v>0.19813304479084237</v>
      </c>
      <c r="K13" s="33"/>
      <c r="L13" s="33"/>
      <c r="M13" s="33"/>
      <c r="N13" s="33">
        <f>C35*'E Balans VL '!Y23/100/3.6*1000000</f>
        <v>523.43598479508933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51690.013314338801</v>
      </c>
      <c r="C15" s="33"/>
      <c r="D15" s="37">
        <f>IF( ISERROR(IND_rest_gas_kWh/1000),0,IND_rest_gas_kWh/1000)*0.902</f>
        <v>36990.913587517935</v>
      </c>
      <c r="E15" s="33">
        <f>C37*'E Balans VL '!I15/100/3.6*1000000</f>
        <v>2854.1127390874353</v>
      </c>
      <c r="F15" s="33">
        <f>C37*'E Balans VL '!L15/100/3.6*1000000+C37*'E Balans VL '!N15/100/3.6*1000000</f>
        <v>10238.244529051763</v>
      </c>
      <c r="G15" s="34"/>
      <c r="H15" s="33"/>
      <c r="I15" s="33"/>
      <c r="J15" s="40">
        <f>C37*'E Balans VL '!D15/100/3.6*1000000+C37*'E Balans VL '!E15/100/3.6*1000000</f>
        <v>185.04926474728057</v>
      </c>
      <c r="K15" s="33"/>
      <c r="L15" s="33"/>
      <c r="M15" s="33"/>
      <c r="N15" s="33">
        <f>C37*'E Balans VL '!Y15/100/3.6*1000000</f>
        <v>3628.359515083504</v>
      </c>
      <c r="O15" s="33"/>
      <c r="P15" s="33"/>
      <c r="R15" s="32"/>
    </row>
    <row r="16" spans="1:18">
      <c r="A16" s="16" t="s">
        <v>487</v>
      </c>
      <c r="B16" s="247">
        <f>'lokale energieproductie'!N38+'lokale energieproductie'!N31</f>
        <v>630.00000000000011</v>
      </c>
      <c r="C16" s="247">
        <f>'lokale energieproductie'!O38+'lokale energieproductie'!O31</f>
        <v>900.00000000000023</v>
      </c>
      <c r="D16" s="308">
        <f>('lokale energieproductie'!P31+'lokale energieproductie'!P38)*(-1)</f>
        <v>-1800.0000000000005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98909.866796617949</v>
      </c>
      <c r="C18" s="21">
        <f>C5+C16</f>
        <v>900.00000000000023</v>
      </c>
      <c r="D18" s="21">
        <f>MAX((D5+D16),0)</f>
        <v>50266.169121559993</v>
      </c>
      <c r="E18" s="21">
        <f>MAX((E5+E16),0)</f>
        <v>6330.6566670840766</v>
      </c>
      <c r="F18" s="21">
        <f>MAX((F5+F16),0)</f>
        <v>22167.839406650528</v>
      </c>
      <c r="G18" s="21"/>
      <c r="H18" s="21"/>
      <c r="I18" s="21"/>
      <c r="J18" s="21">
        <f>MAX((J5+J16),0)</f>
        <v>185.85178249974271</v>
      </c>
      <c r="K18" s="21"/>
      <c r="L18" s="21">
        <f>MAX((L5+L16),0)</f>
        <v>0</v>
      </c>
      <c r="M18" s="21"/>
      <c r="N18" s="21">
        <f>MAX((N5+N16),0)</f>
        <v>5976.2287401426474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0.21104688584172823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20874.619366446375</v>
      </c>
      <c r="C22" s="23">
        <f ca="1">C18*C20</f>
        <v>213.88235294117658</v>
      </c>
      <c r="D22" s="23">
        <f>D18*D20</f>
        <v>10153.766162555119</v>
      </c>
      <c r="E22" s="23">
        <f>E18*E20</f>
        <v>1437.0590634280854</v>
      </c>
      <c r="F22" s="23">
        <f>F18*F20</f>
        <v>5918.8131215756912</v>
      </c>
      <c r="G22" s="23"/>
      <c r="H22" s="23"/>
      <c r="I22" s="23"/>
      <c r="J22" s="23">
        <f>J18*J20</f>
        <v>65.791531004908919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26684.1150839775</v>
      </c>
      <c r="C30" s="39">
        <f>IF(ISERROR(B30*3.6/1000000/'E Balans VL '!Z18*100),0,B30*3.6/1000000/'E Balans VL '!Z18*100)</f>
        <v>1.5122572243552459</v>
      </c>
      <c r="D30" s="237" t="s">
        <v>744</v>
      </c>
    </row>
    <row r="31" spans="1:18">
      <c r="A31" s="6" t="s">
        <v>32</v>
      </c>
      <c r="B31" s="37">
        <f>IF( ISERROR(IND_ander_ele_kWh/1000),0,IND_ander_ele_kWh/1000)</f>
        <v>10958.184285155401</v>
      </c>
      <c r="C31" s="39">
        <f>IF(ISERROR(B31*3.6/1000000/'E Balans VL '!Z19*100),0,B31*3.6/1000000/'E Balans VL '!Z19*100)</f>
        <v>0.49701761008944584</v>
      </c>
      <c r="D31" s="237" t="s">
        <v>744</v>
      </c>
    </row>
    <row r="32" spans="1:18">
      <c r="A32" s="171" t="s">
        <v>40</v>
      </c>
      <c r="B32" s="37">
        <f>IF( ISERROR(IND_voed_ele_kWh/1000),0,IND_voed_ele_kWh/1000)</f>
        <v>7298.6743120035098</v>
      </c>
      <c r="C32" s="39">
        <f>IF(ISERROR(B32*3.6/1000000/'E Balans VL '!Z20*100),0,B32*3.6/1000000/'E Balans VL '!Z20*100)</f>
        <v>0.22578112965402833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367.78690002566799</v>
      </c>
      <c r="C34" s="39">
        <f>IF(ISERROR(B34*3.6/1000000/'E Balans VL '!Z22*100),0,B34*3.6/1000000/'E Balans VL '!Z22*100)</f>
        <v>6.6153388495491391E-2</v>
      </c>
      <c r="D34" s="237" t="s">
        <v>744</v>
      </c>
    </row>
    <row r="35" spans="1:5">
      <c r="A35" s="171" t="s">
        <v>38</v>
      </c>
      <c r="B35" s="37">
        <f>IF( ISERROR(IND_papier_ele_kWh/1000),0,IND_papier_ele_kWh/1000)</f>
        <v>1281.0929011170601</v>
      </c>
      <c r="C35" s="39">
        <f>IF(ISERROR(B35*3.6/1000000/'E Balans VL '!Z22*100),0,B35*3.6/1000000/'E Balans VL '!Z22*100)</f>
        <v>0.23042864327277121</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51690.013314338801</v>
      </c>
      <c r="C37" s="39">
        <f>IF(ISERROR(B37*3.6/1000000/'E Balans VL '!Z15*100),0,B37*3.6/1000000/'E Balans VL '!Z15*100)</f>
        <v>0.40970683688986925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1579.968008743682</v>
      </c>
      <c r="C5" s="17">
        <f>'Eigen informatie GS &amp; warmtenet'!B60</f>
        <v>0</v>
      </c>
      <c r="D5" s="30">
        <f>IF(ISERROR(SUM(LB_lb_gas_kWh,LB_rest_gas_kWh)/1000),0,SUM(LB_lb_gas_kWh,LB_rest_gas_kWh)/1000)*0.902</f>
        <v>55839.304202450825</v>
      </c>
      <c r="E5" s="17">
        <f>B17*'E Balans VL '!I25/3.6*1000000/100</f>
        <v>46.440085556274198</v>
      </c>
      <c r="F5" s="17">
        <f>B17*('E Balans VL '!L25/3.6*1000000+'E Balans VL '!N25/3.6*1000000)/100</f>
        <v>6582.0613474362262</v>
      </c>
      <c r="G5" s="18"/>
      <c r="H5" s="17"/>
      <c r="I5" s="17"/>
      <c r="J5" s="17">
        <f>('E Balans VL '!D25+'E Balans VL '!E25)/3.6*1000000*landbouw!B17/100</f>
        <v>228.90343426557658</v>
      </c>
      <c r="K5" s="17"/>
      <c r="L5" s="17">
        <f>L6*(-1)</f>
        <v>0</v>
      </c>
      <c r="M5" s="17"/>
      <c r="N5" s="17">
        <f>N6*(-1)</f>
        <v>0</v>
      </c>
      <c r="O5" s="17"/>
      <c r="P5" s="17"/>
      <c r="R5" s="32"/>
    </row>
    <row r="6" spans="1:18">
      <c r="A6" s="16" t="s">
        <v>487</v>
      </c>
      <c r="B6" s="17" t="s">
        <v>210</v>
      </c>
      <c r="C6" s="17">
        <f>'lokale energieproductie'!O40+'lokale energieproductie'!O33</f>
        <v>32406.428571428572</v>
      </c>
      <c r="D6" s="308">
        <f>('lokale energieproductie'!P33+'lokale energieproductie'!P40)*(-1)</f>
        <v>-64812.857142857145</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1579.968008743682</v>
      </c>
      <c r="C8" s="21">
        <f>C5+C6</f>
        <v>32406.428571428572</v>
      </c>
      <c r="D8" s="21">
        <f>MAX((D5+D6),0)</f>
        <v>0</v>
      </c>
      <c r="E8" s="21">
        <f>MAX((E5+E6),0)</f>
        <v>46.440085556274198</v>
      </c>
      <c r="F8" s="21">
        <f>MAX((F5+F6),0)</f>
        <v>6582.0613474362262</v>
      </c>
      <c r="G8" s="21"/>
      <c r="H8" s="21"/>
      <c r="I8" s="21"/>
      <c r="J8" s="21">
        <f>MAX((J5+J6),0)</f>
        <v>228.90343426557658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0.21104688584172823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333.44732797491054</v>
      </c>
      <c r="C12" s="23">
        <f ca="1">C8*C10</f>
        <v>7701.2924369747916</v>
      </c>
      <c r="D12" s="23">
        <f>D8*D10</f>
        <v>0</v>
      </c>
      <c r="E12" s="23">
        <f>E8*E10</f>
        <v>10.541899421274243</v>
      </c>
      <c r="F12" s="23">
        <f>F8*F10</f>
        <v>1757.4103797654725</v>
      </c>
      <c r="G12" s="23"/>
      <c r="H12" s="23"/>
      <c r="I12" s="23"/>
      <c r="J12" s="23">
        <f>J8*J10</f>
        <v>81.031815730014102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0.2242024174391829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177.05950900557696</v>
      </c>
      <c r="C26" s="247">
        <f>B26*'GWP N2O_CH4'!B5</f>
        <v>3718.2496891171158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72.592793207399851</v>
      </c>
      <c r="C27" s="247">
        <f>B27*'GWP N2O_CH4'!B5</f>
        <v>1524.4486573553968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3.9170721187298905</v>
      </c>
      <c r="C28" s="247">
        <f>B28*'GWP N2O_CH4'!B4</f>
        <v>1214.2923568062661</v>
      </c>
      <c r="D28" s="50"/>
    </row>
    <row r="29" spans="1:4">
      <c r="A29" s="41" t="s">
        <v>276</v>
      </c>
      <c r="B29" s="247">
        <f>B34*'ha_N2O bodem landbouw'!B4</f>
        <v>10.110242121492966</v>
      </c>
      <c r="C29" s="247">
        <f>B29*'GWP N2O_CH4'!B4</f>
        <v>3134.1750576628197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2.30712241068035E-3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2.9207195440557939E-4</v>
      </c>
      <c r="C5" s="437" t="s">
        <v>210</v>
      </c>
      <c r="D5" s="422">
        <f>SUM(D6:D11)</f>
        <v>7.8893240947049918E-4</v>
      </c>
      <c r="E5" s="422">
        <f>SUM(E6:E11)</f>
        <v>1.4593222943103717E-3</v>
      </c>
      <c r="F5" s="435" t="s">
        <v>210</v>
      </c>
      <c r="G5" s="422">
        <f>SUM(G6:G11)</f>
        <v>0.65325921694257472</v>
      </c>
      <c r="H5" s="422">
        <f>SUM(H6:H11)</f>
        <v>0.13553586295826098</v>
      </c>
      <c r="I5" s="437" t="s">
        <v>210</v>
      </c>
      <c r="J5" s="437" t="s">
        <v>210</v>
      </c>
      <c r="K5" s="437" t="s">
        <v>210</v>
      </c>
      <c r="L5" s="437" t="s">
        <v>210</v>
      </c>
      <c r="M5" s="422">
        <f>SUM(M6:M11)</f>
        <v>4.2157163861126945E-2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1.4079579406717609E-4</v>
      </c>
      <c r="C6" s="423"/>
      <c r="D6" s="865">
        <f>vkm_GW_PW*SUMIFS(TableVerdeelsleutelVkm[CNG],TableVerdeelsleutelVkm[Voertuigtype],"Lichte voertuigen")*SUMIFS(TableECFTransport[EnergieConsumptieFactor (PJ per km)],TableECFTransport[Index],CONCATENATE($A6,"_CNG_CNG"))</f>
        <v>3.4892635559260072E-4</v>
      </c>
      <c r="E6" s="865">
        <f>vkm_GW_PW*SUMIFS(TableVerdeelsleutelVkm[LPG],TableVerdeelsleutelVkm[Voertuigtype],"Lichte voertuigen")*SUMIFS(TableECFTransport[EnergieConsumptieFactor (PJ per km)],TableECFTransport[Index],CONCATENATE($A6,"_LPG_LPG"))</f>
        <v>5.9901942082075824E-4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0.18354824947442033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5.9284045427198777E-2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1.2469261511749589E-2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7.4241124601770445E-2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1.2419189717719486E-6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4.3375789842095011E-3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3.8147842486229705E-5</v>
      </c>
      <c r="C8" s="423"/>
      <c r="D8" s="425">
        <f>vkm_NGW_PW*SUMIFS(TableVerdeelsleutelVkm[CNG],TableVerdeelsleutelVkm[Voertuigtype],"Lichte voertuigen")*SUMIFS(TableECFTransport[EnergieConsumptieFactor (PJ per km)],TableECFTransport[Index],CONCATENATE($A8,"_CNG_CNG"))</f>
        <v>1.5979255078894656E-4</v>
      </c>
      <c r="E8" s="425">
        <f>vkm_NGW_PW*SUMIFS(TableVerdeelsleutelVkm[LPG],TableVerdeelsleutelVkm[Voertuigtype],"Lichte voertuigen")*SUMIFS(TableECFTransport[EnergieConsumptieFactor (PJ per km)],TableECFTransport[Index],CONCATENATE($A8,"_LPG_LPG"))</f>
        <v>2.6051361683589744E-4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7.5086207398273958E-2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2.6552282481227946E-2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5.1686698626061791E-3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1.8376155327217238E-2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3.7867636368795464E-7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1.0736391909852297E-3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1.1312831785217361E-4</v>
      </c>
      <c r="C10" s="423"/>
      <c r="D10" s="425">
        <f>vkm_SW_PW*SUMIFS(TableVerdeelsleutelVkm[CNG],TableVerdeelsleutelVkm[Voertuigtype],"Lichte voertuigen")*SUMIFS(TableECFTransport[EnergieConsumptieFactor (PJ per km)],TableECFTransport[Index],CONCATENATE($A10,"_CNG_CNG"))</f>
        <v>2.8021350308895187E-4</v>
      </c>
      <c r="E10" s="425">
        <f>vkm_SW_PW*SUMIFS(TableVerdeelsleutelVkm[LPG],TableVerdeelsleutelVkm[Voertuigtype],"Lichte voertuigen")*SUMIFS(TableECFTransport[EnergieConsumptieFactor (PJ per km)],TableECFTransport[Index],CONCATENATE($A10,"_LPG_LPG"))</f>
        <v>5.9978925665371606E-4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0.16441940980535166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4.9695462660023337E-2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1.1069350378785795E-2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0.13758807033554113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2.4517944754549024E-6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8.03866393279065E-3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81.131098445994269</v>
      </c>
      <c r="C14" s="21"/>
      <c r="D14" s="21">
        <f t="shared" ref="D14:M14" si="0">((D5)*10^9/3600)+D12</f>
        <v>219.14789151958308</v>
      </c>
      <c r="E14" s="21">
        <f t="shared" si="0"/>
        <v>405.36730397510325</v>
      </c>
      <c r="F14" s="21"/>
      <c r="G14" s="21">
        <f t="shared" si="0"/>
        <v>181460.89359515964</v>
      </c>
      <c r="H14" s="21">
        <f t="shared" si="0"/>
        <v>37648.850821739165</v>
      </c>
      <c r="I14" s="21"/>
      <c r="J14" s="21"/>
      <c r="K14" s="21"/>
      <c r="L14" s="21"/>
      <c r="M14" s="21">
        <f t="shared" si="0"/>
        <v>11710.323294757485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0.21104688584172823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17.122465671945768</v>
      </c>
      <c r="C18" s="23"/>
      <c r="D18" s="23">
        <f t="shared" ref="D18:M18" si="1">D14*D16</f>
        <v>44.267874086955786</v>
      </c>
      <c r="E18" s="23">
        <f t="shared" si="1"/>
        <v>92.018378002348442</v>
      </c>
      <c r="F18" s="23"/>
      <c r="G18" s="23">
        <f t="shared" si="1"/>
        <v>48450.058589907625</v>
      </c>
      <c r="H18" s="23">
        <f t="shared" si="1"/>
        <v>9374.5638546130522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7.9229092234941664E-3</v>
      </c>
      <c r="H50" s="319">
        <f t="shared" si="2"/>
        <v>0</v>
      </c>
      <c r="I50" s="319">
        <f t="shared" si="2"/>
        <v>0</v>
      </c>
      <c r="J50" s="319">
        <f t="shared" si="2"/>
        <v>0</v>
      </c>
      <c r="K50" s="319">
        <f t="shared" si="2"/>
        <v>0</v>
      </c>
      <c r="L50" s="319">
        <f t="shared" si="2"/>
        <v>0</v>
      </c>
      <c r="M50" s="319">
        <f t="shared" si="2"/>
        <v>4.4995227602842878E-4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7.9229092234941664E-3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4.4995227602842878E-4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2200.8081176372684</v>
      </c>
      <c r="H54" s="21">
        <f t="shared" si="3"/>
        <v>0</v>
      </c>
      <c r="I54" s="21">
        <f t="shared" si="3"/>
        <v>0</v>
      </c>
      <c r="J54" s="21">
        <f t="shared" si="3"/>
        <v>0</v>
      </c>
      <c r="K54" s="21">
        <f t="shared" si="3"/>
        <v>0</v>
      </c>
      <c r="L54" s="21">
        <f t="shared" si="3"/>
        <v>0</v>
      </c>
      <c r="M54" s="21">
        <f t="shared" si="3"/>
        <v>124.98674334123022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0.21104688584172823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587.61576740915075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75122.615948795908</v>
      </c>
      <c r="D10" s="979">
        <f ca="1">tertiair!C16</f>
        <v>0</v>
      </c>
      <c r="E10" s="979">
        <f ca="1">tertiair!D16</f>
        <v>71756.109311620938</v>
      </c>
      <c r="F10" s="979">
        <f>tertiair!E16</f>
        <v>1150.3179988147681</v>
      </c>
      <c r="G10" s="979">
        <f ca="1">tertiair!F16</f>
        <v>13138.856954696443</v>
      </c>
      <c r="H10" s="979">
        <f>tertiair!G16</f>
        <v>0</v>
      </c>
      <c r="I10" s="979">
        <f>tertiair!H16</f>
        <v>0</v>
      </c>
      <c r="J10" s="979">
        <f>tertiair!I16</f>
        <v>0</v>
      </c>
      <c r="K10" s="979">
        <f>tertiair!J16</f>
        <v>0.21328722974583722</v>
      </c>
      <c r="L10" s="979">
        <f>tertiair!K16</f>
        <v>0</v>
      </c>
      <c r="M10" s="979">
        <f ca="1">tertiair!L16</f>
        <v>0</v>
      </c>
      <c r="N10" s="979">
        <f>tertiair!M16</f>
        <v>0</v>
      </c>
      <c r="O10" s="979">
        <f ca="1">tertiair!N16</f>
        <v>5984.4587232340809</v>
      </c>
      <c r="P10" s="979">
        <f>tertiair!O16</f>
        <v>1.5633333333333335</v>
      </c>
      <c r="Q10" s="980">
        <f>tertiair!P16</f>
        <v>400.4</v>
      </c>
      <c r="R10" s="674">
        <f ca="1">SUM(C10:Q10)</f>
        <v>167554.5355577252</v>
      </c>
      <c r="S10" s="67"/>
    </row>
    <row r="11" spans="1:19" s="447" customFormat="1">
      <c r="A11" s="783" t="s">
        <v>224</v>
      </c>
      <c r="B11" s="788"/>
      <c r="C11" s="979">
        <f>huishoudens!B8</f>
        <v>43051.200402791808</v>
      </c>
      <c r="D11" s="979">
        <f>huishoudens!C8</f>
        <v>0</v>
      </c>
      <c r="E11" s="979">
        <f>huishoudens!D8</f>
        <v>138705.24280499943</v>
      </c>
      <c r="F11" s="979">
        <f>huishoudens!E8</f>
        <v>21780.173004506698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32263.507194341219</v>
      </c>
      <c r="P11" s="979">
        <f>huishoudens!O8</f>
        <v>429.91666666666669</v>
      </c>
      <c r="Q11" s="980">
        <f>huishoudens!P8</f>
        <v>1105.8666666666668</v>
      </c>
      <c r="R11" s="674">
        <f>SUM(C11:Q11)</f>
        <v>237335.9067399725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98909.866796617949</v>
      </c>
      <c r="D13" s="979">
        <f>industrie!C18</f>
        <v>900.00000000000023</v>
      </c>
      <c r="E13" s="979">
        <f>industrie!D18</f>
        <v>50266.169121559993</v>
      </c>
      <c r="F13" s="979">
        <f>industrie!E18</f>
        <v>6330.6566670840766</v>
      </c>
      <c r="G13" s="979">
        <f>industrie!F18</f>
        <v>22167.839406650528</v>
      </c>
      <c r="H13" s="979">
        <f>industrie!G18</f>
        <v>0</v>
      </c>
      <c r="I13" s="979">
        <f>industrie!H18</f>
        <v>0</v>
      </c>
      <c r="J13" s="979">
        <f>industrie!I18</f>
        <v>0</v>
      </c>
      <c r="K13" s="979">
        <f>industrie!J18</f>
        <v>185.85178249974271</v>
      </c>
      <c r="L13" s="979">
        <f>industrie!K18</f>
        <v>0</v>
      </c>
      <c r="M13" s="979">
        <f>industrie!L18</f>
        <v>0</v>
      </c>
      <c r="N13" s="979">
        <f>industrie!M18</f>
        <v>0</v>
      </c>
      <c r="O13" s="979">
        <f>industrie!N18</f>
        <v>5976.2287401426474</v>
      </c>
      <c r="P13" s="979">
        <f>industrie!O18</f>
        <v>0</v>
      </c>
      <c r="Q13" s="980">
        <f>industrie!P18</f>
        <v>0</v>
      </c>
      <c r="R13" s="674">
        <f>SUM(C13:Q13)</f>
        <v>184736.61251455499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217083.68314820566</v>
      </c>
      <c r="D16" s="706">
        <f t="shared" ref="D16:R16" ca="1" si="0">SUM(D9:D15)</f>
        <v>900.00000000000023</v>
      </c>
      <c r="E16" s="706">
        <f t="shared" ca="1" si="0"/>
        <v>260727.52123818037</v>
      </c>
      <c r="F16" s="706">
        <f t="shared" si="0"/>
        <v>29261.147670405542</v>
      </c>
      <c r="G16" s="706">
        <f t="shared" ca="1" si="0"/>
        <v>35306.696361346971</v>
      </c>
      <c r="H16" s="706">
        <f t="shared" si="0"/>
        <v>0</v>
      </c>
      <c r="I16" s="706">
        <f t="shared" si="0"/>
        <v>0</v>
      </c>
      <c r="J16" s="706">
        <f t="shared" si="0"/>
        <v>0</v>
      </c>
      <c r="K16" s="706">
        <f t="shared" si="0"/>
        <v>186.06506972948856</v>
      </c>
      <c r="L16" s="706">
        <f t="shared" si="0"/>
        <v>0</v>
      </c>
      <c r="M16" s="706">
        <f t="shared" ca="1" si="0"/>
        <v>0</v>
      </c>
      <c r="N16" s="706">
        <f t="shared" si="0"/>
        <v>0</v>
      </c>
      <c r="O16" s="706">
        <f t="shared" ca="1" si="0"/>
        <v>44224.194657717948</v>
      </c>
      <c r="P16" s="706">
        <f t="shared" si="0"/>
        <v>431.48</v>
      </c>
      <c r="Q16" s="706">
        <f t="shared" si="0"/>
        <v>1506.2666666666669</v>
      </c>
      <c r="R16" s="706">
        <f t="shared" ca="1" si="0"/>
        <v>589627.05481225275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2200.8081176372684</v>
      </c>
      <c r="I19" s="979">
        <f>transport!H54</f>
        <v>0</v>
      </c>
      <c r="J19" s="979">
        <f>transport!I54</f>
        <v>0</v>
      </c>
      <c r="K19" s="979">
        <f>transport!J54</f>
        <v>0</v>
      </c>
      <c r="L19" s="979">
        <f>transport!K54</f>
        <v>0</v>
      </c>
      <c r="M19" s="979">
        <f>transport!L54</f>
        <v>0</v>
      </c>
      <c r="N19" s="979">
        <f>transport!M54</f>
        <v>124.98674334123022</v>
      </c>
      <c r="O19" s="979">
        <f>transport!N54</f>
        <v>0</v>
      </c>
      <c r="P19" s="979">
        <f>transport!O54</f>
        <v>0</v>
      </c>
      <c r="Q19" s="980">
        <f>transport!P54</f>
        <v>0</v>
      </c>
      <c r="R19" s="674">
        <f>SUM(C19:Q19)</f>
        <v>2325.7948609784985</v>
      </c>
      <c r="S19" s="67"/>
    </row>
    <row r="20" spans="1:19" s="447" customFormat="1">
      <c r="A20" s="783" t="s">
        <v>306</v>
      </c>
      <c r="B20" s="788"/>
      <c r="C20" s="979">
        <f>transport!B14</f>
        <v>81.131098445994269</v>
      </c>
      <c r="D20" s="979">
        <f>transport!C14</f>
        <v>0</v>
      </c>
      <c r="E20" s="979">
        <f>transport!D14</f>
        <v>219.14789151958308</v>
      </c>
      <c r="F20" s="979">
        <f>transport!E14</f>
        <v>405.36730397510325</v>
      </c>
      <c r="G20" s="979">
        <f>transport!F14</f>
        <v>0</v>
      </c>
      <c r="H20" s="979">
        <f>transport!G14</f>
        <v>181460.89359515964</v>
      </c>
      <c r="I20" s="979">
        <f>transport!H14</f>
        <v>37648.850821739165</v>
      </c>
      <c r="J20" s="979">
        <f>transport!I14</f>
        <v>0</v>
      </c>
      <c r="K20" s="979">
        <f>transport!J14</f>
        <v>0</v>
      </c>
      <c r="L20" s="979">
        <f>transport!K14</f>
        <v>0</v>
      </c>
      <c r="M20" s="979">
        <f>transport!L14</f>
        <v>0</v>
      </c>
      <c r="N20" s="979">
        <f>transport!M14</f>
        <v>11710.323294757485</v>
      </c>
      <c r="O20" s="979">
        <f>transport!N14</f>
        <v>0</v>
      </c>
      <c r="P20" s="979">
        <f>transport!O14</f>
        <v>0</v>
      </c>
      <c r="Q20" s="980">
        <f>transport!P14</f>
        <v>0</v>
      </c>
      <c r="R20" s="674">
        <f>SUM(C20:Q20)</f>
        <v>231525.71400559696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81.131098445994269</v>
      </c>
      <c r="D22" s="786">
        <f t="shared" ref="D22:R22" si="1">SUM(D18:D21)</f>
        <v>0</v>
      </c>
      <c r="E22" s="786">
        <f t="shared" si="1"/>
        <v>219.14789151958308</v>
      </c>
      <c r="F22" s="786">
        <f t="shared" si="1"/>
        <v>405.36730397510325</v>
      </c>
      <c r="G22" s="786">
        <f t="shared" si="1"/>
        <v>0</v>
      </c>
      <c r="H22" s="786">
        <f t="shared" si="1"/>
        <v>183661.7017127969</v>
      </c>
      <c r="I22" s="786">
        <f t="shared" si="1"/>
        <v>37648.850821739165</v>
      </c>
      <c r="J22" s="786">
        <f t="shared" si="1"/>
        <v>0</v>
      </c>
      <c r="K22" s="786">
        <f t="shared" si="1"/>
        <v>0</v>
      </c>
      <c r="L22" s="786">
        <f t="shared" si="1"/>
        <v>0</v>
      </c>
      <c r="M22" s="786">
        <f t="shared" si="1"/>
        <v>0</v>
      </c>
      <c r="N22" s="786">
        <f t="shared" si="1"/>
        <v>11835.310038098716</v>
      </c>
      <c r="O22" s="786">
        <f t="shared" si="1"/>
        <v>0</v>
      </c>
      <c r="P22" s="786">
        <f t="shared" si="1"/>
        <v>0</v>
      </c>
      <c r="Q22" s="786">
        <f t="shared" si="1"/>
        <v>0</v>
      </c>
      <c r="R22" s="786">
        <f t="shared" si="1"/>
        <v>233851.50886657546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1579.968008743682</v>
      </c>
      <c r="D24" s="979">
        <f>+landbouw!C8</f>
        <v>32406.428571428572</v>
      </c>
      <c r="E24" s="979">
        <f>+landbouw!D8</f>
        <v>0</v>
      </c>
      <c r="F24" s="979">
        <f>+landbouw!E8</f>
        <v>46.440085556274198</v>
      </c>
      <c r="G24" s="979">
        <f>+landbouw!F8</f>
        <v>6582.0613474362262</v>
      </c>
      <c r="H24" s="979">
        <f>+landbouw!G8</f>
        <v>0</v>
      </c>
      <c r="I24" s="979">
        <f>+landbouw!H8</f>
        <v>0</v>
      </c>
      <c r="J24" s="979">
        <f>+landbouw!I8</f>
        <v>0</v>
      </c>
      <c r="K24" s="979">
        <f>+landbouw!J8</f>
        <v>228.90343426557658</v>
      </c>
      <c r="L24" s="979">
        <f>+landbouw!K8</f>
        <v>0</v>
      </c>
      <c r="M24" s="979">
        <f>+landbouw!L8</f>
        <v>0</v>
      </c>
      <c r="N24" s="979">
        <f>+landbouw!M8</f>
        <v>0</v>
      </c>
      <c r="O24" s="979">
        <f>+landbouw!N8</f>
        <v>0</v>
      </c>
      <c r="P24" s="979">
        <f>+landbouw!O8</f>
        <v>0</v>
      </c>
      <c r="Q24" s="980">
        <f>+landbouw!P8</f>
        <v>0</v>
      </c>
      <c r="R24" s="674">
        <f>SUM(C24:Q24)</f>
        <v>40843.801447430327</v>
      </c>
      <c r="S24" s="67"/>
    </row>
    <row r="25" spans="1:19" s="447" customFormat="1" ht="15" thickBot="1">
      <c r="A25" s="805" t="s">
        <v>823</v>
      </c>
      <c r="B25" s="982"/>
      <c r="C25" s="983">
        <f>IF(Onbekend_ele_kWh="---",0,Onbekend_ele_kWh)/1000+IF(REST_rest_ele_kWh="---",0,REST_rest_ele_kWh)/1000</f>
        <v>3335.48165165411</v>
      </c>
      <c r="D25" s="983"/>
      <c r="E25" s="983">
        <f>IF(onbekend_gas_kWh="---",0,onbekend_gas_kWh)/1000+IF(REST_rest_gas_kWh="---",0,REST_rest_gas_kWh)/1000</f>
        <v>4776.9411904805393</v>
      </c>
      <c r="F25" s="983"/>
      <c r="G25" s="983"/>
      <c r="H25" s="983"/>
      <c r="I25" s="983"/>
      <c r="J25" s="983"/>
      <c r="K25" s="983"/>
      <c r="L25" s="983"/>
      <c r="M25" s="983"/>
      <c r="N25" s="983"/>
      <c r="O25" s="983"/>
      <c r="P25" s="983"/>
      <c r="Q25" s="984"/>
      <c r="R25" s="674">
        <f>SUM(C25:Q25)</f>
        <v>8112.4228421346488</v>
      </c>
      <c r="S25" s="67"/>
    </row>
    <row r="26" spans="1:19" s="447" customFormat="1" ht="15.75" thickBot="1">
      <c r="A26" s="679" t="s">
        <v>824</v>
      </c>
      <c r="B26" s="791"/>
      <c r="C26" s="786">
        <f>SUM(C24:C25)</f>
        <v>4915.4496603977923</v>
      </c>
      <c r="D26" s="786">
        <f t="shared" ref="D26:R26" si="2">SUM(D24:D25)</f>
        <v>32406.428571428572</v>
      </c>
      <c r="E26" s="786">
        <f t="shared" si="2"/>
        <v>4776.9411904805393</v>
      </c>
      <c r="F26" s="786">
        <f t="shared" si="2"/>
        <v>46.440085556274198</v>
      </c>
      <c r="G26" s="786">
        <f t="shared" si="2"/>
        <v>6582.0613474362262</v>
      </c>
      <c r="H26" s="786">
        <f t="shared" si="2"/>
        <v>0</v>
      </c>
      <c r="I26" s="786">
        <f t="shared" si="2"/>
        <v>0</v>
      </c>
      <c r="J26" s="786">
        <f t="shared" si="2"/>
        <v>0</v>
      </c>
      <c r="K26" s="786">
        <f t="shared" si="2"/>
        <v>228.90343426557658</v>
      </c>
      <c r="L26" s="786">
        <f t="shared" si="2"/>
        <v>0</v>
      </c>
      <c r="M26" s="786">
        <f t="shared" si="2"/>
        <v>0</v>
      </c>
      <c r="N26" s="786">
        <f t="shared" si="2"/>
        <v>0</v>
      </c>
      <c r="O26" s="786">
        <f t="shared" si="2"/>
        <v>0</v>
      </c>
      <c r="P26" s="786">
        <f t="shared" si="2"/>
        <v>0</v>
      </c>
      <c r="Q26" s="786">
        <f t="shared" si="2"/>
        <v>0</v>
      </c>
      <c r="R26" s="786">
        <f t="shared" si="2"/>
        <v>48956.224289564976</v>
      </c>
      <c r="S26" s="67"/>
    </row>
    <row r="27" spans="1:19" s="447" customFormat="1" ht="17.25" thickTop="1" thickBot="1">
      <c r="A27" s="680" t="s">
        <v>115</v>
      </c>
      <c r="B27" s="779"/>
      <c r="C27" s="681">
        <f ca="1">C22+C16+C26</f>
        <v>222080.26390704946</v>
      </c>
      <c r="D27" s="681">
        <f t="shared" ref="D27:R27" ca="1" si="3">D22+D16+D26</f>
        <v>33306.428571428572</v>
      </c>
      <c r="E27" s="681">
        <f t="shared" ca="1" si="3"/>
        <v>265723.61032018048</v>
      </c>
      <c r="F27" s="681">
        <f t="shared" si="3"/>
        <v>29712.955059936921</v>
      </c>
      <c r="G27" s="681">
        <f t="shared" ca="1" si="3"/>
        <v>41888.757708783196</v>
      </c>
      <c r="H27" s="681">
        <f t="shared" si="3"/>
        <v>183661.7017127969</v>
      </c>
      <c r="I27" s="681">
        <f t="shared" si="3"/>
        <v>37648.850821739165</v>
      </c>
      <c r="J27" s="681">
        <f t="shared" si="3"/>
        <v>0</v>
      </c>
      <c r="K27" s="681">
        <f t="shared" si="3"/>
        <v>414.96850399506513</v>
      </c>
      <c r="L27" s="681">
        <f t="shared" si="3"/>
        <v>0</v>
      </c>
      <c r="M27" s="681">
        <f t="shared" ca="1" si="3"/>
        <v>0</v>
      </c>
      <c r="N27" s="681">
        <f t="shared" si="3"/>
        <v>11835.310038098716</v>
      </c>
      <c r="O27" s="681">
        <f t="shared" ca="1" si="3"/>
        <v>44224.194657717948</v>
      </c>
      <c r="P27" s="681">
        <f t="shared" si="3"/>
        <v>431.48</v>
      </c>
      <c r="Q27" s="681">
        <f t="shared" si="3"/>
        <v>1506.2666666666669</v>
      </c>
      <c r="R27" s="681">
        <f t="shared" ca="1" si="3"/>
        <v>872434.78796839318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15854.394152277524</v>
      </c>
      <c r="D40" s="979">
        <f ca="1">tertiair!C20</f>
        <v>0</v>
      </c>
      <c r="E40" s="979">
        <f ca="1">tertiair!D20</f>
        <v>14494.73408094743</v>
      </c>
      <c r="F40" s="979">
        <f>tertiair!E20</f>
        <v>261.12218573095237</v>
      </c>
      <c r="G40" s="979">
        <f ca="1">tertiair!F20</f>
        <v>3508.0748069039505</v>
      </c>
      <c r="H40" s="979">
        <f>tertiair!G20</f>
        <v>0</v>
      </c>
      <c r="I40" s="979">
        <f>tertiair!H20</f>
        <v>0</v>
      </c>
      <c r="J40" s="979">
        <f>tertiair!I20</f>
        <v>0</v>
      </c>
      <c r="K40" s="979">
        <f>tertiair!J20</f>
        <v>7.5503679330026371E-2</v>
      </c>
      <c r="L40" s="979">
        <f>tertiair!K20</f>
        <v>0</v>
      </c>
      <c r="M40" s="979">
        <f ca="1">tertiair!L20</f>
        <v>0</v>
      </c>
      <c r="N40" s="979">
        <f>tertiair!M20</f>
        <v>0</v>
      </c>
      <c r="O40" s="979">
        <f ca="1">tertiair!N20</f>
        <v>0</v>
      </c>
      <c r="P40" s="979">
        <f>tertiair!O20</f>
        <v>0</v>
      </c>
      <c r="Q40" s="748">
        <f>tertiair!P20</f>
        <v>0</v>
      </c>
      <c r="R40" s="824">
        <f t="shared" ca="1" si="4"/>
        <v>34118.400729539186</v>
      </c>
    </row>
    <row r="41" spans="1:18">
      <c r="A41" s="796" t="s">
        <v>224</v>
      </c>
      <c r="B41" s="803"/>
      <c r="C41" s="979">
        <f ca="1">huishoudens!B12</f>
        <v>9085.8217767573678</v>
      </c>
      <c r="D41" s="979">
        <f ca="1">huishoudens!C12</f>
        <v>0</v>
      </c>
      <c r="E41" s="979">
        <f>huishoudens!D12</f>
        <v>28018.459046609889</v>
      </c>
      <c r="F41" s="979">
        <f>huishoudens!E12</f>
        <v>4944.0992720230206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42048.380095390276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20874.619366446375</v>
      </c>
      <c r="D43" s="979">
        <f ca="1">industrie!C22</f>
        <v>213.88235294117658</v>
      </c>
      <c r="E43" s="979">
        <f>industrie!D22</f>
        <v>10153.766162555119</v>
      </c>
      <c r="F43" s="979">
        <f>industrie!E22</f>
        <v>1437.0590634280854</v>
      </c>
      <c r="G43" s="979">
        <f>industrie!F22</f>
        <v>5918.8131215756912</v>
      </c>
      <c r="H43" s="979">
        <f>industrie!G22</f>
        <v>0</v>
      </c>
      <c r="I43" s="979">
        <f>industrie!H22</f>
        <v>0</v>
      </c>
      <c r="J43" s="979">
        <f>industrie!I22</f>
        <v>0</v>
      </c>
      <c r="K43" s="979">
        <f>industrie!J22</f>
        <v>65.791531004908919</v>
      </c>
      <c r="L43" s="979">
        <f>industrie!K22</f>
        <v>0</v>
      </c>
      <c r="M43" s="979">
        <f>industrie!L22</f>
        <v>0</v>
      </c>
      <c r="N43" s="979">
        <f>industrie!M22</f>
        <v>0</v>
      </c>
      <c r="O43" s="979">
        <f>industrie!N22</f>
        <v>0</v>
      </c>
      <c r="P43" s="979">
        <f>industrie!O22</f>
        <v>0</v>
      </c>
      <c r="Q43" s="748">
        <f>industrie!P22</f>
        <v>0</v>
      </c>
      <c r="R43" s="823">
        <f t="shared" ca="1" si="4"/>
        <v>38663.931597951356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45814.835295481273</v>
      </c>
      <c r="D46" s="706">
        <f t="shared" ref="D46:Q46" ca="1" si="5">SUM(D39:D45)</f>
        <v>213.88235294117658</v>
      </c>
      <c r="E46" s="706">
        <f t="shared" ca="1" si="5"/>
        <v>52666.959290112434</v>
      </c>
      <c r="F46" s="706">
        <f t="shared" si="5"/>
        <v>6642.2805211820578</v>
      </c>
      <c r="G46" s="706">
        <f t="shared" ca="1" si="5"/>
        <v>9426.8879284796421</v>
      </c>
      <c r="H46" s="706">
        <f t="shared" si="5"/>
        <v>0</v>
      </c>
      <c r="I46" s="706">
        <f t="shared" si="5"/>
        <v>0</v>
      </c>
      <c r="J46" s="706">
        <f t="shared" si="5"/>
        <v>0</v>
      </c>
      <c r="K46" s="706">
        <f t="shared" si="5"/>
        <v>65.867034684238945</v>
      </c>
      <c r="L46" s="706">
        <f t="shared" si="5"/>
        <v>0</v>
      </c>
      <c r="M46" s="706">
        <f t="shared" ca="1" si="5"/>
        <v>0</v>
      </c>
      <c r="N46" s="706">
        <f t="shared" si="5"/>
        <v>0</v>
      </c>
      <c r="O46" s="706">
        <f t="shared" ca="1" si="5"/>
        <v>0</v>
      </c>
      <c r="P46" s="706">
        <f t="shared" si="5"/>
        <v>0</v>
      </c>
      <c r="Q46" s="706">
        <f t="shared" si="5"/>
        <v>0</v>
      </c>
      <c r="R46" s="706">
        <f ca="1">SUM(R39:R45)</f>
        <v>114830.71242288081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587.61576740915075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587.61576740915075</v>
      </c>
    </row>
    <row r="50" spans="1:18">
      <c r="A50" s="799" t="s">
        <v>306</v>
      </c>
      <c r="B50" s="809"/>
      <c r="C50" s="677">
        <f ca="1">transport!B18</f>
        <v>17.122465671945768</v>
      </c>
      <c r="D50" s="677">
        <f>transport!C18</f>
        <v>0</v>
      </c>
      <c r="E50" s="677">
        <f>transport!D18</f>
        <v>44.267874086955786</v>
      </c>
      <c r="F50" s="677">
        <f>transport!E18</f>
        <v>92.018378002348442</v>
      </c>
      <c r="G50" s="677">
        <f>transport!F18</f>
        <v>0</v>
      </c>
      <c r="H50" s="677">
        <f>transport!G18</f>
        <v>48450.058589907625</v>
      </c>
      <c r="I50" s="677">
        <f>transport!H18</f>
        <v>9374.5638546130522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57978.031162281928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17.122465671945768</v>
      </c>
      <c r="D52" s="706">
        <f t="shared" ref="D52:Q52" ca="1" si="6">SUM(D48:D51)</f>
        <v>0</v>
      </c>
      <c r="E52" s="706">
        <f t="shared" si="6"/>
        <v>44.267874086955786</v>
      </c>
      <c r="F52" s="706">
        <f t="shared" si="6"/>
        <v>92.018378002348442</v>
      </c>
      <c r="G52" s="706">
        <f t="shared" si="6"/>
        <v>0</v>
      </c>
      <c r="H52" s="706">
        <f t="shared" si="6"/>
        <v>49037.674357316777</v>
      </c>
      <c r="I52" s="706">
        <f t="shared" si="6"/>
        <v>9374.5638546130522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58565.64692969108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333.44732797491054</v>
      </c>
      <c r="D54" s="677">
        <f ca="1">+landbouw!C12</f>
        <v>7701.2924369747916</v>
      </c>
      <c r="E54" s="677">
        <f>+landbouw!D12</f>
        <v>0</v>
      </c>
      <c r="F54" s="677">
        <f>+landbouw!E12</f>
        <v>10.541899421274243</v>
      </c>
      <c r="G54" s="677">
        <f>+landbouw!F12</f>
        <v>1757.4103797654725</v>
      </c>
      <c r="H54" s="677">
        <f>+landbouw!G12</f>
        <v>0</v>
      </c>
      <c r="I54" s="677">
        <f>+landbouw!H12</f>
        <v>0</v>
      </c>
      <c r="J54" s="677">
        <f>+landbouw!I12</f>
        <v>0</v>
      </c>
      <c r="K54" s="677">
        <f>+landbouw!J12</f>
        <v>81.031815730014102</v>
      </c>
      <c r="L54" s="677">
        <f>+landbouw!K12</f>
        <v>0</v>
      </c>
      <c r="M54" s="677">
        <f>+landbouw!L12</f>
        <v>0</v>
      </c>
      <c r="N54" s="677">
        <f>+landbouw!M12</f>
        <v>0</v>
      </c>
      <c r="O54" s="677">
        <f>+landbouw!N12</f>
        <v>0</v>
      </c>
      <c r="P54" s="677">
        <f>+landbouw!O12</f>
        <v>0</v>
      </c>
      <c r="Q54" s="678">
        <f>+landbouw!P12</f>
        <v>0</v>
      </c>
      <c r="R54" s="705">
        <f ca="1">SUM(C54:Q54)</f>
        <v>9883.7238598664626</v>
      </c>
    </row>
    <row r="55" spans="1:18" ht="15" thickBot="1">
      <c r="A55" s="799" t="s">
        <v>823</v>
      </c>
      <c r="B55" s="809"/>
      <c r="C55" s="677">
        <f ca="1">C25*'EF ele_warmte'!B12</f>
        <v>703.94301536382409</v>
      </c>
      <c r="D55" s="677"/>
      <c r="E55" s="677">
        <f>E25*EF_CO2_aardgas</f>
        <v>964.94212047706901</v>
      </c>
      <c r="F55" s="677"/>
      <c r="G55" s="677"/>
      <c r="H55" s="677"/>
      <c r="I55" s="677"/>
      <c r="J55" s="677"/>
      <c r="K55" s="677"/>
      <c r="L55" s="677"/>
      <c r="M55" s="677"/>
      <c r="N55" s="677"/>
      <c r="O55" s="677"/>
      <c r="P55" s="677"/>
      <c r="Q55" s="678"/>
      <c r="R55" s="705">
        <f ca="1">SUM(C55:Q55)</f>
        <v>1668.8851358408931</v>
      </c>
    </row>
    <row r="56" spans="1:18" ht="15.75" thickBot="1">
      <c r="A56" s="797" t="s">
        <v>824</v>
      </c>
      <c r="B56" s="810"/>
      <c r="C56" s="706">
        <f ca="1">SUM(C54:C55)</f>
        <v>1037.3903433387345</v>
      </c>
      <c r="D56" s="706">
        <f t="shared" ref="D56:Q56" ca="1" si="7">SUM(D54:D55)</f>
        <v>7701.2924369747916</v>
      </c>
      <c r="E56" s="706">
        <f t="shared" si="7"/>
        <v>964.94212047706901</v>
      </c>
      <c r="F56" s="706">
        <f t="shared" si="7"/>
        <v>10.541899421274243</v>
      </c>
      <c r="G56" s="706">
        <f t="shared" si="7"/>
        <v>1757.4103797654725</v>
      </c>
      <c r="H56" s="706">
        <f t="shared" si="7"/>
        <v>0</v>
      </c>
      <c r="I56" s="706">
        <f t="shared" si="7"/>
        <v>0</v>
      </c>
      <c r="J56" s="706">
        <f t="shared" si="7"/>
        <v>0</v>
      </c>
      <c r="K56" s="706">
        <f t="shared" si="7"/>
        <v>81.031815730014102</v>
      </c>
      <c r="L56" s="706">
        <f t="shared" si="7"/>
        <v>0</v>
      </c>
      <c r="M56" s="706">
        <f t="shared" si="7"/>
        <v>0</v>
      </c>
      <c r="N56" s="706">
        <f t="shared" si="7"/>
        <v>0</v>
      </c>
      <c r="O56" s="706">
        <f t="shared" si="7"/>
        <v>0</v>
      </c>
      <c r="P56" s="706">
        <f t="shared" si="7"/>
        <v>0</v>
      </c>
      <c r="Q56" s="707">
        <f t="shared" si="7"/>
        <v>0</v>
      </c>
      <c r="R56" s="708">
        <f ca="1">SUM(R54:R55)</f>
        <v>11552.608995707356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46869.348104491946</v>
      </c>
      <c r="D61" s="714">
        <f t="shared" ref="D61:Q61" ca="1" si="8">D46+D52+D56</f>
        <v>7915.1747899159682</v>
      </c>
      <c r="E61" s="714">
        <f t="shared" ca="1" si="8"/>
        <v>53676.169284676456</v>
      </c>
      <c r="F61" s="714">
        <f t="shared" si="8"/>
        <v>6744.84079860568</v>
      </c>
      <c r="G61" s="714">
        <f t="shared" ca="1" si="8"/>
        <v>11184.298308245114</v>
      </c>
      <c r="H61" s="714">
        <f t="shared" si="8"/>
        <v>49037.674357316777</v>
      </c>
      <c r="I61" s="714">
        <f t="shared" si="8"/>
        <v>9374.5638546130522</v>
      </c>
      <c r="J61" s="714">
        <f t="shared" si="8"/>
        <v>0</v>
      </c>
      <c r="K61" s="714">
        <f t="shared" si="8"/>
        <v>146.89885041425305</v>
      </c>
      <c r="L61" s="714">
        <f t="shared" si="8"/>
        <v>0</v>
      </c>
      <c r="M61" s="714">
        <f t="shared" ca="1" si="8"/>
        <v>0</v>
      </c>
      <c r="N61" s="714">
        <f t="shared" si="8"/>
        <v>0</v>
      </c>
      <c r="O61" s="714">
        <f t="shared" ca="1" si="8"/>
        <v>0</v>
      </c>
      <c r="P61" s="714">
        <f t="shared" si="8"/>
        <v>0</v>
      </c>
      <c r="Q61" s="714">
        <f t="shared" si="8"/>
        <v>0</v>
      </c>
      <c r="R61" s="714">
        <f ca="1">R46+R52+R56</f>
        <v>184948.96834827925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0.21104688584172823</v>
      </c>
      <c r="D63" s="755">
        <f t="shared" ca="1" si="9"/>
        <v>0.23764705882352946</v>
      </c>
      <c r="E63" s="990">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10857.955076502996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23314.5</v>
      </c>
      <c r="D76" s="1000">
        <f>'lokale energieproductie'!C8</f>
        <v>27428.823529411766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5540.6223529411773</v>
      </c>
      <c r="R76" s="826">
        <v>0</v>
      </c>
    </row>
    <row r="77" spans="1:18" ht="30.75" thickBot="1">
      <c r="A77" s="727" t="s">
        <v>352</v>
      </c>
      <c r="B77" s="724">
        <f>'lokale energieproductie'!B9*IFERROR(SUM(I77:O77)/SUM(D77:O77),0)</f>
        <v>900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2571.4285714285716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11757.955076502996</v>
      </c>
      <c r="C78" s="729">
        <f>SUM(C72:C77)</f>
        <v>23314.5</v>
      </c>
      <c r="D78" s="730">
        <f t="shared" ref="D78:H78" si="10">SUM(D76:D77)</f>
        <v>27428.823529411766</v>
      </c>
      <c r="E78" s="730">
        <f t="shared" si="10"/>
        <v>0</v>
      </c>
      <c r="F78" s="730">
        <f t="shared" si="10"/>
        <v>0</v>
      </c>
      <c r="G78" s="730">
        <f t="shared" si="10"/>
        <v>0</v>
      </c>
      <c r="H78" s="730">
        <f t="shared" si="10"/>
        <v>0</v>
      </c>
      <c r="I78" s="730">
        <f>SUM(I76:I77)</f>
        <v>0</v>
      </c>
      <c r="J78" s="730">
        <f>SUM(J76:J77)</f>
        <v>2571.4285714285716</v>
      </c>
      <c r="K78" s="730">
        <f t="shared" ref="K78:L78" si="11">SUM(K76:K77)</f>
        <v>0</v>
      </c>
      <c r="L78" s="730">
        <f t="shared" si="11"/>
        <v>0</v>
      </c>
      <c r="M78" s="730">
        <f>SUM(M76:M77)</f>
        <v>0</v>
      </c>
      <c r="N78" s="730">
        <f>SUM(N76:N77)</f>
        <v>0</v>
      </c>
      <c r="O78" s="834">
        <f>SUM(O76:O77)</f>
        <v>0</v>
      </c>
      <c r="P78" s="731">
        <v>0</v>
      </c>
      <c r="Q78" s="731">
        <f>SUM(Q76:Q77)</f>
        <v>5540.6223529411773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33306.428571428572</v>
      </c>
      <c r="D87" s="751">
        <f>'lokale energieproductie'!C17</f>
        <v>39184.033613445383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7915.1747899159682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33306.428571428572</v>
      </c>
      <c r="D90" s="729">
        <f t="shared" ref="D90:H90" si="12">SUM(D87:D89)</f>
        <v>39184.033613445383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7915.1747899159682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10857.955076502996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23314.5</v>
      </c>
      <c r="C8" s="544">
        <f>B49</f>
        <v>27428.823529411766</v>
      </c>
      <c r="D8" s="1010"/>
      <c r="E8" s="1010">
        <f>E49</f>
        <v>0</v>
      </c>
      <c r="F8" s="1011"/>
      <c r="G8" s="545"/>
      <c r="H8" s="1010">
        <f>I49</f>
        <v>0</v>
      </c>
      <c r="I8" s="1010">
        <f>G49+F49</f>
        <v>0</v>
      </c>
      <c r="J8" s="1010">
        <f>H49+D49+C49</f>
        <v>0</v>
      </c>
      <c r="K8" s="1010"/>
      <c r="L8" s="1010"/>
      <c r="M8" s="1010"/>
      <c r="N8" s="546"/>
      <c r="O8" s="547">
        <f>C8*$C$12+D8*$D$12+E8*$E$12+F8*$F$12+G8*$G$12+H8*$H$12+I8*$I$12+J8*$J$12</f>
        <v>5540.6223529411773</v>
      </c>
      <c r="P8" s="1250"/>
      <c r="Q8" s="1251"/>
      <c r="S8" s="973"/>
      <c r="T8" s="1225"/>
      <c r="U8" s="1225"/>
    </row>
    <row r="9" spans="1:21" s="533" customFormat="1" ht="17.45" customHeight="1" thickBot="1">
      <c r="A9" s="548" t="s">
        <v>247</v>
      </c>
      <c r="B9" s="549">
        <f>N37+'Eigen informatie GS &amp; warmtenet'!B12</f>
        <v>900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35072.455076503</v>
      </c>
      <c r="C10" s="557">
        <f t="shared" ref="C10:L10" si="0">SUM(C8:C9)</f>
        <v>27428.823529411766</v>
      </c>
      <c r="D10" s="557">
        <f t="shared" si="0"/>
        <v>0</v>
      </c>
      <c r="E10" s="557">
        <f t="shared" si="0"/>
        <v>0</v>
      </c>
      <c r="F10" s="557">
        <f t="shared" si="0"/>
        <v>0</v>
      </c>
      <c r="G10" s="557">
        <f t="shared" si="0"/>
        <v>0</v>
      </c>
      <c r="H10" s="557">
        <f t="shared" si="0"/>
        <v>0</v>
      </c>
      <c r="I10" s="557">
        <f t="shared" si="0"/>
        <v>0</v>
      </c>
      <c r="J10" s="557">
        <f t="shared" si="0"/>
        <v>2571.4285714285716</v>
      </c>
      <c r="K10" s="557">
        <f t="shared" si="0"/>
        <v>0</v>
      </c>
      <c r="L10" s="557">
        <f t="shared" si="0"/>
        <v>0</v>
      </c>
      <c r="M10" s="1013"/>
      <c r="N10" s="1013"/>
      <c r="O10" s="558">
        <f>SUM(O4:O9)</f>
        <v>5540.6223529411773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33306.428571428572</v>
      </c>
      <c r="C17" s="569">
        <f>B50</f>
        <v>39184.033613445383</v>
      </c>
      <c r="D17" s="570"/>
      <c r="E17" s="570">
        <f>E50</f>
        <v>0</v>
      </c>
      <c r="F17" s="1016"/>
      <c r="G17" s="571"/>
      <c r="H17" s="569">
        <f>I50</f>
        <v>0</v>
      </c>
      <c r="I17" s="570">
        <f>G50+F50</f>
        <v>0</v>
      </c>
      <c r="J17" s="570">
        <f>H50+D50+C50</f>
        <v>0</v>
      </c>
      <c r="K17" s="570"/>
      <c r="L17" s="570"/>
      <c r="M17" s="570"/>
      <c r="N17" s="1017"/>
      <c r="O17" s="572">
        <f>C17*$C$22+E17*$E$22+H17*$H$22+I17*$I$22+J17*$J$22+D17*$D$22+F17*$F$22+G17*$G$22+K17*$K$22+L17*$L$22</f>
        <v>7915.1747899159682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33306.428571428572</v>
      </c>
      <c r="C20" s="556">
        <f>SUM(C17:C19)</f>
        <v>39184.033613445383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7915.1747899159682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13011</v>
      </c>
      <c r="C28" s="770">
        <v>2200</v>
      </c>
      <c r="D28" s="627" t="s">
        <v>887</v>
      </c>
      <c r="E28" s="626" t="s">
        <v>888</v>
      </c>
      <c r="F28" s="626" t="s">
        <v>889</v>
      </c>
      <c r="G28" s="626" t="s">
        <v>890</v>
      </c>
      <c r="H28" s="626" t="s">
        <v>891</v>
      </c>
      <c r="I28" s="626" t="s">
        <v>888</v>
      </c>
      <c r="J28" s="769">
        <v>41323</v>
      </c>
      <c r="K28" s="769">
        <v>39511</v>
      </c>
      <c r="L28" s="626" t="s">
        <v>892</v>
      </c>
      <c r="M28" s="626">
        <v>5041</v>
      </c>
      <c r="N28" s="626">
        <v>22684.5</v>
      </c>
      <c r="O28" s="626">
        <v>32406.428571428572</v>
      </c>
      <c r="P28" s="626">
        <v>64812.857142857145</v>
      </c>
      <c r="Q28" s="626">
        <v>0</v>
      </c>
      <c r="R28" s="626">
        <v>0</v>
      </c>
      <c r="S28" s="626">
        <v>0</v>
      </c>
      <c r="T28" s="626">
        <v>0</v>
      </c>
      <c r="U28" s="626">
        <v>0</v>
      </c>
      <c r="V28" s="626">
        <v>0</v>
      </c>
      <c r="W28" s="626">
        <v>0</v>
      </c>
      <c r="X28" s="626">
        <v>10</v>
      </c>
      <c r="Y28" s="626" t="s">
        <v>111</v>
      </c>
      <c r="Z28" s="628" t="s">
        <v>111</v>
      </c>
    </row>
    <row r="29" spans="1:26" s="580" customFormat="1" ht="38.25">
      <c r="A29" s="579"/>
      <c r="B29" s="770">
        <v>13011</v>
      </c>
      <c r="C29" s="770">
        <v>2200</v>
      </c>
      <c r="D29" s="627" t="s">
        <v>893</v>
      </c>
      <c r="E29" s="626" t="s">
        <v>894</v>
      </c>
      <c r="F29" s="626" t="s">
        <v>895</v>
      </c>
      <c r="G29" s="626" t="s">
        <v>890</v>
      </c>
      <c r="H29" s="626" t="s">
        <v>891</v>
      </c>
      <c r="I29" s="626" t="s">
        <v>894</v>
      </c>
      <c r="J29" s="769">
        <v>41326</v>
      </c>
      <c r="K29" s="769">
        <v>41395</v>
      </c>
      <c r="L29" s="626" t="s">
        <v>892</v>
      </c>
      <c r="M29" s="626">
        <v>140</v>
      </c>
      <c r="N29" s="626">
        <v>630.00000000000011</v>
      </c>
      <c r="O29" s="626">
        <v>900.00000000000023</v>
      </c>
      <c r="P29" s="626">
        <v>1800.0000000000005</v>
      </c>
      <c r="Q29" s="626">
        <v>0</v>
      </c>
      <c r="R29" s="626">
        <v>0</v>
      </c>
      <c r="S29" s="626">
        <v>0</v>
      </c>
      <c r="T29" s="626">
        <v>0</v>
      </c>
      <c r="U29" s="626">
        <v>0</v>
      </c>
      <c r="V29" s="626">
        <v>0</v>
      </c>
      <c r="W29" s="626">
        <v>0</v>
      </c>
      <c r="X29" s="626">
        <v>800</v>
      </c>
      <c r="Y29" s="626" t="s">
        <v>35</v>
      </c>
      <c r="Z29" s="628" t="s">
        <v>388</v>
      </c>
    </row>
    <row r="30" spans="1:26" s="564" customFormat="1">
      <c r="A30" s="582" t="s">
        <v>279</v>
      </c>
      <c r="B30" s="583"/>
      <c r="C30" s="583"/>
      <c r="D30" s="583"/>
      <c r="E30" s="583"/>
      <c r="F30" s="583"/>
      <c r="G30" s="583"/>
      <c r="H30" s="583"/>
      <c r="I30" s="583"/>
      <c r="J30" s="583"/>
      <c r="K30" s="583"/>
      <c r="L30" s="584"/>
      <c r="M30" s="584">
        <f>SUM(M28:M29)</f>
        <v>5181</v>
      </c>
      <c r="N30" s="584">
        <f>SUM(N28:N29)</f>
        <v>23314.5</v>
      </c>
      <c r="O30" s="584">
        <f>SUM(O28:O29)</f>
        <v>33306.428571428572</v>
      </c>
      <c r="P30" s="584">
        <f>SUM(P28:P29)</f>
        <v>66612.857142857145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140</v>
      </c>
      <c r="N31" s="584">
        <f>SUMIF($Z$28:$Z$29,"industrie",N28:N29)</f>
        <v>630.00000000000011</v>
      </c>
      <c r="O31" s="584">
        <f>SUMIF($Z$28:$Z$29,"industrie",O28:O29)</f>
        <v>900.00000000000023</v>
      </c>
      <c r="P31" s="584">
        <f>SUMIF($Z$28:$Z$29,"industrie",P28:P29)</f>
        <v>1800.0000000000005</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5041</v>
      </c>
      <c r="N33" s="589">
        <f>SUMIF($Z$28:$Z$29,"landbouw",N28:N29)</f>
        <v>22684.5</v>
      </c>
      <c r="O33" s="589">
        <f>SUMIF($Z$28:$Z$29,"landbouw",O28:O29)</f>
        <v>32406.428571428572</v>
      </c>
      <c r="P33" s="589">
        <f>SUMIF($Z$28:$Z$29,"landbouw",P28:P29)</f>
        <v>64812.857142857145</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13011</v>
      </c>
      <c r="C36" s="770">
        <v>2200</v>
      </c>
      <c r="D36" s="629" t="s">
        <v>896</v>
      </c>
      <c r="E36" s="629" t="s">
        <v>897</v>
      </c>
      <c r="F36" s="629" t="s">
        <v>898</v>
      </c>
      <c r="G36" s="629" t="s">
        <v>899</v>
      </c>
      <c r="H36" s="629" t="s">
        <v>900</v>
      </c>
      <c r="I36" s="629" t="s">
        <v>901</v>
      </c>
      <c r="J36" s="769">
        <v>39217</v>
      </c>
      <c r="K36" s="769">
        <v>39227</v>
      </c>
      <c r="L36" s="629" t="s">
        <v>902</v>
      </c>
      <c r="M36" s="629">
        <v>200</v>
      </c>
      <c r="N36" s="629">
        <v>900</v>
      </c>
      <c r="O36" s="629">
        <v>0</v>
      </c>
      <c r="P36" s="629">
        <v>0</v>
      </c>
      <c r="Q36" s="629">
        <v>2571.4285714285716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200</v>
      </c>
      <c r="N37" s="584">
        <f>SUM(N36:N36)</f>
        <v>900</v>
      </c>
      <c r="O37" s="584">
        <f>SUM(O36:O36)</f>
        <v>0</v>
      </c>
      <c r="P37" s="584">
        <f>SUM(P36:P36)</f>
        <v>0</v>
      </c>
      <c r="Q37" s="584">
        <f>SUM(Q36:Q36)</f>
        <v>2571.4285714285716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200</v>
      </c>
      <c r="N39" s="584">
        <f>SUMIF($Z$36:$Z$37,"tertiair",N36:N37)</f>
        <v>900</v>
      </c>
      <c r="O39" s="584">
        <f>SUMIF($Z$36:$Z$37,"tertiair",O36:O37)</f>
        <v>0</v>
      </c>
      <c r="P39" s="584">
        <f>SUMIF($Z$36:$Z$37,"tertiair",P36:P37)</f>
        <v>0</v>
      </c>
      <c r="Q39" s="584">
        <f>SUMIF($Z$36:$Z$37,"tertiair",Q36:Q37)</f>
        <v>2571.4285714285716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27428.823529411766</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39184.033613445383</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43051.200402791808</v>
      </c>
      <c r="C4" s="451">
        <f>huishoudens!C8</f>
        <v>0</v>
      </c>
      <c r="D4" s="451">
        <f>huishoudens!D8</f>
        <v>138705.24280499943</v>
      </c>
      <c r="E4" s="451">
        <f>huishoudens!E8</f>
        <v>21780.173004506698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32263.507194341219</v>
      </c>
      <c r="O4" s="451">
        <f>huishoudens!O8</f>
        <v>429.91666666666669</v>
      </c>
      <c r="P4" s="452">
        <f>huishoudens!P8</f>
        <v>1105.8666666666668</v>
      </c>
      <c r="Q4" s="453">
        <f>SUM(B4:P4)</f>
        <v>237335.9067399725</v>
      </c>
    </row>
    <row r="5" spans="1:17">
      <c r="A5" s="450" t="s">
        <v>155</v>
      </c>
      <c r="B5" s="451">
        <f ca="1">tertiair!B16</f>
        <v>73734.876948795907</v>
      </c>
      <c r="C5" s="451">
        <f ca="1">tertiair!C16</f>
        <v>0</v>
      </c>
      <c r="D5" s="451">
        <f ca="1">tertiair!D16</f>
        <v>71756.109311620938</v>
      </c>
      <c r="E5" s="451">
        <f>tertiair!E16</f>
        <v>1150.3179988147681</v>
      </c>
      <c r="F5" s="451">
        <f ca="1">tertiair!F16</f>
        <v>13138.856954696443</v>
      </c>
      <c r="G5" s="451">
        <f>tertiair!G16</f>
        <v>0</v>
      </c>
      <c r="H5" s="451">
        <f>tertiair!H16</f>
        <v>0</v>
      </c>
      <c r="I5" s="451">
        <f>tertiair!I16</f>
        <v>0</v>
      </c>
      <c r="J5" s="451">
        <f>tertiair!J16</f>
        <v>0.21328722974583722</v>
      </c>
      <c r="K5" s="451">
        <f>tertiair!K16</f>
        <v>0</v>
      </c>
      <c r="L5" s="451">
        <f ca="1">tertiair!L16</f>
        <v>0</v>
      </c>
      <c r="M5" s="451">
        <f>tertiair!M16</f>
        <v>0</v>
      </c>
      <c r="N5" s="451">
        <f ca="1">tertiair!N16</f>
        <v>5984.4587232340809</v>
      </c>
      <c r="O5" s="451">
        <f>tertiair!O16</f>
        <v>1.5633333333333335</v>
      </c>
      <c r="P5" s="452">
        <f>tertiair!P16</f>
        <v>400.4</v>
      </c>
      <c r="Q5" s="450">
        <f t="shared" ref="Q5:Q14" ca="1" si="0">SUM(B5:P5)</f>
        <v>166166.7965577252</v>
      </c>
    </row>
    <row r="6" spans="1:17">
      <c r="A6" s="450" t="s">
        <v>193</v>
      </c>
      <c r="B6" s="451">
        <f>'openbare verlichting'!B8</f>
        <v>1387.739</v>
      </c>
      <c r="C6" s="451"/>
      <c r="D6" s="451"/>
      <c r="E6" s="451"/>
      <c r="F6" s="451"/>
      <c r="G6" s="451"/>
      <c r="H6" s="451"/>
      <c r="I6" s="451"/>
      <c r="J6" s="451"/>
      <c r="K6" s="451"/>
      <c r="L6" s="451"/>
      <c r="M6" s="451"/>
      <c r="N6" s="451"/>
      <c r="O6" s="451"/>
      <c r="P6" s="452"/>
      <c r="Q6" s="450">
        <f t="shared" si="0"/>
        <v>1387.739</v>
      </c>
    </row>
    <row r="7" spans="1:17">
      <c r="A7" s="450" t="s">
        <v>111</v>
      </c>
      <c r="B7" s="451">
        <f>landbouw!B8</f>
        <v>1579.968008743682</v>
      </c>
      <c r="C7" s="451">
        <f>landbouw!C8</f>
        <v>32406.428571428572</v>
      </c>
      <c r="D7" s="451">
        <f>landbouw!D8</f>
        <v>0</v>
      </c>
      <c r="E7" s="451">
        <f>landbouw!E8</f>
        <v>46.440085556274198</v>
      </c>
      <c r="F7" s="451">
        <f>landbouw!F8</f>
        <v>6582.0613474362262</v>
      </c>
      <c r="G7" s="451">
        <f>landbouw!G8</f>
        <v>0</v>
      </c>
      <c r="H7" s="451">
        <f>landbouw!H8</f>
        <v>0</v>
      </c>
      <c r="I7" s="451">
        <f>landbouw!I8</f>
        <v>0</v>
      </c>
      <c r="J7" s="451">
        <f>landbouw!J8</f>
        <v>228.90343426557658</v>
      </c>
      <c r="K7" s="451">
        <f>landbouw!K8</f>
        <v>0</v>
      </c>
      <c r="L7" s="451">
        <f>landbouw!L8</f>
        <v>0</v>
      </c>
      <c r="M7" s="451">
        <f>landbouw!M8</f>
        <v>0</v>
      </c>
      <c r="N7" s="451">
        <f>landbouw!N8</f>
        <v>0</v>
      </c>
      <c r="O7" s="451">
        <f>landbouw!O8</f>
        <v>0</v>
      </c>
      <c r="P7" s="452">
        <f>landbouw!P8</f>
        <v>0</v>
      </c>
      <c r="Q7" s="450">
        <f t="shared" si="0"/>
        <v>40843.801447430327</v>
      </c>
    </row>
    <row r="8" spans="1:17">
      <c r="A8" s="450" t="s">
        <v>634</v>
      </c>
      <c r="B8" s="451">
        <f>industrie!B18</f>
        <v>98909.866796617949</v>
      </c>
      <c r="C8" s="451">
        <f>industrie!C18</f>
        <v>900.00000000000023</v>
      </c>
      <c r="D8" s="451">
        <f>industrie!D18</f>
        <v>50266.169121559993</v>
      </c>
      <c r="E8" s="451">
        <f>industrie!E18</f>
        <v>6330.6566670840766</v>
      </c>
      <c r="F8" s="451">
        <f>industrie!F18</f>
        <v>22167.839406650528</v>
      </c>
      <c r="G8" s="451">
        <f>industrie!G18</f>
        <v>0</v>
      </c>
      <c r="H8" s="451">
        <f>industrie!H18</f>
        <v>0</v>
      </c>
      <c r="I8" s="451">
        <f>industrie!I18</f>
        <v>0</v>
      </c>
      <c r="J8" s="451">
        <f>industrie!J18</f>
        <v>185.85178249974271</v>
      </c>
      <c r="K8" s="451">
        <f>industrie!K18</f>
        <v>0</v>
      </c>
      <c r="L8" s="451">
        <f>industrie!L18</f>
        <v>0</v>
      </c>
      <c r="M8" s="451">
        <f>industrie!M18</f>
        <v>0</v>
      </c>
      <c r="N8" s="451">
        <f>industrie!N18</f>
        <v>5976.2287401426474</v>
      </c>
      <c r="O8" s="451">
        <f>industrie!O18</f>
        <v>0</v>
      </c>
      <c r="P8" s="452">
        <f>industrie!P18</f>
        <v>0</v>
      </c>
      <c r="Q8" s="450">
        <f t="shared" si="0"/>
        <v>184736.61251455499</v>
      </c>
    </row>
    <row r="9" spans="1:17" s="456" customFormat="1">
      <c r="A9" s="454" t="s">
        <v>560</v>
      </c>
      <c r="B9" s="455">
        <f>transport!B14</f>
        <v>81.131098445994269</v>
      </c>
      <c r="C9" s="455">
        <f>transport!C14</f>
        <v>0</v>
      </c>
      <c r="D9" s="455">
        <f>transport!D14</f>
        <v>219.14789151958308</v>
      </c>
      <c r="E9" s="455">
        <f>transport!E14</f>
        <v>405.36730397510325</v>
      </c>
      <c r="F9" s="455">
        <f>transport!F14</f>
        <v>0</v>
      </c>
      <c r="G9" s="455">
        <f>transport!G14</f>
        <v>181460.89359515964</v>
      </c>
      <c r="H9" s="455">
        <f>transport!H14</f>
        <v>37648.850821739165</v>
      </c>
      <c r="I9" s="455">
        <f>transport!I14</f>
        <v>0</v>
      </c>
      <c r="J9" s="455">
        <f>transport!J14</f>
        <v>0</v>
      </c>
      <c r="K9" s="455">
        <f>transport!K14</f>
        <v>0</v>
      </c>
      <c r="L9" s="455">
        <f>transport!L14</f>
        <v>0</v>
      </c>
      <c r="M9" s="455">
        <f>transport!M14</f>
        <v>11710.323294757485</v>
      </c>
      <c r="N9" s="455">
        <f>transport!N14</f>
        <v>0</v>
      </c>
      <c r="O9" s="455">
        <f>transport!O14</f>
        <v>0</v>
      </c>
      <c r="P9" s="455">
        <f>transport!P14</f>
        <v>0</v>
      </c>
      <c r="Q9" s="454">
        <f>SUM(B9:P9)</f>
        <v>231525.71400559696</v>
      </c>
    </row>
    <row r="10" spans="1:17">
      <c r="A10" s="450" t="s">
        <v>550</v>
      </c>
      <c r="B10" s="451">
        <f>transport!B54</f>
        <v>0</v>
      </c>
      <c r="C10" s="451">
        <f>transport!C54</f>
        <v>0</v>
      </c>
      <c r="D10" s="451">
        <f>transport!D54</f>
        <v>0</v>
      </c>
      <c r="E10" s="451">
        <f>transport!E54</f>
        <v>0</v>
      </c>
      <c r="F10" s="451">
        <f>transport!F54</f>
        <v>0</v>
      </c>
      <c r="G10" s="451">
        <f>transport!G54</f>
        <v>2200.8081176372684</v>
      </c>
      <c r="H10" s="451">
        <f>transport!H54</f>
        <v>0</v>
      </c>
      <c r="I10" s="451">
        <f>transport!I54</f>
        <v>0</v>
      </c>
      <c r="J10" s="451">
        <f>transport!J54</f>
        <v>0</v>
      </c>
      <c r="K10" s="451">
        <f>transport!K54</f>
        <v>0</v>
      </c>
      <c r="L10" s="451">
        <f>transport!L54</f>
        <v>0</v>
      </c>
      <c r="M10" s="451">
        <f>transport!M54</f>
        <v>124.98674334123022</v>
      </c>
      <c r="N10" s="451">
        <f>transport!N54</f>
        <v>0</v>
      </c>
      <c r="O10" s="451">
        <f>transport!O54</f>
        <v>0</v>
      </c>
      <c r="P10" s="452">
        <f>transport!P54</f>
        <v>0</v>
      </c>
      <c r="Q10" s="450">
        <f t="shared" si="0"/>
        <v>2325.7948609784985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3335.48165165411</v>
      </c>
      <c r="C14" s="458"/>
      <c r="D14" s="458">
        <f>'SEAP template'!E25</f>
        <v>4776.9411904805393</v>
      </c>
      <c r="E14" s="458"/>
      <c r="F14" s="458"/>
      <c r="G14" s="458"/>
      <c r="H14" s="458"/>
      <c r="I14" s="458"/>
      <c r="J14" s="458"/>
      <c r="K14" s="458"/>
      <c r="L14" s="458"/>
      <c r="M14" s="458"/>
      <c r="N14" s="458"/>
      <c r="O14" s="458"/>
      <c r="P14" s="459"/>
      <c r="Q14" s="450">
        <f t="shared" si="0"/>
        <v>8112.4228421346488</v>
      </c>
    </row>
    <row r="15" spans="1:17" s="460" customFormat="1">
      <c r="A15" s="1005" t="s">
        <v>554</v>
      </c>
      <c r="B15" s="953">
        <f ca="1">SUM(B4:B14)</f>
        <v>222080.26390704946</v>
      </c>
      <c r="C15" s="953">
        <f t="shared" ref="C15:Q15" ca="1" si="1">SUM(C4:C14)</f>
        <v>33306.428571428572</v>
      </c>
      <c r="D15" s="953">
        <f t="shared" ca="1" si="1"/>
        <v>265723.61032018048</v>
      </c>
      <c r="E15" s="953">
        <f t="shared" si="1"/>
        <v>29712.955059936921</v>
      </c>
      <c r="F15" s="953">
        <f t="shared" ca="1" si="1"/>
        <v>41888.757708783196</v>
      </c>
      <c r="G15" s="953">
        <f t="shared" si="1"/>
        <v>183661.7017127969</v>
      </c>
      <c r="H15" s="953">
        <f t="shared" si="1"/>
        <v>37648.850821739165</v>
      </c>
      <c r="I15" s="953">
        <f t="shared" si="1"/>
        <v>0</v>
      </c>
      <c r="J15" s="953">
        <f t="shared" si="1"/>
        <v>414.96850399506513</v>
      </c>
      <c r="K15" s="953">
        <f t="shared" si="1"/>
        <v>0</v>
      </c>
      <c r="L15" s="953">
        <f t="shared" ca="1" si="1"/>
        <v>0</v>
      </c>
      <c r="M15" s="953">
        <f t="shared" si="1"/>
        <v>11835.310038098716</v>
      </c>
      <c r="N15" s="953">
        <f t="shared" ca="1" si="1"/>
        <v>44224.194657717948</v>
      </c>
      <c r="O15" s="953">
        <f t="shared" si="1"/>
        <v>431.48</v>
      </c>
      <c r="P15" s="953">
        <f t="shared" si="1"/>
        <v>1506.2666666666669</v>
      </c>
      <c r="Q15" s="953">
        <f t="shared" ca="1" si="1"/>
        <v>872434.78796839307</v>
      </c>
    </row>
    <row r="17" spans="1:17">
      <c r="A17" s="461" t="s">
        <v>555</v>
      </c>
      <c r="B17" s="760">
        <f ca="1">huishoudens!B10</f>
        <v>0.21104688584172823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9085.8217767573678</v>
      </c>
      <c r="C22" s="451">
        <f t="shared" ref="C22:C32" ca="1" si="3">C4*$C$17</f>
        <v>0</v>
      </c>
      <c r="D22" s="451">
        <f t="shared" ref="D22:D32" si="4">D4*$D$17</f>
        <v>28018.459046609889</v>
      </c>
      <c r="E22" s="451">
        <f t="shared" ref="E22:E32" si="5">E4*$E$17</f>
        <v>4944.0992720230206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42048.380095390276</v>
      </c>
    </row>
    <row r="23" spans="1:17">
      <c r="A23" s="450" t="s">
        <v>155</v>
      </c>
      <c r="B23" s="451">
        <f t="shared" ca="1" si="2"/>
        <v>15561.516157966409</v>
      </c>
      <c r="C23" s="451">
        <f t="shared" ca="1" si="3"/>
        <v>0</v>
      </c>
      <c r="D23" s="451">
        <f t="shared" ca="1" si="4"/>
        <v>14494.73408094743</v>
      </c>
      <c r="E23" s="451">
        <f t="shared" si="5"/>
        <v>261.12218573095237</v>
      </c>
      <c r="F23" s="451">
        <f t="shared" ca="1" si="6"/>
        <v>3508.0748069039505</v>
      </c>
      <c r="G23" s="451">
        <f t="shared" si="7"/>
        <v>0</v>
      </c>
      <c r="H23" s="451">
        <f t="shared" si="8"/>
        <v>0</v>
      </c>
      <c r="I23" s="451">
        <f t="shared" si="9"/>
        <v>0</v>
      </c>
      <c r="J23" s="451">
        <f t="shared" si="10"/>
        <v>7.5503679330026371E-2</v>
      </c>
      <c r="K23" s="451">
        <f t="shared" si="11"/>
        <v>0</v>
      </c>
      <c r="L23" s="451">
        <f t="shared" ca="1" si="12"/>
        <v>0</v>
      </c>
      <c r="M23" s="451">
        <f t="shared" si="13"/>
        <v>0</v>
      </c>
      <c r="N23" s="451">
        <f t="shared" ca="1" si="14"/>
        <v>0</v>
      </c>
      <c r="O23" s="451">
        <f t="shared" si="15"/>
        <v>0</v>
      </c>
      <c r="P23" s="452">
        <f t="shared" si="16"/>
        <v>0</v>
      </c>
      <c r="Q23" s="450">
        <f t="shared" ref="Q23:Q32" ca="1" si="17">SUM(B23:P23)</f>
        <v>33825.522735228071</v>
      </c>
    </row>
    <row r="24" spans="1:17">
      <c r="A24" s="450" t="s">
        <v>193</v>
      </c>
      <c r="B24" s="451">
        <f t="shared" ca="1" si="2"/>
        <v>292.87799431111409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292.87799431111409</v>
      </c>
    </row>
    <row r="25" spans="1:17">
      <c r="A25" s="450" t="s">
        <v>111</v>
      </c>
      <c r="B25" s="451">
        <f t="shared" ca="1" si="2"/>
        <v>333.44732797491054</v>
      </c>
      <c r="C25" s="451">
        <f t="shared" ca="1" si="3"/>
        <v>7701.2924369747916</v>
      </c>
      <c r="D25" s="451">
        <f t="shared" si="4"/>
        <v>0</v>
      </c>
      <c r="E25" s="451">
        <f t="shared" si="5"/>
        <v>10.541899421274243</v>
      </c>
      <c r="F25" s="451">
        <f t="shared" si="6"/>
        <v>1757.4103797654725</v>
      </c>
      <c r="G25" s="451">
        <f t="shared" si="7"/>
        <v>0</v>
      </c>
      <c r="H25" s="451">
        <f t="shared" si="8"/>
        <v>0</v>
      </c>
      <c r="I25" s="451">
        <f t="shared" si="9"/>
        <v>0</v>
      </c>
      <c r="J25" s="451">
        <f t="shared" si="10"/>
        <v>81.031815730014102</v>
      </c>
      <c r="K25" s="451">
        <f t="shared" si="11"/>
        <v>0</v>
      </c>
      <c r="L25" s="451">
        <f t="shared" si="12"/>
        <v>0</v>
      </c>
      <c r="M25" s="451">
        <f t="shared" si="13"/>
        <v>0</v>
      </c>
      <c r="N25" s="451">
        <f t="shared" si="14"/>
        <v>0</v>
      </c>
      <c r="O25" s="451">
        <f t="shared" si="15"/>
        <v>0</v>
      </c>
      <c r="P25" s="452">
        <f t="shared" si="16"/>
        <v>0</v>
      </c>
      <c r="Q25" s="450">
        <f t="shared" ca="1" si="17"/>
        <v>9883.7238598664626</v>
      </c>
    </row>
    <row r="26" spans="1:17">
      <c r="A26" s="450" t="s">
        <v>634</v>
      </c>
      <c r="B26" s="451">
        <f t="shared" ca="1" si="2"/>
        <v>20874.619366446375</v>
      </c>
      <c r="C26" s="451">
        <f t="shared" ca="1" si="3"/>
        <v>213.88235294117658</v>
      </c>
      <c r="D26" s="451">
        <f t="shared" si="4"/>
        <v>10153.766162555119</v>
      </c>
      <c r="E26" s="451">
        <f t="shared" si="5"/>
        <v>1437.0590634280854</v>
      </c>
      <c r="F26" s="451">
        <f t="shared" si="6"/>
        <v>5918.8131215756912</v>
      </c>
      <c r="G26" s="451">
        <f t="shared" si="7"/>
        <v>0</v>
      </c>
      <c r="H26" s="451">
        <f t="shared" si="8"/>
        <v>0</v>
      </c>
      <c r="I26" s="451">
        <f t="shared" si="9"/>
        <v>0</v>
      </c>
      <c r="J26" s="451">
        <f t="shared" si="10"/>
        <v>65.791531004908919</v>
      </c>
      <c r="K26" s="451">
        <f t="shared" si="11"/>
        <v>0</v>
      </c>
      <c r="L26" s="451">
        <f t="shared" si="12"/>
        <v>0</v>
      </c>
      <c r="M26" s="451">
        <f t="shared" si="13"/>
        <v>0</v>
      </c>
      <c r="N26" s="451">
        <f t="shared" si="14"/>
        <v>0</v>
      </c>
      <c r="O26" s="451">
        <f t="shared" si="15"/>
        <v>0</v>
      </c>
      <c r="P26" s="452">
        <f t="shared" si="16"/>
        <v>0</v>
      </c>
      <c r="Q26" s="450">
        <f t="shared" ca="1" si="17"/>
        <v>38663.931597951356</v>
      </c>
    </row>
    <row r="27" spans="1:17" s="456" customFormat="1">
      <c r="A27" s="454" t="s">
        <v>560</v>
      </c>
      <c r="B27" s="754">
        <f t="shared" ca="1" si="2"/>
        <v>17.122465671945768</v>
      </c>
      <c r="C27" s="455">
        <f t="shared" ca="1" si="3"/>
        <v>0</v>
      </c>
      <c r="D27" s="455">
        <f t="shared" si="4"/>
        <v>44.267874086955786</v>
      </c>
      <c r="E27" s="455">
        <f t="shared" si="5"/>
        <v>92.018378002348442</v>
      </c>
      <c r="F27" s="455">
        <f t="shared" si="6"/>
        <v>0</v>
      </c>
      <c r="G27" s="455">
        <f t="shared" si="7"/>
        <v>48450.058589907625</v>
      </c>
      <c r="H27" s="455">
        <f t="shared" si="8"/>
        <v>9374.5638546130522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57978.031162281928</v>
      </c>
    </row>
    <row r="28" spans="1:17">
      <c r="A28" s="450" t="s">
        <v>550</v>
      </c>
      <c r="B28" s="451">
        <f t="shared" ca="1" si="2"/>
        <v>0</v>
      </c>
      <c r="C28" s="451">
        <f t="shared" ca="1" si="3"/>
        <v>0</v>
      </c>
      <c r="D28" s="451">
        <f t="shared" si="4"/>
        <v>0</v>
      </c>
      <c r="E28" s="451">
        <f t="shared" si="5"/>
        <v>0</v>
      </c>
      <c r="F28" s="451">
        <f t="shared" si="6"/>
        <v>0</v>
      </c>
      <c r="G28" s="451">
        <f t="shared" si="7"/>
        <v>587.61576740915075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587.61576740915075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703.94301536382409</v>
      </c>
      <c r="C32" s="451">
        <f t="shared" ca="1" si="3"/>
        <v>0</v>
      </c>
      <c r="D32" s="451">
        <f t="shared" si="4"/>
        <v>964.94212047706901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1668.8851358408931</v>
      </c>
    </row>
    <row r="33" spans="1:17" s="460" customFormat="1">
      <c r="A33" s="1005" t="s">
        <v>554</v>
      </c>
      <c r="B33" s="953">
        <f ca="1">SUM(B22:B32)</f>
        <v>46869.348104491946</v>
      </c>
      <c r="C33" s="953">
        <f t="shared" ref="C33:Q33" ca="1" si="18">SUM(C22:C32)</f>
        <v>7915.1747899159682</v>
      </c>
      <c r="D33" s="953">
        <f t="shared" ca="1" si="18"/>
        <v>53676.169284676456</v>
      </c>
      <c r="E33" s="953">
        <f t="shared" si="18"/>
        <v>6744.84079860568</v>
      </c>
      <c r="F33" s="953">
        <f t="shared" ca="1" si="18"/>
        <v>11184.298308245114</v>
      </c>
      <c r="G33" s="953">
        <f t="shared" si="18"/>
        <v>49037.674357316777</v>
      </c>
      <c r="H33" s="953">
        <f t="shared" si="18"/>
        <v>9374.5638546130522</v>
      </c>
      <c r="I33" s="953">
        <f t="shared" si="18"/>
        <v>0</v>
      </c>
      <c r="J33" s="953">
        <f t="shared" si="18"/>
        <v>146.89885041425305</v>
      </c>
      <c r="K33" s="953">
        <f t="shared" si="18"/>
        <v>0</v>
      </c>
      <c r="L33" s="953">
        <f t="shared" ca="1" si="18"/>
        <v>0</v>
      </c>
      <c r="M33" s="953">
        <f t="shared" si="18"/>
        <v>0</v>
      </c>
      <c r="N33" s="953">
        <f t="shared" ca="1" si="18"/>
        <v>0</v>
      </c>
      <c r="O33" s="953">
        <f t="shared" si="18"/>
        <v>0</v>
      </c>
      <c r="P33" s="953">
        <f t="shared" si="18"/>
        <v>0</v>
      </c>
      <c r="Q33" s="953">
        <f t="shared" ca="1" si="18"/>
        <v>184948.96834827925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10857.955076502996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23314.5</v>
      </c>
      <c r="D8" s="1022">
        <f>'SEAP template'!D76</f>
        <v>27428.823529411766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5540.6223529411773</v>
      </c>
    </row>
    <row r="9" spans="1:16">
      <c r="A9" s="1025" t="s">
        <v>840</v>
      </c>
      <c r="B9" s="1022">
        <f>'SEAP template'!B77</f>
        <v>900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2571.4285714285716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11757.955076502996</v>
      </c>
      <c r="C10" s="1026">
        <f>SUM(C4:C9)</f>
        <v>23314.5</v>
      </c>
      <c r="D10" s="1026">
        <f t="shared" ref="D10:H10" si="0">SUM(D8:D9)</f>
        <v>27428.823529411766</v>
      </c>
      <c r="E10" s="1026">
        <f t="shared" si="0"/>
        <v>0</v>
      </c>
      <c r="F10" s="1026">
        <f t="shared" si="0"/>
        <v>0</v>
      </c>
      <c r="G10" s="1026">
        <f t="shared" si="0"/>
        <v>0</v>
      </c>
      <c r="H10" s="1026">
        <f t="shared" si="0"/>
        <v>0</v>
      </c>
      <c r="I10" s="1026">
        <f>SUM(I8:I9)</f>
        <v>0</v>
      </c>
      <c r="J10" s="1026">
        <f>SUM(J8:J9)</f>
        <v>2571.4285714285716</v>
      </c>
      <c r="K10" s="1026">
        <f t="shared" ref="K10:L10" si="1">SUM(K8:K9)</f>
        <v>0</v>
      </c>
      <c r="L10" s="1026">
        <f t="shared" si="1"/>
        <v>0</v>
      </c>
      <c r="M10" s="1026">
        <f>SUM(M8:M9)</f>
        <v>0</v>
      </c>
      <c r="N10" s="1026">
        <f>SUM(N8:N9)</f>
        <v>0</v>
      </c>
      <c r="O10" s="1026">
        <f>SUM(O8:O9)</f>
        <v>0</v>
      </c>
      <c r="P10" s="1026">
        <f>SUM(P8:P9)</f>
        <v>5540.6223529411773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0.21104688584172823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33306.428571428572</v>
      </c>
      <c r="D17" s="1023">
        <f>'SEAP template'!D87</f>
        <v>39184.033613445383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7915.1747899159682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33306.428571428572</v>
      </c>
      <c r="D20" s="1026">
        <f t="shared" ref="D20:H20" si="2">SUM(D17:D19)</f>
        <v>39184.033613445383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7915.1747899159682</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0.21104688584172823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2020-06-20T15:40:19Z</dcterms:modified>
</cp:coreProperties>
</file>