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66" i="18"/>
  <c r="V66" i="18"/>
  <c r="U66" i="18"/>
  <c r="T66" i="18"/>
  <c r="S66" i="18"/>
  <c r="R66" i="18"/>
  <c r="Q66" i="18"/>
  <c r="P66" i="18"/>
  <c r="O66" i="18"/>
  <c r="N66" i="18"/>
  <c r="M66" i="18"/>
  <c r="W65" i="18"/>
  <c r="V65" i="18"/>
  <c r="U65" i="18"/>
  <c r="T65" i="18"/>
  <c r="S65" i="18"/>
  <c r="R65" i="18"/>
  <c r="Q65" i="18"/>
  <c r="P65" i="18"/>
  <c r="O65" i="18"/>
  <c r="N65" i="18"/>
  <c r="M65" i="18"/>
  <c r="W64" i="18"/>
  <c r="V64" i="18"/>
  <c r="U64" i="18"/>
  <c r="T64" i="18"/>
  <c r="S64" i="18"/>
  <c r="R64" i="18"/>
  <c r="Q64" i="18"/>
  <c r="P64" i="18"/>
  <c r="O64" i="18"/>
  <c r="N64" i="18"/>
  <c r="M64" i="18"/>
  <c r="W63" i="18"/>
  <c r="V63" i="18"/>
  <c r="J9" i="18" s="1"/>
  <c r="J77" i="14" s="1"/>
  <c r="J9" i="61" s="1"/>
  <c r="U63" i="18"/>
  <c r="T63" i="18"/>
  <c r="I9" i="18" s="1"/>
  <c r="S63" i="18"/>
  <c r="R63" i="18"/>
  <c r="Q63" i="18"/>
  <c r="P63" i="18"/>
  <c r="C9" i="18" s="1"/>
  <c r="O63" i="18"/>
  <c r="N63" i="18"/>
  <c r="B9" i="18" s="1"/>
  <c r="M63" i="18"/>
  <c r="W59" i="18"/>
  <c r="V59" i="18"/>
  <c r="U59" i="18"/>
  <c r="T59" i="18"/>
  <c r="S59" i="18"/>
  <c r="F6" i="17" s="1"/>
  <c r="R59" i="18"/>
  <c r="Q59" i="18"/>
  <c r="N6" i="17" s="1"/>
  <c r="P59" i="18"/>
  <c r="O59" i="18"/>
  <c r="N59" i="18"/>
  <c r="M59" i="18"/>
  <c r="W58" i="18"/>
  <c r="V58" i="18"/>
  <c r="U58" i="18"/>
  <c r="T58" i="18"/>
  <c r="S58" i="18"/>
  <c r="F13" i="15" s="1"/>
  <c r="R58" i="18"/>
  <c r="Q58" i="18"/>
  <c r="P58" i="18"/>
  <c r="O58" i="18"/>
  <c r="N58" i="18"/>
  <c r="M58" i="18"/>
  <c r="W57" i="18"/>
  <c r="V57" i="18"/>
  <c r="U57" i="18"/>
  <c r="T57" i="18"/>
  <c r="S57" i="18"/>
  <c r="R57" i="18"/>
  <c r="Q57" i="18"/>
  <c r="P57" i="18"/>
  <c r="O57" i="18"/>
  <c r="N57" i="18"/>
  <c r="M57" i="18"/>
  <c r="W56" i="18"/>
  <c r="V56" i="18"/>
  <c r="U56" i="18"/>
  <c r="T56" i="18"/>
  <c r="S56" i="18"/>
  <c r="R56" i="18"/>
  <c r="Q56" i="18"/>
  <c r="P56" i="18"/>
  <c r="O56" i="18"/>
  <c r="N56" i="18"/>
  <c r="C72" i="18" s="1"/>
  <c r="M56"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C13" i="15"/>
  <c r="D13" i="15"/>
  <c r="B72" i="18"/>
  <c r="G76"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75" i="18"/>
  <c r="H8" i="18" s="1"/>
  <c r="E75" i="18"/>
  <c r="E8" i="18" s="1"/>
  <c r="G75" i="18"/>
  <c r="F75" i="18"/>
  <c r="H75" i="18"/>
  <c r="D75" i="18"/>
  <c r="C75" i="18"/>
  <c r="B75" i="18"/>
  <c r="C8" i="18" s="1"/>
  <c r="C76" i="18"/>
  <c r="B76" i="18"/>
  <c r="C17" i="18" s="1"/>
  <c r="H76" i="18"/>
  <c r="D76"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76" i="18"/>
  <c r="E17" i="18" s="1"/>
  <c r="I76" i="18"/>
  <c r="H17" i="18" s="1"/>
  <c r="F76" i="18"/>
  <c r="O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46" i="14" l="1"/>
  <c r="Q61" i="14" s="1"/>
  <c r="Q63" i="14" s="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N52" i="14"/>
  <c r="N61" i="14" s="1"/>
  <c r="N63" i="14" s="1"/>
  <c r="I20" i="14"/>
  <c r="I22" i="14" s="1"/>
  <c r="I27" i="14" s="1"/>
  <c r="E5" i="48"/>
  <c r="E23" i="48" s="1"/>
  <c r="F10" i="14"/>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<sst xmlns="http://schemas.openxmlformats.org/spreadsheetml/2006/main" count="2650" uniqueCount="977">
  <si>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</si>
  <si>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</si>
  <si>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</si>
  <si>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</si>
  <si>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</si>
  <si>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</si>
  <si>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</si>
  <si>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</si>
  <si>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</si>
  <si>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</si>
  <si>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</si>
  <si>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</si>
  <si>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</si>
  <si>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</si>
  <si>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</si>
  <si>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</si>
  <si>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</si>
  <si>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</si>
  <si>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</si>
  <si>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</si>
  <si>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</si>
  <si>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</si>
  <si>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</si>
  <si>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</si>
  <si>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</si>
  <si>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</si>
  <si>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</si>
  <si>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</si>
  <si>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</si>
  <si>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</si>
  <si>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</si>
  <si>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</si>
  <si>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</si>
  <si>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</si>
  <si>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</si>
  <si>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</si>
  <si>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</si>
  <si>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</si>
  <si>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</si>
  <si>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</si>
  <si>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</si>
  <si>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</si>
  <si>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</si>
  <si>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</si>
  <si>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</si>
  <si>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</si>
  <si>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</si>
  <si>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</si>
  <si>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</si>
  <si>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</si>
  <si>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</si>
  <si>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</si>
  <si>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</si>
  <si>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</si>
  <si>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</si>
  <si>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</si>
  <si>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</si>
  <si>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</si>
  <si>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</si>
  <si>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</si>
  <si>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</si>
  <si>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</si>
  <si>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</si>
  <si>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</si>
  <si>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</si>
  <si>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</si>
  <si>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</si>
  <si>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</si>
  <si>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</si>
  <si>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</si>
  <si>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</si>
  <si>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</si>
  <si>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</si>
  <si>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</si>
  <si>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</si>
  <si>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</si>
  <si>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</si>
  <si>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</si>
  <si>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</si>
  <si>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</si>
  <si>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</si>
  <si>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</si>
  <si>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</si>
  <si>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</si>
  <si>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</si>
  <si>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</si>
  <si>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</si>
  <si>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</si>
  <si>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</si>
  <si>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</si>
  <si>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</si>
  <si>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</si>
  <si>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</si>
  <si>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</si>
  <si>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</si>
  <si>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</si>
  <si>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</si>
  <si>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</si>
  <si>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</si>
  <si>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</si>
  <si>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</si>
  <si>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</si>
  <si>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</si>
  <si>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</si>
  <si>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</si>
  <si>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</si>
  <si>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</si>
  <si>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</si>
  <si>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</si>
  <si>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</si>
  <si>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</si>
  <si>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</si>
  <si>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</si>
  <si>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</si>
  <si>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</si>
  <si>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</si>
  <si>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</si>
  <si>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</si>
  <si>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</si>
  <si>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</si>
  <si>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</si>
  <si>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</si>
  <si>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</si>
  <si>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</si>
  <si>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</si>
  <si>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</si>
  <si>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</si>
  <si>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</si>
  <si>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</si>
  <si>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</si>
  <si>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</si>
  <si>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</si>
  <si>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</si>
  <si>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</si>
  <si>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</si>
  <si>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</si>
  <si>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</si>
  <si>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</si>
  <si>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</si>
  <si>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</si>
  <si>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</si>
  <si>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</si>
  <si>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</si>
  <si>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</si>
  <si>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</si>
  <si>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</si>
  <si>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</si>
  <si>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</si>
  <si>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</si>
  <si>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</si>
  <si>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</si>
  <si>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</si>
  <si>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</si>
  <si>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</si>
  <si>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</si>
  <si>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</si>
  <si>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</si>
  <si>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</si>
  <si>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</si>
  <si>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</si>
  <si>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</si>
  <si>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</si>
  <si>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</si>
  <si>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</si>
  <si>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</si>
  <si>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</si>
  <si>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</si>
  <si>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</si>
  <si>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</si>
  <si>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</si>
  <si>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</si>
  <si>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</si>
  <si>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</si>
  <si>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</si>
  <si>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</si>
  <si>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</si>
  <si>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</si>
  <si>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</si>
  <si>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</si>
  <si>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</si>
  <si>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</si>
  <si>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</si>
  <si>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</si>
  <si>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</si>
  <si>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</si>
  <si>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</si>
  <si>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</si>
  <si>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</si>
  <si>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</si>
  <si>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</si>
  <si>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</si>
  <si>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</si>
  <si>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</si>
  <si>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</si>
  <si>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</si>
  <si>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</si>
  <si>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</si>
  <si>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</si>
  <si>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</si>
  <si>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</si>
  <si>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</si>
  <si>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</si>
  <si>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</si>
  <si>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</si>
  <si>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</si>
  <si>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</si>
  <si>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</si>
  <si>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</si>
  <si>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</si>
  <si>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</si>
  <si>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</si>
  <si>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</si>
  <si>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</si>
  <si>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</si>
  <si>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</si>
  <si>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</si>
  <si>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</si>
  <si>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</si>
  <si>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</si>
  <si>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</si>
  <si>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</si>
  <si>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</si>
  <si>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</si>
  <si>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</si>
  <si>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</si>
  <si>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</si>
  <si>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</si>
  <si>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</si>
  <si>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</si>
  <si>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</si>
  <si>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</si>
  <si>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</si>
  <si>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</si>
  <si>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</si>
  <si>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</si>
  <si>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</si>
  <si>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</si>
  <si>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</si>
  <si>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</si>
  <si>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</si>
  <si>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</si>
  <si>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</si>
  <si>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</si>
  <si>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</si>
  <si>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</si>
  <si>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</si>
  <si>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</si>
  <si>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</si>
  <si>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</si>
  <si>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</si>
  <si>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</si>
  <si>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</si>
  <si>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</si>
  <si>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</si>
  <si>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</si>
  <si>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</si>
  <si>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</si>
  <si>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</si>
  <si>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</si>
  <si>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</si>
  <si>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</si>
  <si>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</si>
  <si>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</si>
  <si>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</si>
  <si>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</si>
  <si>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</si>
  <si>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</si>
  <si>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</si>
  <si>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</si>
  <si>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</si>
  <si>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</si>
  <si>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</si>
  <si>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</si>
  <si>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</si>
  <si>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</si>
  <si>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</si>
  <si>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</si>
  <si>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</si>
  <si>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</si>
  <si>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</si>
  <si>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</si>
  <si>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</si>
  <si>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</si>
  <si>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</si>
  <si>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</si>
  <si>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</si>
  <si>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</si>
  <si>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</si>
  <si>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</si>
  <si>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</si>
  <si>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</si>
  <si>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</si>
  <si>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</si>
  <si>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</si>
  <si>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</si>
  <si>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</si>
  <si>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</si>
  <si>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</si>
  <si>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</si>
  <si>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</si>
  <si>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</si>
  <si>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</si>
  <si>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</si>
  <si>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</si>
  <si>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</si>
  <si>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</si>
  <si>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</si>
  <si>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</si>
  <si>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</si>
  <si>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</si>
  <si>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</si>
  <si>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</si>
  <si>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</si>
  <si>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</si>
  <si>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</si>
  <si>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</si>
  <si>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</si>
  <si>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</si>
  <si>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</si>
  <si>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</si>
  <si>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</si>
  <si>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</si>
  <si>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</si>
  <si>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</si>
  <si>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</si>
  <si>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</si>
  <si>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</si>
  <si>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</si>
  <si>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</si>
  <si>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</si>
  <si>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</si>
  <si>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</si>
  <si>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</si>
  <si>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</si>
  <si>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</si>
  <si>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</si>
  <si>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</si>
  <si>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</si>
  <si>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</si>
  <si>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</si>
  <si>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</si>
  <si>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</si>
  <si>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</si>
  <si>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</si>
  <si>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</si>
  <si>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</si>
  <si>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</si>
  <si>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</si>
  <si>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</si>
  <si>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</si>
  <si>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</si>
  <si>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</si>
  <si>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</si>
  <si>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</si>
  <si>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</si>
  <si>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</si>
  <si>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</si>
  <si>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</si>
  <si>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</si>
  <si>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</si>
  <si>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</si>
  <si>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</si>
  <si>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</si>
  <si>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</si>
  <si>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</si>
  <si>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</si>
  <si>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</si>
  <si>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</si>
  <si>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</si>
  <si>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</si>
  <si>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</si>
  <si>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</si>
  <si>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</si>
  <si>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</si>
  <si>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</si>
  <si>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</si>
  <si>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</si>
  <si>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</si>
  <si>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</si>
  <si>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</si>
  <si>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</si>
  <si>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</si>
  <si>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</si>
  <si>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</si>
  <si>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</si>
  <si>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</si>
  <si>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</si>
  <si>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</si>
  <si>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</si>
  <si>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</si>
  <si>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</si>
  <si>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</si>
  <si>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</si>
  <si>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</si>
  <si>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</si>
  <si>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</si>
  <si>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</si>
  <si>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</si>
  <si>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</si>
  <si>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</si>
  <si>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</si>
  <si>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</si>
  <si>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</si>
  <si>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</si>
  <si>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</si>
  <si>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</si>
  <si>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</si>
  <si>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</si>
  <si>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</si>
  <si>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</si>
  <si>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</si>
  <si>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</si>
  <si>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</si>
  <si>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</si>
  <si>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</si>
  <si>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</si>
  <si>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</si>
  <si>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</si>
  <si>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</si>
  <si>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</si>
  <si>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</si>
  <si>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</si>
  <si>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</si>
  <si>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</si>
  <si>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</si>
  <si>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</si>
  <si>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</si>
  <si>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</si>
  <si>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</si>
  <si>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</si>
  <si>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</si>
  <si>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</si>
  <si>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</si>
  <si>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</si>
  <si>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</si>
  <si>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</si>
  <si>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</si>
  <si>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</si>
  <si>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</si>
  <si>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</si>
  <si>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</si>
  <si>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</si>
  <si>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</si>
  <si>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</si>
  <si>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</si>
  <si>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</si>
  <si>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</si>
  <si>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</si>
  <si>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</si>
  <si>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</si>
  <si>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</si>
  <si>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</si>
  <si>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</si>
  <si>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</si>
  <si>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</si>
  <si>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</si>
  <si>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</si>
  <si>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</si>
  <si>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</si>
  <si>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</si>
  <si>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</si>
  <si>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</si>
  <si>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</si>
  <si>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</si>
  <si>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</si>
  <si>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</si>
  <si>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</si>
  <si>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</si>
  <si>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</si>
  <si>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</si>
  <si>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</si>
  <si>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</si>
  <si>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</si>
  <si>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</si>
  <si>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</si>
  <si>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</si>
  <si>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</si>
  <si>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</si>
  <si>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</si>
  <si>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</si>
  <si>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</si>
  <si>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</si>
  <si>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</si>
  <si>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</si>
  <si>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</si>
  <si>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</si>
  <si>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</si>
  <si>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</si>
  <si>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</si>
  <si>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</si>
  <si>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</si>
  <si>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</si>
  <si>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</si>
  <si>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</si>
  <si>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</si>
  <si>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</si>
  <si>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</si>
  <si>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</si>
  <si>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</si>
  <si>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</si>
  <si>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</si>
  <si>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</si>
  <si>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</si>
  <si>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</si>
  <si>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</si>
  <si>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</si>
  <si>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</si>
  <si>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</si>
  <si>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</si>
  <si>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</si>
  <si>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</si>
  <si>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</si>
  <si>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</si>
  <si>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</si>
  <si>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</si>
  <si>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</si>
  <si>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</si>
  <si>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</si>
  <si>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</si>
  <si>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</si>
  <si>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</si>
  <si>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</si>
  <si>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</si>
  <si>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</si>
  <si>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</si>
  <si>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</si>
  <si>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</si>
  <si>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</si>
  <si>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</si>
  <si>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</si>
  <si>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</si>
  <si>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</si>
  <si>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</si>
  <si>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</si>
  <si>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</si>
  <si>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</si>
  <si>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</si>
  <si>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</si>
  <si>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</si>
  <si>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</si>
  <si>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</si>
  <si>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</si>
  <si>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</si>
  <si>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</si>
  <si>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</si>
  <si>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</si>
  <si>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</si>
  <si>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</si>
  <si>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</si>
  <si>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</si>
  <si>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</si>
  <si>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</si>
  <si>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</si>
  <si>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</si>
  <si>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</si>
  <si>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</si>
  <si>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</si>
  <si>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</si>
  <si>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</si>
  <si>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</si>
  <si>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</si>
  <si>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</si>
  <si>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</si>
  <si>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</si>
  <si>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</si>
  <si>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</si>
  <si>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</si>
  <si>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</si>
  <si>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</si>
  <si>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</si>
  <si>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</si>
  <si>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</si>
  <si>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</si>
  <si>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</si>
  <si>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</si>
  <si>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</si>
  <si>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</si>
  <si>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</si>
  <si>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</si>
  <si>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</si>
  <si>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</si>
  <si>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</si>
  <si>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</si>
  <si>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</si>
  <si>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</si>
  <si>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</si>
  <si>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</si>
  <si>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</si>
  <si>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</si>
  <si>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</si>
  <si>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</si>
  <si>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</si>
  <si>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</si>
  <si>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</si>
  <si>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</si>
  <si>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</si>
  <si>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</si>
  <si>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</si>
  <si>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</si>
  <si>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</si>
  <si>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</si>
  <si>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</si>
  <si>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</si>
  <si>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</si>
  <si>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</si>
  <si>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</si>
  <si>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</si>
  <si>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</si>
  <si>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</si>
  <si>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</si>
  <si>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</si>
  <si>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</si>
  <si>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</si>
  <si>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</si>
  <si>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</si>
  <si>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</si>
  <si>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</si>
  <si>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</si>
  <si>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</si>
  <si>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</si>
  <si>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</si>
  <si>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</si>
  <si>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</si>
  <si>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</si>
  <si>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</si>
  <si>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</si>
  <si>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</si>
  <si>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</si>
  <si>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</si>
  <si>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</si>
  <si>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</si>
  <si>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</si>
  <si>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</si>
  <si>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</si>
  <si>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</si>
  <si>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</si>
  <si>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</si>
  <si>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</si>
  <si>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</si>
  <si>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</si>
  <si>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</si>
  <si>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</si>
  <si>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</si>
  <si>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</si>
  <si>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</si>
  <si>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</si>
  <si>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</si>
  <si>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</si>
  <si>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</si>
  <si>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</si>
  <si>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</si>
  <si>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</si>
  <si>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</si>
  <si>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</si>
  <si>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</si>
  <si>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</si>
  <si>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</si>
  <si>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</si>
  <si>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</si>
  <si>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</si>
  <si>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</si>
  <si>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</si>
  <si>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</si>
  <si>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</si>
  <si>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</si>
  <si>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</si>
  <si>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</si>
  <si>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</si>
  <si>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</si>
  <si>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</si>
  <si>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</si>
  <si>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</si>
  <si>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</si>
  <si>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</si>
  <si>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</si>
  <si>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</si>
  <si>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</si>
  <si>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</si>
  <si>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</si>
  <si>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</si>
  <si>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</si>
  <si>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</si>
  <si>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</si>
  <si>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</si>
  <si>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</si>
  <si>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</si>
  <si>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</si>
  <si>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</si>
  <si>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</si>
  <si>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</si>
  <si>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</si>
  <si>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</si>
  <si>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</si>
  <si>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</si>
  <si>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</si>
  <si>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</si>
  <si>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</si>
  <si>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</si>
  <si>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</si>
  <si>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</si>
  <si>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</si>
  <si>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</si>
  <si>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</si>
  <si>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</si>
  <si>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</si>
  <si>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</si>
  <si>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</si>
  <si>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</si>
  <si>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</si>
  <si>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</si>
  <si>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</si>
  <si>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</si>
  <si>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</si>
  <si>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</si>
  <si>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</si>
  <si>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</si>
  <si>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</si>
  <si>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</si>
  <si>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</si>
  <si>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</si>
  <si>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</si>
  <si>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</si>
  <si>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</si>
  <si>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</si>
  <si>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</si>
  <si>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</si>
  <si>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</si>
  <si>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</si>
  <si>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</si>
  <si>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</si>
  <si>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</si>
  <si>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</si>
  <si>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</si>
  <si>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</si>
  <si>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</si>
  <si>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</si>
  <si>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</si>
  <si>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</si>
  <si>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</si>
  <si>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</si>
  <si>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</si>
  <si>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</si>
  <si>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</si>
  <si>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</si>
  <si>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</si>
  <si>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</si>
  <si>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</si>
  <si>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</si>
  <si>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</si>
  <si>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</si>
  <si>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</si>
  <si>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</si>
  <si>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</si>
  <si>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</si>
  <si>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</si>
  <si>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</si>
  <si>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</si>
  <si>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</si>
  <si>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</si>
  <si>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</si>
  <si>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</si>
  <si>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</si>
  <si>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</si>
  <si>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</si>
  <si>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</si>
  <si>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</si>
  <si>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</si>
  <si>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</si>
  <si>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</si>
  <si>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</si>
  <si>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</si>
  <si>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</si>
  <si>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</si>
  <si>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</si>
  <si>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</si>
  <si>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</si>
  <si>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</si>
  <si>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</si>
  <si>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</si>
  <si>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</si>
  <si>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</si>
  <si>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</si>
  <si>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</si>
  <si>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</si>
  <si>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</si>
  <si>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</si>
  <si>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</si>
  <si>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</si>
  <si>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</si>
  <si>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</si>
  <si>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</si>
  <si>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</si>
  <si>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</si>
  <si>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</si>
  <si>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</si>
  <si>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</si>
  <si>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</si>
  <si>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</si>
  <si>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</si>
  <si>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</si>
  <si>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</si>
  <si>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</si>
  <si>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</si>
  <si>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</si>
  <si>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</si>
  <si>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</si>
  <si>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</si>
  <si>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</si>
  <si>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</si>
  <si>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</si>
  <si>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</si>
  <si>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</si>
  <si>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</si>
  <si>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</si>
  <si>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</si>
  <si>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</si>
  <si>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</si>
  <si>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</si>
  <si>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</si>
  <si>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</si>
  <si>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</si>
  <si>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</si>
  <si>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</si>
  <si>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</si>
  <si>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</si>
  <si>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</si>
  <si>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</si>
  <si>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</si>
  <si>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</si>
  <si>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</si>
  <si>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</si>
  <si>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</si>
  <si>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</si>
  <si>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</si>
  <si>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</si>
  <si>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</si>
  <si>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</si>
  <si>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</si>
  <si>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</si>
  <si>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</si>
  <si>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</si>
  <si>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</si>
  <si>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</si>
  <si>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</si>
  <si>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</si>
  <si>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</si>
  <si>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</si>
  <si>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</si>
  <si>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</si>
  <si>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</si>
  <si>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</si>
  <si>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</si>
  <si>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</si>
  <si>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</si>
  <si>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</si>
  <si>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</si>
  <si>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</si>
  <si>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</si>
  <si>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</si>
  <si>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</si>
  <si>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</si>
  <si>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</si>
  <si>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</si>
  <si>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</si>
  <si>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</si>
  <si>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</si>
  <si>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</si>
  <si>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</si>
  <si>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</si>
  <si>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</si>
  <si>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</si>
  <si>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</si>
  <si>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</si>
  <si>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</si>
  <si>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</si>
  <si>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</si>
  <si>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</si>
  <si>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</si>
  <si>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</si>
  <si>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</si>
  <si>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</si>
  <si>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</si>
  <si>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</si>
  <si>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12035</t>
  </si>
  <si>
    <t>SINT-KATELIJNE-WAVER</t>
  </si>
  <si>
    <t>Fluvius</t>
  </si>
  <si>
    <t>referentietaak LNE (2017); Jaarverslag De Lijn</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</si>
  <si>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</si>
  <si>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</si>
  <si>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</si>
  <si>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</si>
  <si>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</si>
  <si>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</si>
  <si>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</si>
  <si>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</si>
  <si>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</si>
  <si>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</si>
  <si>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</si>
  <si>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</si>
  <si>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</si>
  <si>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</si>
  <si>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</si>
  <si>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</si>
  <si>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</si>
  <si>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</si>
  <si>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</si>
  <si>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</si>
  <si>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</si>
  <si>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</si>
  <si>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</si>
  <si>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</si>
  <si>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</si>
  <si>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</si>
  <si>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</si>
  <si>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</si>
  <si>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</si>
  <si>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</si>
  <si>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</si>
  <si>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</si>
  <si>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</si>
  <si>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</si>
  <si>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</si>
  <si>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</si>
  <si>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</si>
  <si>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</si>
  <si>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</si>
  <si>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</si>
  <si>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</si>
  <si>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</si>
  <si>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</si>
  <si>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</si>
  <si>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</si>
  <si>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</si>
  <si>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</si>
  <si>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</si>
  <si>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</si>
  <si>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</si>
  <si>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</si>
  <si>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</si>
  <si>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</si>
  <si>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</si>
  <si>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</si>
  <si>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</si>
  <si>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</si>
  <si>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</si>
  <si>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</si>
  <si>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</si>
  <si>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</si>
  <si>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</si>
  <si>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</si>
  <si>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</si>
  <si>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</si>
  <si>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</si>
  <si>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</si>
  <si>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</si>
  <si>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</si>
  <si>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</si>
  <si>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</si>
  <si>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</si>
  <si>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</si>
  <si>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</si>
  <si>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</si>
  <si>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</si>
  <si>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</si>
  <si>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</si>
  <si>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</si>
  <si>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</si>
  <si>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</si>
  <si>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</si>
  <si>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</si>
  <si>
    <t>Den Boterhoek bvba</t>
  </si>
  <si>
    <t>Koelarenvelden 5 , 2861 Onze-Lieve-Vrouw-Waver</t>
  </si>
  <si>
    <t>WKK-0644 Den Boterhoek</t>
  </si>
  <si>
    <t>Boterhoek 21 , 2861 Onze-Lieve-Vrouw-Waver</t>
  </si>
  <si>
    <t>Huyze De Pauw vzw</t>
  </si>
  <si>
    <t>Leemstraat 11 a, 2861 Onze-Lieve-Vrouw-Waver</t>
  </si>
  <si>
    <t>WKK-0674 Huyze De Pauw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</si>
</sst>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164471.61380837063</c:v>
                </c:pt>
                <c:pt idx="1">
                  <c:v>119420.5984039074</c:v>
                </c:pt>
                <c:pt idx="2">
                  <c:v>1414.5239999999999</c:v>
                </c:pt>
                <c:pt idx="3">
                  <c:v>295411.25737137988</c:v>
                </c:pt>
                <c:pt idx="4">
                  <c:v>15777.014032010433</c:v>
                </c:pt>
                <c:pt idx="5">
                  <c:v>79835.232745189031</c:v>
                </c:pt>
                <c:pt idx="6">
                  <c:v>2451.0021590729775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164471.61380837063</c:v>
                </c:pt>
                <c:pt idx="1">
                  <c:v>119420.5984039074</c:v>
                </c:pt>
                <c:pt idx="2">
                  <c:v>1414.5239999999999</c:v>
                </c:pt>
                <c:pt idx="3">
                  <c:v>295411.25737137988</c:v>
                </c:pt>
                <c:pt idx="4">
                  <c:v>15777.014032010433</c:v>
                </c:pt>
                <c:pt idx="5">
                  <c:v>79835.232745189031</c:v>
                </c:pt>
                <c:pt idx="6">
                  <c:v>2451.0021590729775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32734.708704242159</c:v>
                </c:pt>
                <c:pt idx="2">
                  <c:v>25022.585031121216</c:v>
                </c:pt>
                <c:pt idx="3">
                  <c:v>298.31983577928725</c:v>
                </c:pt>
                <c:pt idx="4">
                  <c:v>65949.35241337723</c:v>
                </c:pt>
                <c:pt idx="5">
                  <c:v>3305.2208402784536</c:v>
                </c:pt>
                <c:pt idx="6">
                  <c:v>19975.584713788525</c:v>
                </c:pt>
                <c:pt idx="7">
                  <c:v>619.24959023222618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32734.708704242159</c:v>
                </c:pt>
                <c:pt idx="2">
                  <c:v>25022.585031121216</c:v>
                </c:pt>
                <c:pt idx="3">
                  <c:v>298.31983577928725</c:v>
                </c:pt>
                <c:pt idx="4">
                  <c:v>65949.35241337723</c:v>
                </c:pt>
                <c:pt idx="5">
                  <c:v>3305.2208402784536</c:v>
                </c:pt>
                <c:pt idx="6">
                  <c:v>19975.584713788525</c:v>
                </c:pt>
                <c:pt idx="7">
                  <c:v>619.24959023222618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12035</v>
      </c>
      <c r="B6" s="390"/>
      <c r="C6" s="391"/>
    </row>
    <row r="7" spans="1:7" s="388" customFormat="1" ht="15.75" customHeight="1">
      <c r="A7" s="392" t="str">
        <f>txtMunicipality</f>
        <v>SINT-KATELIJNE-WAVER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0.21089768415331747</v>
      </c>
      <c r="C17" s="498">
        <f ca="1">'EF ele_warmte'!B22</f>
        <v>0.2227796130178574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0.21089768415331747</v>
      </c>
      <c r="C29" s="499">
        <f ca="1">'EF ele_warmte'!B22</f>
        <v>0.2227796130178574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8049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1232.1500000000001</v>
      </c>
      <c r="C14" s="330"/>
      <c r="D14" s="330"/>
      <c r="E14" s="330"/>
      <c r="F14" s="330"/>
    </row>
    <row r="15" spans="1:6">
      <c r="A15" s="1293" t="s">
        <v>183</v>
      </c>
      <c r="B15" s="1294">
        <v>4</v>
      </c>
      <c r="C15" s="330"/>
      <c r="D15" s="330"/>
      <c r="E15" s="330"/>
      <c r="F15" s="330"/>
    </row>
    <row r="16" spans="1:6">
      <c r="A16" s="1293" t="s">
        <v>6</v>
      </c>
      <c r="B16" s="1294">
        <v>375</v>
      </c>
      <c r="C16" s="330"/>
      <c r="D16" s="330"/>
      <c r="E16" s="330"/>
      <c r="F16" s="330"/>
    </row>
    <row r="17" spans="1:6">
      <c r="A17" s="1293" t="s">
        <v>7</v>
      </c>
      <c r="B17" s="1294">
        <v>214</v>
      </c>
      <c r="C17" s="330"/>
      <c r="D17" s="330"/>
      <c r="E17" s="330"/>
      <c r="F17" s="330"/>
    </row>
    <row r="18" spans="1:6">
      <c r="A18" s="1293" t="s">
        <v>8</v>
      </c>
      <c r="B18" s="1294">
        <v>332</v>
      </c>
      <c r="C18" s="330"/>
      <c r="D18" s="330"/>
      <c r="E18" s="330"/>
      <c r="F18" s="330"/>
    </row>
    <row r="19" spans="1:6">
      <c r="A19" s="1293" t="s">
        <v>9</v>
      </c>
      <c r="B19" s="1294">
        <v>311</v>
      </c>
      <c r="C19" s="330"/>
      <c r="D19" s="330"/>
      <c r="E19" s="330"/>
      <c r="F19" s="330"/>
    </row>
    <row r="20" spans="1:6">
      <c r="A20" s="1293" t="s">
        <v>10</v>
      </c>
      <c r="B20" s="1294">
        <v>232</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102</v>
      </c>
      <c r="C26" s="330"/>
      <c r="D26" s="330"/>
      <c r="E26" s="330"/>
      <c r="F26" s="330"/>
    </row>
    <row r="27" spans="1:6">
      <c r="A27" s="1293" t="s">
        <v>17</v>
      </c>
      <c r="B27" s="1294">
        <v>0</v>
      </c>
      <c r="C27" s="330"/>
      <c r="D27" s="330"/>
      <c r="E27" s="330"/>
      <c r="F27" s="330"/>
    </row>
    <row r="28" spans="1:6" s="43" customFormat="1">
      <c r="A28" s="1295" t="s">
        <v>18</v>
      </c>
      <c r="B28" s="1296">
        <v>15887</v>
      </c>
      <c r="C28" s="336"/>
      <c r="D28" s="336"/>
      <c r="E28" s="336"/>
      <c r="F28" s="336"/>
    </row>
    <row r="29" spans="1:6">
      <c r="A29" s="1295" t="s">
        <v>734</v>
      </c>
      <c r="B29" s="1296">
        <v>474</v>
      </c>
      <c r="C29" s="336"/>
      <c r="D29" s="336"/>
      <c r="E29" s="336"/>
      <c r="F29" s="336"/>
    </row>
    <row r="30" spans="1:6">
      <c r="A30" s="1288" t="s">
        <v>735</v>
      </c>
      <c r="B30" s="1297">
        <v>94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26849715.493166201</v>
      </c>
      <c r="E38" s="1294">
        <v>5</v>
      </c>
      <c r="F38" s="1294">
        <v>576817.22953683103</v>
      </c>
    </row>
    <row r="39" spans="1:6">
      <c r="A39" s="1293" t="s">
        <v>29</v>
      </c>
      <c r="B39" s="1293" t="s">
        <v>30</v>
      </c>
      <c r="C39" s="1294">
        <v>5266</v>
      </c>
      <c r="D39" s="1294">
        <v>93077314.512407199</v>
      </c>
      <c r="E39" s="1294">
        <v>7730</v>
      </c>
      <c r="F39" s="1294">
        <v>29876869.744992301</v>
      </c>
    </row>
    <row r="40" spans="1:6">
      <c r="A40" s="1293" t="s">
        <v>29</v>
      </c>
      <c r="B40" s="1293" t="s">
        <v>28</v>
      </c>
      <c r="C40" s="1294">
        <v>0</v>
      </c>
      <c r="D40" s="1294">
        <v>0</v>
      </c>
      <c r="E40" s="1294">
        <v>0</v>
      </c>
      <c r="F40" s="1294">
        <v>0</v>
      </c>
    </row>
    <row r="41" spans="1:6">
      <c r="A41" s="1293" t="s">
        <v>31</v>
      </c>
      <c r="B41" s="1293" t="s">
        <v>32</v>
      </c>
      <c r="C41" s="1294">
        <v>55</v>
      </c>
      <c r="D41" s="1294">
        <v>1930644.4850777001</v>
      </c>
      <c r="E41" s="1294">
        <v>147</v>
      </c>
      <c r="F41" s="1294">
        <v>1598396.7415012401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702320.65566437005</v>
      </c>
      <c r="E44" s="1294">
        <v>11</v>
      </c>
      <c r="F44" s="1294">
        <v>924476.65510947199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38</v>
      </c>
      <c r="D48" s="1294">
        <v>5450808.2046497203</v>
      </c>
      <c r="E48" s="1294">
        <v>54</v>
      </c>
      <c r="F48" s="1294">
        <v>2432463.4997224701</v>
      </c>
    </row>
    <row r="49" spans="1:6">
      <c r="A49" s="1293" t="s">
        <v>31</v>
      </c>
      <c r="B49" s="1293" t="s">
        <v>39</v>
      </c>
      <c r="C49" s="1294">
        <v>0</v>
      </c>
      <c r="D49" s="1294">
        <v>0</v>
      </c>
      <c r="E49" s="1294">
        <v>0</v>
      </c>
      <c r="F49" s="1294">
        <v>0</v>
      </c>
    </row>
    <row r="50" spans="1:6">
      <c r="A50" s="1293" t="s">
        <v>31</v>
      </c>
      <c r="B50" s="1293" t="s">
        <v>40</v>
      </c>
      <c r="C50" s="1294">
        <v>3</v>
      </c>
      <c r="D50" s="1294">
        <v>300833.97622403997</v>
      </c>
      <c r="E50" s="1294">
        <v>11</v>
      </c>
      <c r="F50" s="1294">
        <v>421054.362248044</v>
      </c>
    </row>
    <row r="51" spans="1:6">
      <c r="A51" s="1293" t="s">
        <v>41</v>
      </c>
      <c r="B51" s="1293" t="s">
        <v>42</v>
      </c>
      <c r="C51" s="1294">
        <v>49</v>
      </c>
      <c r="D51" s="1294">
        <v>509506650.388879</v>
      </c>
      <c r="E51" s="1294">
        <v>157</v>
      </c>
      <c r="F51" s="1294">
        <v>6055748.4094260698</v>
      </c>
    </row>
    <row r="52" spans="1:6">
      <c r="A52" s="1293" t="s">
        <v>41</v>
      </c>
      <c r="B52" s="1293" t="s">
        <v>28</v>
      </c>
      <c r="C52" s="1294">
        <v>12</v>
      </c>
      <c r="D52" s="1294">
        <v>8879836.3504439704</v>
      </c>
      <c r="E52" s="1294">
        <v>18</v>
      </c>
      <c r="F52" s="1294">
        <v>774244.19781141996</v>
      </c>
    </row>
    <row r="53" spans="1:6">
      <c r="A53" s="1293" t="s">
        <v>43</v>
      </c>
      <c r="B53" s="1293" t="s">
        <v>44</v>
      </c>
      <c r="C53" s="1294">
        <v>111</v>
      </c>
      <c r="D53" s="1294">
        <v>2554185.9767528102</v>
      </c>
      <c r="E53" s="1294">
        <v>276</v>
      </c>
      <c r="F53" s="1294">
        <v>1407965.6049514201</v>
      </c>
    </row>
    <row r="54" spans="1:6">
      <c r="A54" s="1293" t="s">
        <v>45</v>
      </c>
      <c r="B54" s="1293" t="s">
        <v>46</v>
      </c>
      <c r="C54" s="1294">
        <v>0</v>
      </c>
      <c r="D54" s="1294">
        <v>0</v>
      </c>
      <c r="E54" s="1294">
        <v>1</v>
      </c>
      <c r="F54" s="1294">
        <v>1414524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22</v>
      </c>
      <c r="D57" s="1294">
        <v>1483676.12783569</v>
      </c>
      <c r="E57" s="1294">
        <v>62</v>
      </c>
      <c r="F57" s="1294">
        <v>924397.40472704102</v>
      </c>
    </row>
    <row r="58" spans="1:6">
      <c r="A58" s="1293" t="s">
        <v>48</v>
      </c>
      <c r="B58" s="1293" t="s">
        <v>50</v>
      </c>
      <c r="C58" s="1294">
        <v>30</v>
      </c>
      <c r="D58" s="1294">
        <v>7930519.8522186996</v>
      </c>
      <c r="E58" s="1294">
        <v>49</v>
      </c>
      <c r="F58" s="1294">
        <v>1793406.73579018</v>
      </c>
    </row>
    <row r="59" spans="1:6">
      <c r="A59" s="1293" t="s">
        <v>48</v>
      </c>
      <c r="B59" s="1293" t="s">
        <v>51</v>
      </c>
      <c r="C59" s="1294">
        <v>102</v>
      </c>
      <c r="D59" s="1294">
        <v>8910810.7926147003</v>
      </c>
      <c r="E59" s="1294">
        <v>211</v>
      </c>
      <c r="F59" s="1294">
        <v>30779912.841273401</v>
      </c>
    </row>
    <row r="60" spans="1:6">
      <c r="A60" s="1293" t="s">
        <v>48</v>
      </c>
      <c r="B60" s="1293" t="s">
        <v>52</v>
      </c>
      <c r="C60" s="1294">
        <v>69</v>
      </c>
      <c r="D60" s="1294">
        <v>4844778.3918436896</v>
      </c>
      <c r="E60" s="1294">
        <v>128</v>
      </c>
      <c r="F60" s="1294">
        <v>2422886.1793996398</v>
      </c>
    </row>
    <row r="61" spans="1:6">
      <c r="A61" s="1293" t="s">
        <v>48</v>
      </c>
      <c r="B61" s="1293" t="s">
        <v>53</v>
      </c>
      <c r="C61" s="1294">
        <v>114</v>
      </c>
      <c r="D61" s="1294">
        <v>6000079.4887844101</v>
      </c>
      <c r="E61" s="1294">
        <v>236</v>
      </c>
      <c r="F61" s="1294">
        <v>3415067.7563753598</v>
      </c>
    </row>
    <row r="62" spans="1:6">
      <c r="A62" s="1293" t="s">
        <v>48</v>
      </c>
      <c r="B62" s="1293" t="s">
        <v>54</v>
      </c>
      <c r="C62" s="1294">
        <v>6</v>
      </c>
      <c r="D62" s="1294">
        <v>2174271.4896505601</v>
      </c>
      <c r="E62" s="1294">
        <v>8</v>
      </c>
      <c r="F62" s="1294">
        <v>473647.775598204</v>
      </c>
    </row>
    <row r="63" spans="1:6">
      <c r="A63" s="1293" t="s">
        <v>48</v>
      </c>
      <c r="B63" s="1293" t="s">
        <v>28</v>
      </c>
      <c r="C63" s="1294">
        <v>151</v>
      </c>
      <c r="D63" s="1294">
        <v>28019894.584259901</v>
      </c>
      <c r="E63" s="1294">
        <v>184</v>
      </c>
      <c r="F63" s="1294">
        <v>14859658.124251099</v>
      </c>
    </row>
    <row r="64" spans="1:6">
      <c r="A64" s="1293" t="s">
        <v>55</v>
      </c>
      <c r="B64" s="1293" t="s">
        <v>56</v>
      </c>
      <c r="C64" s="1294">
        <v>0</v>
      </c>
      <c r="D64" s="1294">
        <v>0</v>
      </c>
      <c r="E64" s="1294">
        <v>0</v>
      </c>
      <c r="F64" s="1294">
        <v>0</v>
      </c>
    </row>
    <row r="65" spans="1:6">
      <c r="A65" s="1293" t="s">
        <v>55</v>
      </c>
      <c r="B65" s="1293" t="s">
        <v>28</v>
      </c>
      <c r="C65" s="1294">
        <v>3</v>
      </c>
      <c r="D65" s="1294">
        <v>123756.243701639</v>
      </c>
      <c r="E65" s="1294">
        <v>8</v>
      </c>
      <c r="F65" s="1294">
        <v>87160.748487454097</v>
      </c>
    </row>
    <row r="66" spans="1:6">
      <c r="A66" s="1293" t="s">
        <v>55</v>
      </c>
      <c r="B66" s="1293" t="s">
        <v>57</v>
      </c>
      <c r="C66" s="1294">
        <v>0</v>
      </c>
      <c r="D66" s="1294">
        <v>0</v>
      </c>
      <c r="E66" s="1294">
        <v>11</v>
      </c>
      <c r="F66" s="1294">
        <v>221835.488564245</v>
      </c>
    </row>
    <row r="67" spans="1:6">
      <c r="A67" s="1295" t="s">
        <v>55</v>
      </c>
      <c r="B67" s="1295" t="s">
        <v>58</v>
      </c>
      <c r="C67" s="1294">
        <v>0</v>
      </c>
      <c r="D67" s="1294">
        <v>0</v>
      </c>
      <c r="E67" s="1294">
        <v>0</v>
      </c>
      <c r="F67" s="1294">
        <v>0</v>
      </c>
    </row>
    <row r="68" spans="1:6">
      <c r="A68" s="1288" t="s">
        <v>55</v>
      </c>
      <c r="B68" s="1288" t="s">
        <v>59</v>
      </c>
      <c r="C68" s="1297">
        <v>6</v>
      </c>
      <c r="D68" s="1297">
        <v>280165.86757969402</v>
      </c>
      <c r="E68" s="1297">
        <v>12</v>
      </c>
      <c r="F68" s="1297">
        <v>205815.24206283101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73867462</v>
      </c>
      <c r="E73" s="449"/>
      <c r="F73" s="330"/>
    </row>
    <row r="74" spans="1:6">
      <c r="A74" s="1293" t="s">
        <v>63</v>
      </c>
      <c r="B74" s="1293" t="s">
        <v>656</v>
      </c>
      <c r="C74" s="1307" t="s">
        <v>658</v>
      </c>
      <c r="D74" s="1308">
        <v>5971105</v>
      </c>
      <c r="E74" s="449"/>
      <c r="F74" s="330"/>
    </row>
    <row r="75" spans="1:6">
      <c r="A75" s="1293" t="s">
        <v>64</v>
      </c>
      <c r="B75" s="1293" t="s">
        <v>655</v>
      </c>
      <c r="C75" s="1307" t="s">
        <v>659</v>
      </c>
      <c r="D75" s="1308">
        <v>17428757</v>
      </c>
      <c r="E75" s="449"/>
      <c r="F75" s="330"/>
    </row>
    <row r="76" spans="1:6">
      <c r="A76" s="1293" t="s">
        <v>64</v>
      </c>
      <c r="B76" s="1293" t="s">
        <v>656</v>
      </c>
      <c r="C76" s="1307" t="s">
        <v>660</v>
      </c>
      <c r="D76" s="1308">
        <v>553243</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668466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4969.7611611228767</v>
      </c>
      <c r="C91" s="330"/>
      <c r="D91" s="330"/>
      <c r="E91" s="330"/>
      <c r="F91" s="330"/>
    </row>
    <row r="92" spans="1:6">
      <c r="A92" s="1288" t="s">
        <v>68</v>
      </c>
      <c r="B92" s="1289">
        <v>4998.2387042704268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3367</v>
      </c>
      <c r="C97" s="330"/>
      <c r="D97" s="330"/>
      <c r="E97" s="330"/>
      <c r="F97" s="330"/>
    </row>
    <row r="98" spans="1:6">
      <c r="A98" s="1293" t="s">
        <v>71</v>
      </c>
      <c r="B98" s="1294">
        <v>10</v>
      </c>
      <c r="C98" s="330"/>
      <c r="D98" s="330"/>
      <c r="E98" s="330"/>
      <c r="F98" s="330"/>
    </row>
    <row r="99" spans="1:6">
      <c r="A99" s="1293" t="s">
        <v>72</v>
      </c>
      <c r="B99" s="1294">
        <v>75</v>
      </c>
      <c r="C99" s="330"/>
      <c r="D99" s="330"/>
      <c r="E99" s="330"/>
      <c r="F99" s="330"/>
    </row>
    <row r="100" spans="1:6">
      <c r="A100" s="1293" t="s">
        <v>73</v>
      </c>
      <c r="B100" s="1294">
        <v>535</v>
      </c>
      <c r="C100" s="330"/>
      <c r="D100" s="330"/>
      <c r="E100" s="330"/>
      <c r="F100" s="330"/>
    </row>
    <row r="101" spans="1:6">
      <c r="A101" s="1293" t="s">
        <v>74</v>
      </c>
      <c r="B101" s="1294">
        <v>63</v>
      </c>
      <c r="C101" s="330"/>
      <c r="D101" s="330"/>
      <c r="E101" s="330"/>
      <c r="F101" s="330"/>
    </row>
    <row r="102" spans="1:6">
      <c r="A102" s="1293" t="s">
        <v>75</v>
      </c>
      <c r="B102" s="1294">
        <v>94</v>
      </c>
      <c r="C102" s="330"/>
      <c r="D102" s="330"/>
      <c r="E102" s="330"/>
      <c r="F102" s="330"/>
    </row>
    <row r="103" spans="1:6">
      <c r="A103" s="1293" t="s">
        <v>76</v>
      </c>
      <c r="B103" s="1294">
        <v>187</v>
      </c>
      <c r="C103" s="330"/>
      <c r="D103" s="330"/>
      <c r="E103" s="330"/>
      <c r="F103" s="330"/>
    </row>
    <row r="104" spans="1:6">
      <c r="A104" s="1293" t="s">
        <v>77</v>
      </c>
      <c r="B104" s="1294">
        <v>2851</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3</v>
      </c>
      <c r="C122" s="1294">
        <v>0</v>
      </c>
      <c r="D122" s="330"/>
      <c r="E122" s="330"/>
      <c r="F122" s="330"/>
    </row>
    <row r="123" spans="1:6">
      <c r="A123" s="1293" t="s">
        <v>87</v>
      </c>
      <c r="B123" s="1294">
        <v>43</v>
      </c>
      <c r="C123" s="1294">
        <v>28</v>
      </c>
      <c r="D123" s="330"/>
      <c r="E123" s="330"/>
      <c r="F123" s="330"/>
    </row>
    <row r="124" spans="1:6" s="43" customFormat="1">
      <c r="A124" s="1295" t="s">
        <v>88</v>
      </c>
      <c r="B124" s="1316">
        <v>3</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210</v>
      </c>
      <c r="C129" s="330"/>
      <c r="D129" s="330"/>
      <c r="E129" s="330"/>
      <c r="F129" s="330"/>
    </row>
    <row r="130" spans="1:6">
      <c r="A130" s="1293" t="s">
        <v>294</v>
      </c>
      <c r="B130" s="1294">
        <v>4</v>
      </c>
      <c r="C130" s="330"/>
      <c r="D130" s="330"/>
      <c r="E130" s="330"/>
      <c r="F130" s="330"/>
    </row>
    <row r="131" spans="1:6">
      <c r="A131" s="1293" t="s">
        <v>295</v>
      </c>
      <c r="B131" s="1294">
        <v>2</v>
      </c>
      <c r="C131" s="330"/>
      <c r="D131" s="330"/>
      <c r="E131" s="330"/>
      <c r="F131" s="330"/>
    </row>
    <row r="132" spans="1:6">
      <c r="A132" s="1288" t="s">
        <v>296</v>
      </c>
      <c r="B132" s="1289">
        <v>50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110290.01391884567</v>
      </c>
      <c r="C3" s="43" t="s">
        <v>169</v>
      </c>
      <c r="D3" s="43"/>
      <c r="E3" s="154"/>
      <c r="F3" s="43"/>
      <c r="G3" s="43"/>
      <c r="H3" s="43"/>
      <c r="I3" s="43"/>
      <c r="J3" s="43"/>
      <c r="K3" s="96"/>
    </row>
    <row r="4" spans="1:11">
      <c r="A4" s="358" t="s">
        <v>170</v>
      </c>
      <c r="B4" s="49">
        <f>IF(ISERROR('SEAP template'!B78+'SEAP template'!C78),0,'SEAP template'!B78+'SEAP template'!C78)</f>
        <v>186894.4998653933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39415.617202603949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0.21089768415331747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55051.738511681775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247112.99999999991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0.2227796130178574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1414.5239999999999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1414.5239999999999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0.21089768415331747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298.31983577928725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29876.869744992302</v>
      </c>
      <c r="C5" s="17">
        <f>IF(ISERROR('Eigen informatie GS &amp; warmtenet'!B57),0,'Eigen informatie GS &amp; warmtenet'!B57)</f>
        <v>0</v>
      </c>
      <c r="D5" s="30">
        <f>(SUM(HH_hh_gas_kWh,HH_rest_gas_kWh)/1000)*0.902</f>
        <v>83955.737690191294</v>
      </c>
      <c r="E5" s="17">
        <f>B46*B57</f>
        <v>9104.7122619649763</v>
      </c>
      <c r="F5" s="17">
        <f>B51*B62</f>
        <v>23819.499058847778</v>
      </c>
      <c r="G5" s="18"/>
      <c r="H5" s="17"/>
      <c r="I5" s="17"/>
      <c r="J5" s="17">
        <f>B50*B61+C50*C61</f>
        <v>0</v>
      </c>
      <c r="K5" s="17"/>
      <c r="L5" s="17"/>
      <c r="M5" s="17"/>
      <c r="N5" s="17">
        <f>B48*B59+C48*C59</f>
        <v>10540.997224584746</v>
      </c>
      <c r="O5" s="17">
        <f>B69*B70*B71</f>
        <v>373.63666666666671</v>
      </c>
      <c r="P5" s="17">
        <f>B77*B78*B79/1000-B77*B78*B79/1000/B80</f>
        <v>1830.4</v>
      </c>
    </row>
    <row r="6" spans="1:16">
      <c r="A6" s="16" t="s">
        <v>620</v>
      </c>
      <c r="B6" s="762">
        <f>kWh_PV_kleiner_dan_10kW</f>
        <v>4969.7611611228767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34846.630906115177</v>
      </c>
      <c r="C8" s="21">
        <f>C5</f>
        <v>0</v>
      </c>
      <c r="D8" s="21">
        <f>D5</f>
        <v>83955.737690191294</v>
      </c>
      <c r="E8" s="21">
        <f>E5</f>
        <v>9104.7122619649763</v>
      </c>
      <c r="F8" s="21">
        <f>F5</f>
        <v>23819.499058847778</v>
      </c>
      <c r="G8" s="21"/>
      <c r="H8" s="21"/>
      <c r="I8" s="21"/>
      <c r="J8" s="21">
        <f>J5</f>
        <v>0</v>
      </c>
      <c r="K8" s="21"/>
      <c r="L8" s="21">
        <f>L5</f>
        <v>0</v>
      </c>
      <c r="M8" s="21">
        <f>M5</f>
        <v>0</v>
      </c>
      <c r="N8" s="21">
        <f>N5</f>
        <v>10540.997224584746</v>
      </c>
      <c r="O8" s="21">
        <f>O5</f>
        <v>373.63666666666671</v>
      </c>
      <c r="P8" s="21">
        <f>P5</f>
        <v>1830.4</v>
      </c>
    </row>
    <row r="9" spans="1:16">
      <c r="B9" s="19"/>
      <c r="C9" s="19"/>
      <c r="D9" s="258"/>
      <c r="E9" s="19"/>
      <c r="F9" s="19"/>
      <c r="G9" s="19"/>
      <c r="H9" s="19"/>
      <c r="I9" s="19"/>
      <c r="J9" s="19"/>
      <c r="K9" s="19"/>
      <c r="L9" s="19"/>
      <c r="M9" s="19"/>
      <c r="N9" s="19"/>
      <c r="O9" s="19"/>
      <c r="P9" s="19"/>
    </row>
    <row r="10" spans="1:16">
      <c r="A10" s="24" t="s">
        <v>213</v>
      </c>
      <c r="B10" s="25">
        <f ca="1">'EF ele_warmte'!B12</f>
        <v>0.21089768415331747</v>
      </c>
      <c r="C10" s="25">
        <f ca="1">'EF ele_warmte'!B22</f>
        <v>0.2227796130178574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7349.0737586451096</v>
      </c>
      <c r="C12" s="23">
        <f ca="1">C10*C8</f>
        <v>0</v>
      </c>
      <c r="D12" s="23">
        <f>D8*D10</f>
        <v>16959.059013418642</v>
      </c>
      <c r="E12" s="23">
        <f>E10*E8</f>
        <v>2066.7696834660496</v>
      </c>
      <c r="F12" s="23">
        <f>F10*F8</f>
        <v>6359.806248712357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3367</v>
      </c>
      <c r="C18" s="166" t="s">
        <v>110</v>
      </c>
      <c r="D18" s="228"/>
      <c r="E18" s="15"/>
    </row>
    <row r="19" spans="1:7">
      <c r="A19" s="171" t="s">
        <v>71</v>
      </c>
      <c r="B19" s="37">
        <f>aantalw2001_ander</f>
        <v>10</v>
      </c>
      <c r="C19" s="166" t="s">
        <v>110</v>
      </c>
      <c r="D19" s="229"/>
      <c r="E19" s="15"/>
    </row>
    <row r="20" spans="1:7">
      <c r="A20" s="171" t="s">
        <v>72</v>
      </c>
      <c r="B20" s="37">
        <f>aantalw2001_propaan</f>
        <v>75</v>
      </c>
      <c r="C20" s="167">
        <f>IF(ISERROR(B20/SUM($B$20,$B$21,$B$22)*100),0,B20/SUM($B$20,$B$21,$B$22)*100)</f>
        <v>11.144130757800893</v>
      </c>
      <c r="D20" s="229"/>
      <c r="E20" s="15"/>
    </row>
    <row r="21" spans="1:7">
      <c r="A21" s="171" t="s">
        <v>73</v>
      </c>
      <c r="B21" s="37">
        <f>aantalw2001_elektriciteit</f>
        <v>535</v>
      </c>
      <c r="C21" s="167">
        <f>IF(ISERROR(B21/SUM($B$20,$B$21,$B$22)*100),0,B21/SUM($B$20,$B$21,$B$22)*100)</f>
        <v>79.494799405646361</v>
      </c>
      <c r="D21" s="229"/>
      <c r="E21" s="15"/>
    </row>
    <row r="22" spans="1:7">
      <c r="A22" s="171" t="s">
        <v>74</v>
      </c>
      <c r="B22" s="37">
        <f>aantalw2001_hout</f>
        <v>63</v>
      </c>
      <c r="C22" s="167">
        <f>IF(ISERROR(B22/SUM($B$20,$B$21,$B$22)*100),0,B22/SUM($B$20,$B$21,$B$22)*100)</f>
        <v>9.3610698365527494</v>
      </c>
      <c r="D22" s="229"/>
      <c r="E22" s="15"/>
    </row>
    <row r="23" spans="1:7">
      <c r="A23" s="171" t="s">
        <v>75</v>
      </c>
      <c r="B23" s="37">
        <f>aantalw2001_niet_gespec</f>
        <v>94</v>
      </c>
      <c r="C23" s="166" t="s">
        <v>110</v>
      </c>
      <c r="D23" s="228"/>
      <c r="E23" s="15"/>
    </row>
    <row r="24" spans="1:7">
      <c r="A24" s="171" t="s">
        <v>76</v>
      </c>
      <c r="B24" s="37">
        <f>aantalw2001_steenkool</f>
        <v>187</v>
      </c>
      <c r="C24" s="166" t="s">
        <v>110</v>
      </c>
      <c r="D24" s="229"/>
      <c r="E24" s="15"/>
    </row>
    <row r="25" spans="1:7">
      <c r="A25" s="171" t="s">
        <v>77</v>
      </c>
      <c r="B25" s="37">
        <f>aantalw2001_stookolie</f>
        <v>2851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8049</v>
      </c>
      <c r="C28" s="36"/>
      <c r="D28" s="228"/>
    </row>
    <row r="29" spans="1:7" s="15" customFormat="1">
      <c r="A29" s="230" t="s">
        <v>781</v>
      </c>
      <c r="B29" s="37">
        <f>SUM(HH_hh_gas_aantal,HH_rest_gas_aantal)</f>
        <v>5266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5266</v>
      </c>
      <c r="C32" s="167">
        <f>IF(ISERROR(B32/SUM($B$32,$B$34,$B$35,$B$36,$B$38,$B$39)*100),0,B32/SUM($B$32,$B$34,$B$35,$B$36,$B$38,$B$39)*100)</f>
        <v>66.214007292845466</v>
      </c>
      <c r="D32" s="233"/>
      <c r="G32" s="15"/>
    </row>
    <row r="33" spans="1:7">
      <c r="A33" s="171" t="s">
        <v>71</v>
      </c>
      <c r="B33" s="34" t="s">
        <v>110</v>
      </c>
      <c r="C33" s="167"/>
      <c r="D33" s="233"/>
      <c r="G33" s="15"/>
    </row>
    <row r="34" spans="1:7">
      <c r="A34" s="171" t="s">
        <v>72</v>
      </c>
      <c r="B34" s="33">
        <f>IF((($B$28-$B$32-$B$39-$B$77-$B$38)*C20/100)&lt;0,0,($B$28-$B$32-$B$39-$B$77-$B$38)*C20/100)</f>
        <v>172.1879643387816</v>
      </c>
      <c r="C34" s="167">
        <f>IF(ISERROR(B34/SUM($B$32,$B$34,$B$35,$B$36,$B$38,$B$39)*100),0,B34/SUM($B$32,$B$34,$B$35,$B$36,$B$38,$B$39)*100)</f>
        <v>2.1650693365872198</v>
      </c>
      <c r="D34" s="233"/>
      <c r="G34" s="15"/>
    </row>
    <row r="35" spans="1:7">
      <c r="A35" s="171" t="s">
        <v>73</v>
      </c>
      <c r="B35" s="33">
        <f>IF((($B$28-$B$32-$B$39-$B$77-$B$38)*C21/100)&lt;0,0,($B$28-$B$32-$B$39-$B$77-$B$38)*C21/100)</f>
        <v>1228.274145616642</v>
      </c>
      <c r="C35" s="167">
        <f>IF(ISERROR(B35/SUM($B$32,$B$34,$B$35,$B$36,$B$38,$B$39)*100),0,B35/SUM($B$32,$B$34,$B$35,$B$36,$B$38,$B$39)*100)</f>
        <v>15.444161267655501</v>
      </c>
      <c r="D35" s="233"/>
      <c r="G35" s="15"/>
    </row>
    <row r="36" spans="1:7">
      <c r="A36" s="171" t="s">
        <v>74</v>
      </c>
      <c r="B36" s="33">
        <f>IF((($B$28-$B$32-$B$39-$B$77-$B$38)*C22/100)&lt;0,0,($B$28-$B$32-$B$39-$B$77-$B$38)*C22/100)</f>
        <v>144.63789004457655</v>
      </c>
      <c r="C36" s="167">
        <f>IF(ISERROR(B36/SUM($B$32,$B$34,$B$35,$B$36,$B$38,$B$39)*100),0,B36/SUM($B$32,$B$34,$B$35,$B$36,$B$38,$B$39)*100)</f>
        <v>1.8186582427332647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1141.8999999999999</v>
      </c>
      <c r="C39" s="167">
        <f>IF(ISERROR(B39/SUM($B$32,$B$34,$B$35,$B$36,$B$38,$B$39)*100),0,B39/SUM($B$32,$B$34,$B$35,$B$36,$B$38,$B$39)*100)</f>
        <v>14.358103860178547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5266</v>
      </c>
      <c r="C44" s="34" t="s">
        <v>110</v>
      </c>
      <c r="D44" s="174"/>
    </row>
    <row r="45" spans="1:7">
      <c r="A45" s="171" t="s">
        <v>71</v>
      </c>
      <c r="B45" s="33" t="str">
        <f t="shared" si="0"/>
        <v>-</v>
      </c>
      <c r="C45" s="34" t="s">
        <v>110</v>
      </c>
      <c r="D45" s="174"/>
    </row>
    <row r="46" spans="1:7">
      <c r="A46" s="171" t="s">
        <v>72</v>
      </c>
      <c r="B46" s="33">
        <f t="shared" si="0"/>
        <v>172.1879643387816</v>
      </c>
      <c r="C46" s="34" t="s">
        <v>110</v>
      </c>
      <c r="D46" s="174"/>
    </row>
    <row r="47" spans="1:7">
      <c r="A47" s="171" t="s">
        <v>73</v>
      </c>
      <c r="B47" s="33">
        <f t="shared" si="0"/>
        <v>1228.274145616642</v>
      </c>
      <c r="C47" s="34" t="s">
        <v>110</v>
      </c>
      <c r="D47" s="174"/>
    </row>
    <row r="48" spans="1:7">
      <c r="A48" s="171" t="s">
        <v>74</v>
      </c>
      <c r="B48" s="33">
        <f t="shared" si="0"/>
        <v>144.63789004457655</v>
      </c>
      <c r="C48" s="33">
        <f>B48*10</f>
        <v>1446.3789004457656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1141.8999999999999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54668.976817414929</v>
      </c>
      <c r="C5" s="17">
        <f>IF(ISERROR('Eigen informatie GS &amp; warmtenet'!B58),0,'Eigen informatie GS &amp; warmtenet'!B58)</f>
        <v>0</v>
      </c>
      <c r="D5" s="30">
        <f>SUM(D6:D12)</f>
        <v>53546.355715941303</v>
      </c>
      <c r="E5" s="17">
        <f>SUM(E6:E12)</f>
        <v>1343.9880623704023</v>
      </c>
      <c r="F5" s="17">
        <f>SUM(F6:F12)</f>
        <v>9909.4014649342353</v>
      </c>
      <c r="G5" s="18"/>
      <c r="H5" s="17"/>
      <c r="I5" s="17"/>
      <c r="J5" s="17">
        <f>SUM(J6:J12)</f>
        <v>5.6048081272756248E-2</v>
      </c>
      <c r="K5" s="17"/>
      <c r="L5" s="17"/>
      <c r="M5" s="17"/>
      <c r="N5" s="17">
        <f>SUM(N6:N12)</f>
        <v>2299.5193427842851</v>
      </c>
      <c r="O5" s="17">
        <f>B38*B39*B40</f>
        <v>6.2533333333333339</v>
      </c>
      <c r="P5" s="17">
        <f>B46*B47*B48/1000-B46*B47*B48/1000/B49</f>
        <v>95.333333333333343</v>
      </c>
      <c r="R5" s="32"/>
    </row>
    <row r="6" spans="1:18">
      <c r="A6" s="32" t="s">
        <v>53</v>
      </c>
      <c r="B6" s="37">
        <f>B26</f>
        <v>3415.0677563753597</v>
      </c>
      <c r="C6" s="33"/>
      <c r="D6" s="37">
        <f>IF(ISERROR(TER_kantoor_gas_kWh/1000),0,TER_kantoor_gas_kWh/1000)*0.902</f>
        <v>5412.0716988835384</v>
      </c>
      <c r="E6" s="33">
        <f>$C$26*'E Balans VL '!I12/100/3.6*1000000</f>
        <v>2.1404508863219419E-2</v>
      </c>
      <c r="F6" s="33">
        <f>$C$26*('E Balans VL '!L12+'E Balans VL '!N12)/100/3.6*1000000</f>
        <v>513.18925768895781</v>
      </c>
      <c r="G6" s="34"/>
      <c r="H6" s="33"/>
      <c r="I6" s="33"/>
      <c r="J6" s="33">
        <f>$C$26*('E Balans VL '!D12+'E Balans VL '!E12)/100/3.6*1000000</f>
        <v>0</v>
      </c>
      <c r="K6" s="33"/>
      <c r="L6" s="33"/>
      <c r="M6" s="33"/>
      <c r="N6" s="33">
        <f>$C$26*'E Balans VL '!Y12/100/3.6*1000000</f>
        <v>3.2660059696103576</v>
      </c>
      <c r="O6" s="33"/>
      <c r="P6" s="33"/>
      <c r="R6" s="32"/>
    </row>
    <row r="7" spans="1:18">
      <c r="A7" s="32" t="s">
        <v>52</v>
      </c>
      <c r="B7" s="37">
        <f t="shared" ref="B7:B12" si="0">B27</f>
        <v>2422.8861793996398</v>
      </c>
      <c r="C7" s="33"/>
      <c r="D7" s="37">
        <f>IF(ISERROR(TER_horeca_gas_kWh/1000),0,TER_horeca_gas_kWh/1000)*0.902</f>
        <v>4369.9901094430088</v>
      </c>
      <c r="E7" s="33">
        <f>$C$27*'E Balans VL '!I9/100/3.6*1000000</f>
        <v>34.695326513207213</v>
      </c>
      <c r="F7" s="33">
        <f>$C$27*('E Balans VL '!L9+'E Balans VL '!N9)/100/3.6*1000000</f>
        <v>306.81730017678757</v>
      </c>
      <c r="G7" s="34"/>
      <c r="H7" s="33"/>
      <c r="I7" s="33"/>
      <c r="J7" s="33">
        <f>$C$27*('E Balans VL '!D9+'E Balans VL '!E9)/100/3.6*1000000</f>
        <v>0</v>
      </c>
      <c r="K7" s="33"/>
      <c r="L7" s="33"/>
      <c r="M7" s="33"/>
      <c r="N7" s="33">
        <f>$C$27*'E Balans VL '!Y9/100/3.6*1000000</f>
        <v>0.69652635652270045</v>
      </c>
      <c r="O7" s="33"/>
      <c r="P7" s="33"/>
      <c r="R7" s="32"/>
    </row>
    <row r="8" spans="1:18">
      <c r="A8" s="6" t="s">
        <v>51</v>
      </c>
      <c r="B8" s="37">
        <f t="shared" si="0"/>
        <v>30779.912841273403</v>
      </c>
      <c r="C8" s="33"/>
      <c r="D8" s="37">
        <f>IF(ISERROR(TER_handel_gas_kWh/1000),0,TER_handel_gas_kWh/1000)*0.902</f>
        <v>8037.5513349384601</v>
      </c>
      <c r="E8" s="33">
        <f>$C$28*'E Balans VL '!I13/100/3.6*1000000</f>
        <v>1116.3836431441839</v>
      </c>
      <c r="F8" s="33">
        <f>$C$28*('E Balans VL '!L13+'E Balans VL '!N13)/100/3.6*1000000</f>
        <v>5928.5228796619085</v>
      </c>
      <c r="G8" s="34"/>
      <c r="H8" s="33"/>
      <c r="I8" s="33"/>
      <c r="J8" s="33">
        <f>$C$28*('E Balans VL '!D13+'E Balans VL '!E13)/100/3.6*1000000</f>
        <v>0</v>
      </c>
      <c r="K8" s="33"/>
      <c r="L8" s="33"/>
      <c r="M8" s="33"/>
      <c r="N8" s="33">
        <f>$C$28*'E Balans VL '!Y13/100/3.6*1000000</f>
        <v>42.637261427254366</v>
      </c>
      <c r="O8" s="33"/>
      <c r="P8" s="33"/>
      <c r="R8" s="32"/>
    </row>
    <row r="9" spans="1:18">
      <c r="A9" s="32" t="s">
        <v>50</v>
      </c>
      <c r="B9" s="37">
        <f t="shared" si="0"/>
        <v>1793.4067357901799</v>
      </c>
      <c r="C9" s="33"/>
      <c r="D9" s="37">
        <f>IF(ISERROR(TER_gezond_gas_kWh/1000),0,TER_gezond_gas_kWh/1000)*0.902</f>
        <v>7153.3289067012665</v>
      </c>
      <c r="E9" s="33">
        <f>$C$29*'E Balans VL '!I10/100/3.6*1000000</f>
        <v>0.11228496835308222</v>
      </c>
      <c r="F9" s="33">
        <f>$C$29*('E Balans VL '!L10+'E Balans VL '!N10)/100/3.6*1000000</f>
        <v>266.41603100512037</v>
      </c>
      <c r="G9" s="34"/>
      <c r="H9" s="33"/>
      <c r="I9" s="33"/>
      <c r="J9" s="33">
        <f>$C$29*('E Balans VL '!D10+'E Balans VL '!E10)/100/3.6*1000000</f>
        <v>0</v>
      </c>
      <c r="K9" s="33"/>
      <c r="L9" s="33"/>
      <c r="M9" s="33"/>
      <c r="N9" s="33">
        <f>$C$29*'E Balans VL '!Y10/100/3.6*1000000</f>
        <v>27.740588438160252</v>
      </c>
      <c r="O9" s="33"/>
      <c r="P9" s="33"/>
      <c r="R9" s="32"/>
    </row>
    <row r="10" spans="1:18">
      <c r="A10" s="32" t="s">
        <v>49</v>
      </c>
      <c r="B10" s="37">
        <f t="shared" si="0"/>
        <v>924.39740472704102</v>
      </c>
      <c r="C10" s="33"/>
      <c r="D10" s="37">
        <f>IF(ISERROR(TER_ander_gas_kWh/1000),0,TER_ander_gas_kWh/1000)*0.902</f>
        <v>1338.2758673077924</v>
      </c>
      <c r="E10" s="33">
        <f>$C$30*'E Balans VL '!I14/100/3.6*1000000</f>
        <v>1.1018486740528797</v>
      </c>
      <c r="F10" s="33">
        <f>$C$30*('E Balans VL '!L14+'E Balans VL '!N14)/100/3.6*1000000</f>
        <v>241.86345655743983</v>
      </c>
      <c r="G10" s="34"/>
      <c r="H10" s="33"/>
      <c r="I10" s="33"/>
      <c r="J10" s="33">
        <f>$C$30*('E Balans VL '!D14+'E Balans VL '!E14)/100/3.6*1000000</f>
        <v>2.0065044118850506E-2</v>
      </c>
      <c r="K10" s="33"/>
      <c r="L10" s="33"/>
      <c r="M10" s="33"/>
      <c r="N10" s="33">
        <f>$C$30*'E Balans VL '!Y14/100/3.6*1000000</f>
        <v>784.97565640810421</v>
      </c>
      <c r="O10" s="33"/>
      <c r="P10" s="33"/>
      <c r="R10" s="32"/>
    </row>
    <row r="11" spans="1:18">
      <c r="A11" s="32" t="s">
        <v>54</v>
      </c>
      <c r="B11" s="37">
        <f t="shared" si="0"/>
        <v>473.64777559820402</v>
      </c>
      <c r="C11" s="33"/>
      <c r="D11" s="37">
        <f>IF(ISERROR(TER_onderwijs_gas_kWh/1000),0,TER_onderwijs_gas_kWh/1000)*0.902</f>
        <v>1961.1928836648051</v>
      </c>
      <c r="E11" s="33">
        <f>$C$31*'E Balans VL '!I11/100/3.6*1000000</f>
        <v>7.1465820514920564</v>
      </c>
      <c r="F11" s="33">
        <f>$C$31*('E Balans VL '!L11+'E Balans VL '!N11)/100/3.6*1000000</f>
        <v>82.99065703312877</v>
      </c>
      <c r="G11" s="34"/>
      <c r="H11" s="33"/>
      <c r="I11" s="33"/>
      <c r="J11" s="33">
        <f>$C$31*('E Balans VL '!D11+'E Balans VL '!E11)/100/3.6*1000000</f>
        <v>0</v>
      </c>
      <c r="K11" s="33"/>
      <c r="L11" s="33"/>
      <c r="M11" s="33"/>
      <c r="N11" s="33">
        <f>$C$31*'E Balans VL '!Y11/100/3.6*1000000</f>
        <v>1.3328808486085022</v>
      </c>
      <c r="O11" s="33"/>
      <c r="P11" s="33"/>
      <c r="R11" s="32"/>
    </row>
    <row r="12" spans="1:18">
      <c r="A12" s="32" t="s">
        <v>259</v>
      </c>
      <c r="B12" s="37">
        <f t="shared" si="0"/>
        <v>14859.6581242511</v>
      </c>
      <c r="C12" s="33"/>
      <c r="D12" s="37">
        <f>IF(ISERROR(TER_rest_gas_kWh/1000),0,TER_rest_gas_kWh/1000)*0.902</f>
        <v>25273.944915002434</v>
      </c>
      <c r="E12" s="33">
        <f>$C$32*'E Balans VL '!I8/100/3.6*1000000</f>
        <v>184.52697251024981</v>
      </c>
      <c r="F12" s="33">
        <f>$C$32*('E Balans VL '!L8+'E Balans VL '!N8)/100/3.6*1000000</f>
        <v>2569.6018828108927</v>
      </c>
      <c r="G12" s="34"/>
      <c r="H12" s="33"/>
      <c r="I12" s="33"/>
      <c r="J12" s="33">
        <f>$C$32*('E Balans VL '!D8+'E Balans VL '!E8)/100/3.6*1000000</f>
        <v>3.5983037153905745E-2</v>
      </c>
      <c r="K12" s="33"/>
      <c r="L12" s="33"/>
      <c r="M12" s="33"/>
      <c r="N12" s="33">
        <f>$C$32*'E Balans VL '!Y8/100/3.6*1000000</f>
        <v>1438.8704233360249</v>
      </c>
      <c r="O12" s="33"/>
      <c r="P12" s="33"/>
      <c r="R12" s="32"/>
    </row>
    <row r="13" spans="1:18">
      <c r="A13" s="16" t="s">
        <v>487</v>
      </c>
      <c r="B13" s="247">
        <f ca="1">'lokale energieproductie'!N65+'lokale energieproductie'!N58</f>
        <v>5715</v>
      </c>
      <c r="C13" s="247">
        <f ca="1">'lokale energieproductie'!O65+'lokale energieproductie'!O58</f>
        <v>8164.2857142857147</v>
      </c>
      <c r="D13" s="308">
        <f ca="1">('lokale energieproductie'!P58+'lokale energieproductie'!P65)*(-1)</f>
        <v>-16328.571428571429</v>
      </c>
      <c r="E13" s="248"/>
      <c r="F13" s="308">
        <f ca="1">('lokale energieproductie'!S58+'lokale energieproductie'!S65)*(-1)</f>
        <v>0</v>
      </c>
      <c r="G13" s="249"/>
      <c r="H13" s="248"/>
      <c r="I13" s="248"/>
      <c r="J13" s="248"/>
      <c r="K13" s="248"/>
      <c r="L13" s="308">
        <f ca="1">('lokale energieproductie'!U58+'lokale energieproductie'!T58+'lokale energieproductie'!U65+'lokale energieproductie'!T65)*(-1)</f>
        <v>0</v>
      </c>
      <c r="M13" s="248"/>
      <c r="N13" s="308">
        <f ca="1">('lokale energieproductie'!Q58+'lokale energieproductie'!R58+'lokale energieproductie'!V58+'lokale energieproductie'!Q65+'lokale energieproductie'!R65+'lokale energieproductie'!V65)*(-1)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60383.976817414929</v>
      </c>
      <c r="C16" s="21">
        <f t="shared" ca="1" si="1"/>
        <v>8164.2857142857147</v>
      </c>
      <c r="D16" s="21">
        <f t="shared" ca="1" si="1"/>
        <v>37217.784287369876</v>
      </c>
      <c r="E16" s="21">
        <f t="shared" si="1"/>
        <v>1343.9880623704023</v>
      </c>
      <c r="F16" s="21">
        <f t="shared" ca="1" si="1"/>
        <v>9909.4014649342353</v>
      </c>
      <c r="G16" s="21">
        <f t="shared" si="1"/>
        <v>0</v>
      </c>
      <c r="H16" s="21">
        <f t="shared" si="1"/>
        <v>0</v>
      </c>
      <c r="I16" s="21">
        <f t="shared" si="1"/>
        <v>0</v>
      </c>
      <c r="J16" s="21">
        <f t="shared" si="1"/>
        <v>5.6048081272756248E-2</v>
      </c>
      <c r="K16" s="21">
        <f t="shared" si="1"/>
        <v>0</v>
      </c>
      <c r="L16" s="21">
        <f t="shared" ca="1" si="1"/>
        <v>0</v>
      </c>
      <c r="M16" s="21">
        <f t="shared" si="1"/>
        <v>0</v>
      </c>
      <c r="N16" s="21">
        <f t="shared" ca="1" si="1"/>
        <v>2299.5193427842851</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0.21089768415331747</v>
      </c>
      <c r="C18" s="25">
        <f ca="1">'EF ele_warmte'!B22</f>
        <v>0.2227796130178574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12734.840870760418</v>
      </c>
      <c r="C20" s="23">
        <f t="shared" ref="C20:P20" ca="1" si="2">C16*C18</f>
        <v>1818.836411995793</v>
      </c>
      <c r="D20" s="23">
        <f t="shared" ca="1" si="2"/>
        <v>7517.9924260487151</v>
      </c>
      <c r="E20" s="23">
        <f t="shared" si="2"/>
        <v>305.08529015808131</v>
      </c>
      <c r="F20" s="23">
        <f t="shared" ca="1" si="2"/>
        <v>2645.8101911374411</v>
      </c>
      <c r="G20" s="23">
        <f t="shared" si="2"/>
        <v>0</v>
      </c>
      <c r="H20" s="23">
        <f t="shared" si="2"/>
        <v>0</v>
      </c>
      <c r="I20" s="23">
        <f t="shared" si="2"/>
        <v>0</v>
      </c>
      <c r="J20" s="23">
        <f t="shared" si="2"/>
        <v>1.984102077055571E-2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3415.0677563753597</v>
      </c>
      <c r="C26" s="39">
        <f>IF(ISERROR(B26*3.6/1000000/'E Balans VL '!Z12*100),0,B26*3.6/1000000/'E Balans VL '!Z12*100)</f>
        <v>7.2189122465463607E-2</v>
      </c>
      <c r="D26" s="237" t="s">
        <v>744</v>
      </c>
      <c r="F26" s="6"/>
    </row>
    <row r="27" spans="1:18">
      <c r="A27" s="231" t="s">
        <v>52</v>
      </c>
      <c r="B27" s="33">
        <f>IF(ISERROR(TER_horeca_ele_kWh/1000),0,TER_horeca_ele_kWh/1000)</f>
        <v>2422.8861793996398</v>
      </c>
      <c r="C27" s="39">
        <f>IF(ISERROR(B27*3.6/1000000/'E Balans VL '!Z9*100),0,B27*3.6/1000000/'E Balans VL '!Z9*100)</f>
        <v>0.19099521446629189</v>
      </c>
      <c r="D27" s="237" t="s">
        <v>744</v>
      </c>
      <c r="F27" s="6"/>
    </row>
    <row r="28" spans="1:18">
      <c r="A28" s="171" t="s">
        <v>51</v>
      </c>
      <c r="B28" s="33">
        <f>IF(ISERROR(TER_handel_ele_kWh/1000),0,TER_handel_ele_kWh/1000)</f>
        <v>30779.912841273403</v>
      </c>
      <c r="C28" s="39">
        <f>IF(ISERROR(B28*3.6/1000000/'E Balans VL '!Z13*100),0,B28*3.6/1000000/'E Balans VL '!Z13*100)</f>
        <v>0.89335743543746615</v>
      </c>
      <c r="D28" s="237" t="s">
        <v>744</v>
      </c>
      <c r="F28" s="6"/>
    </row>
    <row r="29" spans="1:18">
      <c r="A29" s="231" t="s">
        <v>50</v>
      </c>
      <c r="B29" s="33">
        <f>IF(ISERROR(TER_gezond_ele_kWh/1000),0,TER_gezond_ele_kWh/1000)</f>
        <v>1793.4067357901799</v>
      </c>
      <c r="C29" s="39">
        <f>IF(ISERROR(B29*3.6/1000000/'E Balans VL '!Z10*100),0,B29*3.6/1000000/'E Balans VL '!Z10*100)</f>
        <v>0.18887517779463461</v>
      </c>
      <c r="D29" s="237" t="s">
        <v>744</v>
      </c>
      <c r="F29" s="6"/>
    </row>
    <row r="30" spans="1:18">
      <c r="A30" s="231" t="s">
        <v>49</v>
      </c>
      <c r="B30" s="33">
        <f>IF(ISERROR(TER_ander_ele_kWh/1000),0,TER_ander_ele_kWh/1000)</f>
        <v>924.39740472704102</v>
      </c>
      <c r="C30" s="39">
        <f>IF(ISERROR(B30*3.6/1000000/'E Balans VL '!Z14*100),0,B30*3.6/1000000/'E Balans VL '!Z14*100)</f>
        <v>6.8183753350784096E-2</v>
      </c>
      <c r="D30" s="237" t="s">
        <v>744</v>
      </c>
      <c r="F30" s="6"/>
    </row>
    <row r="31" spans="1:18">
      <c r="A31" s="231" t="s">
        <v>54</v>
      </c>
      <c r="B31" s="33">
        <f>IF(ISERROR(TER_onderwijs_ele_kWh/1000),0,TER_onderwijs_ele_kWh/1000)</f>
        <v>473.64777559820402</v>
      </c>
      <c r="C31" s="39">
        <f>IF(ISERROR(B31*3.6/1000000/'E Balans VL '!Z11*100),0,B31*3.6/1000000/'E Balans VL '!Z11*100)</f>
        <v>0.11762892964947937</v>
      </c>
      <c r="D31" s="237" t="s">
        <v>744</v>
      </c>
    </row>
    <row r="32" spans="1:18">
      <c r="A32" s="231" t="s">
        <v>259</v>
      </c>
      <c r="B32" s="33">
        <f>IF(ISERROR(TER_rest_ele_kWh/1000),0,TER_rest_ele_kWh/1000)</f>
        <v>14859.6581242511</v>
      </c>
      <c r="C32" s="39">
        <f>IF(ISERROR(B32*3.6/1000000/'E Balans VL '!Z8*100),0,B32*3.6/1000000/'E Balans VL '!Z8*100)</f>
        <v>0.1222752621714427</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5376.3912585812268</v>
      </c>
      <c r="C5" s="17">
        <f>IF(ISERROR('Eigen informatie GS &amp; warmtenet'!B59),0,'Eigen informatie GS &amp; warmtenet'!B59)</f>
        <v>0</v>
      </c>
      <c r="D5" s="30">
        <f>SUM(D6:D15)</f>
        <v>7562.9158040974798</v>
      </c>
      <c r="E5" s="17">
        <f>SUM(E6:E15)</f>
        <v>610.94366338958764</v>
      </c>
      <c r="F5" s="17">
        <f>SUM(F6:F15)</f>
        <v>1879.6871814836848</v>
      </c>
      <c r="G5" s="18"/>
      <c r="H5" s="17"/>
      <c r="I5" s="17"/>
      <c r="J5" s="17">
        <f>SUM(J6:J15)</f>
        <v>8.7081730741859804</v>
      </c>
      <c r="K5" s="17"/>
      <c r="L5" s="17"/>
      <c r="M5" s="17"/>
      <c r="N5" s="17">
        <f>SUM(N6:N15)</f>
        <v>338.36795138426646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924.47665510947195</v>
      </c>
      <c r="C8" s="33"/>
      <c r="D8" s="37">
        <f>IF( ISERROR(IND_metaal_Gas_kWH/1000),0,IND_metaal_Gas_kWH/1000)*0.902</f>
        <v>633.49323140926185</v>
      </c>
      <c r="E8" s="33">
        <f>C30*'E Balans VL '!I18/100/3.6*1000000</f>
        <v>8.4996699756868868</v>
      </c>
      <c r="F8" s="33">
        <f>C30*'E Balans VL '!L18/100/3.6*1000000+C30*'E Balans VL '!N18/100/3.6*1000000</f>
        <v>86.685131305834105</v>
      </c>
      <c r="G8" s="34"/>
      <c r="H8" s="33"/>
      <c r="I8" s="33"/>
      <c r="J8" s="40">
        <f>C30*'E Balans VL '!D18/100/3.6*1000000+C30*'E Balans VL '!E18/100/3.6*1000000</f>
        <v>0</v>
      </c>
      <c r="K8" s="33"/>
      <c r="L8" s="33"/>
      <c r="M8" s="33"/>
      <c r="N8" s="33">
        <f>C30*'E Balans VL '!Y18/100/3.6*1000000</f>
        <v>13.189187247144842</v>
      </c>
      <c r="O8" s="33"/>
      <c r="P8" s="33"/>
      <c r="R8" s="32"/>
    </row>
    <row r="9" spans="1:18">
      <c r="A9" s="6" t="s">
        <v>32</v>
      </c>
      <c r="B9" s="37">
        <f t="shared" si="0"/>
        <v>1598.3967415012401</v>
      </c>
      <c r="C9" s="33"/>
      <c r="D9" s="37">
        <f>IF( ISERROR(IND_andere_gas_kWh/1000),0,IND_andere_gas_kWh/1000)*0.902</f>
        <v>1741.4413255400857</v>
      </c>
      <c r="E9" s="33">
        <f>C31*'E Balans VL '!I19/100/3.6*1000000</f>
        <v>467.24248465512704</v>
      </c>
      <c r="F9" s="33">
        <f>C31*'E Balans VL '!L19/100/3.6*1000000+C31*'E Balans VL '!N19/100/3.6*1000000</f>
        <v>1284.4327693125288</v>
      </c>
      <c r="G9" s="34"/>
      <c r="H9" s="33"/>
      <c r="I9" s="33"/>
      <c r="J9" s="40">
        <f>C31*'E Balans VL '!D19/100/3.6*1000000+C31*'E Balans VL '!E19/100/3.6*1000000</f>
        <v>0</v>
      </c>
      <c r="K9" s="33"/>
      <c r="L9" s="33"/>
      <c r="M9" s="33"/>
      <c r="N9" s="33">
        <f>C31*'E Balans VL '!Y19/100/3.6*1000000</f>
        <v>125.37606951066083</v>
      </c>
      <c r="O9" s="33"/>
      <c r="P9" s="33"/>
      <c r="R9" s="32"/>
    </row>
    <row r="10" spans="1:18">
      <c r="A10" s="6" t="s">
        <v>40</v>
      </c>
      <c r="B10" s="37">
        <f t="shared" si="0"/>
        <v>421.05436224804401</v>
      </c>
      <c r="C10" s="33"/>
      <c r="D10" s="37">
        <f>IF( ISERROR(IND_voed_gas_kWh/1000),0,IND_voed_gas_kWh/1000)*0.902</f>
        <v>271.35224655408405</v>
      </c>
      <c r="E10" s="33">
        <f>C32*'E Balans VL '!I20/100/3.6*1000000</f>
        <v>0.89074703186094684</v>
      </c>
      <c r="F10" s="33">
        <f>C32*'E Balans VL '!L20/100/3.6*1000000+C32*'E Balans VL '!N20/100/3.6*1000000</f>
        <v>26.771066446149355</v>
      </c>
      <c r="G10" s="34"/>
      <c r="H10" s="33"/>
      <c r="I10" s="33"/>
      <c r="J10" s="40">
        <f>C32*'E Balans VL '!D20/100/3.6*1000000+C32*'E Balans VL '!E20/100/3.6*1000000</f>
        <v>0</v>
      </c>
      <c r="K10" s="33"/>
      <c r="L10" s="33"/>
      <c r="M10" s="33"/>
      <c r="N10" s="33">
        <f>C32*'E Balans VL '!Y20/100/3.6*1000000</f>
        <v>29.056906061089002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2432.4634997224703</v>
      </c>
      <c r="C15" s="33"/>
      <c r="D15" s="37">
        <f>IF( ISERROR(IND_rest_gas_kWh/1000),0,IND_rest_gas_kWh/1000)*0.902</f>
        <v>4916.6290005940482</v>
      </c>
      <c r="E15" s="33">
        <f>C37*'E Balans VL '!I15/100/3.6*1000000</f>
        <v>134.31076172691274</v>
      </c>
      <c r="F15" s="33">
        <f>C37*'E Balans VL '!L15/100/3.6*1000000+C37*'E Balans VL '!N15/100/3.6*1000000</f>
        <v>481.79821441917244</v>
      </c>
      <c r="G15" s="34"/>
      <c r="H15" s="33"/>
      <c r="I15" s="33"/>
      <c r="J15" s="40">
        <f>C37*'E Balans VL '!D15/100/3.6*1000000+C37*'E Balans VL '!E15/100/3.6*1000000</f>
        <v>8.7081730741859804</v>
      </c>
      <c r="K15" s="33"/>
      <c r="L15" s="33"/>
      <c r="M15" s="33"/>
      <c r="N15" s="33">
        <f>C37*'E Balans VL '!Y15/100/3.6*1000000</f>
        <v>170.74578856537178</v>
      </c>
      <c r="O15" s="33"/>
      <c r="P15" s="33"/>
      <c r="R15" s="32"/>
    </row>
    <row r="16" spans="1:18">
      <c r="A16" s="16" t="s">
        <v>487</v>
      </c>
      <c r="B16" s="247">
        <f>'lokale energieproductie'!N64+'lokale energieproductie'!N57</f>
        <v>0</v>
      </c>
      <c r="C16" s="247">
        <f>'lokale energieproductie'!O64+'lokale energieproductie'!O57</f>
        <v>0</v>
      </c>
      <c r="D16" s="308">
        <f>('lokale energieproductie'!P57+'lokale energieproductie'!P64)*(-1)</f>
        <v>0</v>
      </c>
      <c r="E16" s="248"/>
      <c r="F16" s="308">
        <f>('lokale energieproductie'!S57+'lokale energieproductie'!S64)*(-1)</f>
        <v>0</v>
      </c>
      <c r="G16" s="249"/>
      <c r="H16" s="248"/>
      <c r="I16" s="248"/>
      <c r="J16" s="248"/>
      <c r="K16" s="248"/>
      <c r="L16" s="308">
        <f>('lokale energieproductie'!T57+'lokale energieproductie'!U57+'lokale energieproductie'!T64+'lokale energieproductie'!U64)*(-1)</f>
        <v>0</v>
      </c>
      <c r="M16" s="248"/>
      <c r="N16" s="308">
        <f>('lokale energieproductie'!Q57+'lokale energieproductie'!R57+'lokale energieproductie'!V57+'lokale energieproductie'!Q64+'lokale energieproductie'!R64+'lokale energieproductie'!V64)*(-1)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5376.3912585812268</v>
      </c>
      <c r="C18" s="21">
        <f>C5+C16</f>
        <v>0</v>
      </c>
      <c r="D18" s="21">
        <f>MAX((D5+D16),0)</f>
        <v>7562.9158040974798</v>
      </c>
      <c r="E18" s="21">
        <f>MAX((E5+E16),0)</f>
        <v>610.94366338958764</v>
      </c>
      <c r="F18" s="21">
        <f>MAX((F5+F16),0)</f>
        <v>1879.6871814836848</v>
      </c>
      <c r="G18" s="21"/>
      <c r="H18" s="21"/>
      <c r="I18" s="21"/>
      <c r="J18" s="21">
        <f>MAX((J5+J16),0)</f>
        <v>8.7081730741859804</v>
      </c>
      <c r="K18" s="21"/>
      <c r="L18" s="21">
        <f>MAX((L5+L16),0)</f>
        <v>0</v>
      </c>
      <c r="M18" s="21"/>
      <c r="N18" s="21">
        <f>MAX((N5+N16),0)</f>
        <v>338.36795138426646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0.21089768415331747</v>
      </c>
      <c r="C20" s="25">
        <f ca="1">'EF ele_warmte'!B22</f>
        <v>0.2227796130178574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1133.8684655369207</v>
      </c>
      <c r="C22" s="23">
        <f ca="1">C18*C20</f>
        <v>0</v>
      </c>
      <c r="D22" s="23">
        <f>D18*D20</f>
        <v>1527.7089924276911</v>
      </c>
      <c r="E22" s="23">
        <f>E18*E20</f>
        <v>138.68421158943639</v>
      </c>
      <c r="F22" s="23">
        <f>F18*F20</f>
        <v>501.87647745614385</v>
      </c>
      <c r="G22" s="23"/>
      <c r="H22" s="23"/>
      <c r="I22" s="23"/>
      <c r="J22" s="23">
        <f>J18*J20</f>
        <v>3.0826932682618371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924.47665510947195</v>
      </c>
      <c r="C30" s="39">
        <f>IF(ISERROR(B30*3.6/1000000/'E Balans VL '!Z18*100),0,B30*3.6/1000000/'E Balans VL '!Z18*100)</f>
        <v>5.2392462558240503E-2</v>
      </c>
      <c r="D30" s="237" t="s">
        <v>744</v>
      </c>
    </row>
    <row r="31" spans="1:18">
      <c r="A31" s="6" t="s">
        <v>32</v>
      </c>
      <c r="B31" s="37">
        <f>IF( ISERROR(IND_ander_ele_kWh/1000),0,IND_ander_ele_kWh/1000)</f>
        <v>1598.3967415012401</v>
      </c>
      <c r="C31" s="39">
        <f>IF(ISERROR(B31*3.6/1000000/'E Balans VL '!Z19*100),0,B31*3.6/1000000/'E Balans VL '!Z19*100)</f>
        <v>7.2496620586303462E-2</v>
      </c>
      <c r="D31" s="237" t="s">
        <v>744</v>
      </c>
    </row>
    <row r="32" spans="1:18">
      <c r="A32" s="171" t="s">
        <v>40</v>
      </c>
      <c r="B32" s="37">
        <f>IF( ISERROR(IND_voed_ele_kWh/1000),0,IND_voed_ele_kWh/1000)</f>
        <v>421.05436224804401</v>
      </c>
      <c r="C32" s="39">
        <f>IF(ISERROR(B32*3.6/1000000/'E Balans VL '!Z20*100),0,B32*3.6/1000000/'E Balans VL '!Z20*100)</f>
        <v>1.3025122849744461E-2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2432.4634997224703</v>
      </c>
      <c r="C37" s="39">
        <f>IF(ISERROR(B37*3.6/1000000/'E Balans VL '!Z15*100),0,B37*3.6/1000000/'E Balans VL '!Z15*100)</f>
        <v>1.9280260584589533E-2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6829.9926072374901</v>
      </c>
      <c r="C5" s="17">
        <f>'Eigen informatie GS &amp; warmtenet'!B60</f>
        <v>0</v>
      </c>
      <c r="D5" s="30">
        <f>IF(ISERROR(SUM(LB_lb_gas_kWh,LB_rest_gas_kWh)/1000),0,SUM(LB_lb_gas_kWh,LB_rest_gas_kWh)/1000)*0.902</f>
        <v>467584.61103886931</v>
      </c>
      <c r="E5" s="17">
        <f>B17*'E Balans VL '!I25/3.6*1000000/100</f>
        <v>200.75434393196386</v>
      </c>
      <c r="F5" s="17">
        <f>B17*('E Balans VL '!L25/3.6*1000000+'E Balans VL '!N25/3.6*1000000)/100</f>
        <v>28453.380128322686</v>
      </c>
      <c r="G5" s="18"/>
      <c r="H5" s="17"/>
      <c r="I5" s="17"/>
      <c r="J5" s="17">
        <f>('E Balans VL '!D25+'E Balans VL '!E25)/3.6*1000000*landbouw!B17/100</f>
        <v>989.51925301849076</v>
      </c>
      <c r="K5" s="17"/>
      <c r="L5" s="17">
        <f>L6*(-1)</f>
        <v>34830</v>
      </c>
      <c r="M5" s="17"/>
      <c r="N5" s="17">
        <f>N6*(-1)</f>
        <v>115.71428571428572</v>
      </c>
      <c r="O5" s="17"/>
      <c r="P5" s="17"/>
      <c r="R5" s="32"/>
    </row>
    <row r="6" spans="1:18">
      <c r="A6" s="16" t="s">
        <v>487</v>
      </c>
      <c r="B6" s="17" t="s">
        <v>210</v>
      </c>
      <c r="C6" s="17">
        <f>'lokale energieproductie'!O66+'lokale energieproductie'!O59</f>
        <v>238948.7142857142</v>
      </c>
      <c r="D6" s="308">
        <f>('lokale energieproductie'!P59+'lokale energieproductie'!P66)*(-1)</f>
        <v>-435985.71428571426</v>
      </c>
      <c r="E6" s="248"/>
      <c r="F6" s="308">
        <f>('lokale energieproductie'!S59+'lokale energieproductie'!S66)*(-1)</f>
        <v>-11610</v>
      </c>
      <c r="G6" s="249"/>
      <c r="H6" s="248"/>
      <c r="I6" s="248"/>
      <c r="J6" s="248"/>
      <c r="K6" s="248"/>
      <c r="L6" s="308">
        <f>('lokale energieproductie'!T59+'lokale energieproductie'!U59+'lokale energieproductie'!T66+'lokale energieproductie'!U66)*(-1)</f>
        <v>-34830</v>
      </c>
      <c r="M6" s="248"/>
      <c r="N6" s="308">
        <f>('lokale energieproductie'!V59+'lokale energieproductie'!R59+'lokale energieproductie'!Q59+'lokale energieproductie'!Q66+'lokale energieproductie'!R66+'lokale energieproductie'!V66)*(-1)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6829.9926072374901</v>
      </c>
      <c r="C8" s="21">
        <f>C5+C6</f>
        <v>238948.7142857142</v>
      </c>
      <c r="D8" s="21">
        <f>MAX((D5+D6),0)</f>
        <v>31598.896753155044</v>
      </c>
      <c r="E8" s="21">
        <f>MAX((E5+E6),0)</f>
        <v>200.75434393196386</v>
      </c>
      <c r="F8" s="21">
        <f>MAX((F5+F6),0)</f>
        <v>16843.380128322686</v>
      </c>
      <c r="G8" s="21"/>
      <c r="H8" s="21"/>
      <c r="I8" s="21"/>
      <c r="J8" s="21">
        <f>MAX((J5+J6),0)</f>
        <v>989.51925301849076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0.21089768415331747</v>
      </c>
      <c r="C10" s="31">
        <f ca="1">'EF ele_warmte'!B22</f>
        <v>0.2227796130178574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1440.4296236506655</v>
      </c>
      <c r="C12" s="23">
        <f ca="1">C8*C10</f>
        <v>53232.902099685984</v>
      </c>
      <c r="D12" s="23">
        <f>D8*D10</f>
        <v>6382.9771441373196</v>
      </c>
      <c r="E12" s="23">
        <f>E8*E10</f>
        <v>45.571236072555799</v>
      </c>
      <c r="F12" s="23">
        <f>F8*F10</f>
        <v>4497.182494262157</v>
      </c>
      <c r="G12" s="23"/>
      <c r="H12" s="23"/>
      <c r="I12" s="23"/>
      <c r="J12" s="23">
        <f>J8*J10</f>
        <v>350.28981556854569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0.96919737941530382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122.94088959623545</v>
      </c>
      <c r="C26" s="247">
        <f>B26*'GWP N2O_CH4'!B5</f>
        <v>2581.7586815209443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18.541732686566405</v>
      </c>
      <c r="C27" s="247">
        <f>B27*'GWP N2O_CH4'!B5</f>
        <v>389.37638641789454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1.3882307726606333</v>
      </c>
      <c r="C28" s="247">
        <f>B28*'GWP N2O_CH4'!B4</f>
        <v>430.35153952479635</v>
      </c>
      <c r="D28" s="50"/>
    </row>
    <row r="29" spans="1:4">
      <c r="A29" s="41" t="s">
        <v>276</v>
      </c>
      <c r="B29" s="247">
        <f>B34*'ha_N2O bodem landbouw'!B4</f>
        <v>8.0166640904014699</v>
      </c>
      <c r="C29" s="247">
        <f>B29*'GWP N2O_CH4'!B4</f>
        <v>2485.1658680244554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1.8293751187761309E-3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1.099178083635891E-4</v>
      </c>
      <c r="C5" s="437" t="s">
        <v>210</v>
      </c>
      <c r="D5" s="422">
        <f>SUM(D6:D11)</f>
        <v>3.0829630359347095E-4</v>
      </c>
      <c r="E5" s="422">
        <f>SUM(E6:E11)</f>
        <v>5.2167125039658446E-4</v>
      </c>
      <c r="F5" s="435" t="s">
        <v>210</v>
      </c>
      <c r="G5" s="422">
        <f>SUM(G6:G11)</f>
        <v>0.22002592206124982</v>
      </c>
      <c r="H5" s="422">
        <f>SUM(H6:H11)</f>
        <v>5.2053442332883483E-2</v>
      </c>
      <c r="I5" s="437" t="s">
        <v>210</v>
      </c>
      <c r="J5" s="437" t="s">
        <v>210</v>
      </c>
      <c r="K5" s="437" t="s">
        <v>210</v>
      </c>
      <c r="L5" s="437" t="s">
        <v>210</v>
      </c>
      <c r="M5" s="422">
        <f>SUM(M6:M11)</f>
        <v>1.4387588126193588E-2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8.8934126969931801E-5</v>
      </c>
      <c r="C6" s="423"/>
      <c r="D6" s="865">
        <f>vkm_GW_PW*SUMIFS(TableVerdeelsleutelVkm[CNG],TableVerdeelsleutelVkm[Voertuigtype],"Lichte voertuigen")*SUMIFS(TableECFTransport[EnergieConsumptieFactor (PJ per km)],TableECFTransport[Index],CONCATENATE($A6,"_CNG_CNG"))</f>
        <v>2.204004815415316E-4</v>
      </c>
      <c r="E6" s="865">
        <f>vkm_GW_PW*SUMIFS(TableVerdeelsleutelVkm[LPG],TableVerdeelsleutelVkm[Voertuigtype],"Lichte voertuigen")*SUMIFS(TableECFTransport[EnergieConsumptieFactor (PJ per km)],TableECFTransport[Index],CONCATENATE($A6,"_LPG_LPG"))</f>
        <v>3.7837258976152881E-4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0.11593885621383332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3.7446962519336054E-2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7.8762500957814553E-3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5.6097802223512017E-2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9.3841419064964918E-7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3.2775452862582842E-3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2.09836813936573E-5</v>
      </c>
      <c r="C8" s="423"/>
      <c r="D8" s="425">
        <f>vkm_NGW_PW*SUMIFS(TableVerdeelsleutelVkm[CNG],TableVerdeelsleutelVkm[Voertuigtype],"Lichte voertuigen")*SUMIFS(TableECFTransport[EnergieConsumptieFactor (PJ per km)],TableECFTransport[Index],CONCATENATE($A8,"_CNG_CNG"))</f>
        <v>8.7895822051939335E-5</v>
      </c>
      <c r="E8" s="425">
        <f>vkm_NGW_PW*SUMIFS(TableVerdeelsleutelVkm[LPG],TableVerdeelsleutelVkm[Voertuigtype],"Lichte voertuigen")*SUMIFS(TableECFTransport[EnergieConsumptieFactor (PJ per km)],TableECFTransport[Index],CONCATENATE($A8,"_LPG_LPG"))</f>
        <v>1.4329866063505565E-4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4.1302075043226791E-2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1.4605403596850761E-2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2.8430892694672498E-3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6.6871885806776893E-3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1.3780250601582794E-7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3.9070347468660063E-4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30.532724545441418</v>
      </c>
      <c r="C14" s="21"/>
      <c r="D14" s="21">
        <f t="shared" ref="D14:M14" si="0">((D5)*10^9/3600)+D12</f>
        <v>85.637862109297487</v>
      </c>
      <c r="E14" s="21">
        <f t="shared" si="0"/>
        <v>144.9086806657179</v>
      </c>
      <c r="F14" s="21"/>
      <c r="G14" s="21">
        <f t="shared" si="0"/>
        <v>61118.311683680506</v>
      </c>
      <c r="H14" s="21">
        <f t="shared" si="0"/>
        <v>14459.28953691208</v>
      </c>
      <c r="I14" s="21"/>
      <c r="J14" s="21"/>
      <c r="K14" s="21"/>
      <c r="L14" s="21"/>
      <c r="M14" s="21">
        <f t="shared" si="0"/>
        <v>3996.5522572759969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0.21089768415331747</v>
      </c>
      <c r="C16" s="56">
        <f ca="1">'EF ele_warmte'!B22</f>
        <v>0.2227796130178574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6.439280897524748</v>
      </c>
      <c r="C18" s="23"/>
      <c r="D18" s="23">
        <f t="shared" ref="D18:M18" si="1">D14*D16</f>
        <v>17.298848146078093</v>
      </c>
      <c r="E18" s="23">
        <f t="shared" si="1"/>
        <v>32.894270511117966</v>
      </c>
      <c r="F18" s="23"/>
      <c r="G18" s="23">
        <f t="shared" si="1"/>
        <v>16318.589219542697</v>
      </c>
      <c r="H18" s="23">
        <f t="shared" si="1"/>
        <v>3600.363094691108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8.3494326772884427E-3</v>
      </c>
      <c r="H50" s="319">
        <f t="shared" si="2"/>
        <v>0</v>
      </c>
      <c r="I50" s="319">
        <f t="shared" si="2"/>
        <v>0</v>
      </c>
      <c r="J50" s="319">
        <f t="shared" si="2"/>
        <v>0</v>
      </c>
      <c r="K50" s="319">
        <f t="shared" si="2"/>
        <v>0</v>
      </c>
      <c r="L50" s="319">
        <f t="shared" si="2"/>
        <v>0</v>
      </c>
      <c r="M50" s="319">
        <f t="shared" si="2"/>
        <v>4.7417509537427555E-4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8.3494326772884427E-3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4.7417509537427555E-4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2319.2868548023453</v>
      </c>
      <c r="H54" s="21">
        <f t="shared" si="3"/>
        <v>0</v>
      </c>
      <c r="I54" s="21">
        <f t="shared" si="3"/>
        <v>0</v>
      </c>
      <c r="J54" s="21">
        <f t="shared" si="3"/>
        <v>0</v>
      </c>
      <c r="K54" s="21">
        <f t="shared" si="3"/>
        <v>0</v>
      </c>
      <c r="L54" s="21">
        <f t="shared" si="3"/>
        <v>0</v>
      </c>
      <c r="M54" s="21">
        <f t="shared" si="3"/>
        <v>131.71530427063212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0.21089768415331747</v>
      </c>
      <c r="C56" s="56">
        <f ca="1">'EF ele_warmte'!B22</f>
        <v>0.2227796130178574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619.24959023222618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61798.500817414926</v>
      </c>
      <c r="D10" s="979">
        <f ca="1">tertiair!C16</f>
        <v>8164.2857142857147</v>
      </c>
      <c r="E10" s="979">
        <f ca="1">tertiair!D16</f>
        <v>37217.784287369876</v>
      </c>
      <c r="F10" s="979">
        <f>tertiair!E16</f>
        <v>1343.9880623704023</v>
      </c>
      <c r="G10" s="979">
        <f ca="1">tertiair!F16</f>
        <v>9909.4014649342353</v>
      </c>
      <c r="H10" s="979">
        <f>tertiair!G16</f>
        <v>0</v>
      </c>
      <c r="I10" s="979">
        <f>tertiair!H16</f>
        <v>0</v>
      </c>
      <c r="J10" s="979">
        <f>tertiair!I16</f>
        <v>0</v>
      </c>
      <c r="K10" s="979">
        <f>tertiair!J16</f>
        <v>5.6048081272756248E-2</v>
      </c>
      <c r="L10" s="979">
        <f>tertiair!K16</f>
        <v>0</v>
      </c>
      <c r="M10" s="979">
        <f ca="1">tertiair!L16</f>
        <v>0</v>
      </c>
      <c r="N10" s="979">
        <f>tertiair!M16</f>
        <v>0</v>
      </c>
      <c r="O10" s="979">
        <f ca="1">tertiair!N16</f>
        <v>2299.5193427842851</v>
      </c>
      <c r="P10" s="979">
        <f>tertiair!O16</f>
        <v>6.2533333333333339</v>
      </c>
      <c r="Q10" s="980">
        <f>tertiair!P16</f>
        <v>95.333333333333343</v>
      </c>
      <c r="R10" s="674">
        <f ca="1">SUM(C10:Q10)</f>
        <v>120835.12240390737</v>
      </c>
      <c r="S10" s="67"/>
    </row>
    <row r="11" spans="1:19" s="447" customFormat="1">
      <c r="A11" s="783" t="s">
        <v>224</v>
      </c>
      <c r="B11" s="788"/>
      <c r="C11" s="979">
        <f>huishoudens!B8</f>
        <v>34846.630906115177</v>
      </c>
      <c r="D11" s="979">
        <f>huishoudens!C8</f>
        <v>0</v>
      </c>
      <c r="E11" s="979">
        <f>huishoudens!D8</f>
        <v>83955.737690191294</v>
      </c>
      <c r="F11" s="979">
        <f>huishoudens!E8</f>
        <v>9104.7122619649763</v>
      </c>
      <c r="G11" s="979">
        <f>huishoudens!F8</f>
        <v>23819.499058847778</v>
      </c>
      <c r="H11" s="979">
        <f>huishoudens!G8</f>
        <v>0</v>
      </c>
      <c r="I11" s="979">
        <f>huishoudens!H8</f>
        <v>0</v>
      </c>
      <c r="J11" s="979">
        <f>huishoudens!I8</f>
        <v>0</v>
      </c>
      <c r="K11" s="979">
        <f>huishoudens!J8</f>
        <v>0</v>
      </c>
      <c r="L11" s="979">
        <f>huishoudens!K8</f>
        <v>0</v>
      </c>
      <c r="M11" s="979">
        <f>huishoudens!L8</f>
        <v>0</v>
      </c>
      <c r="N11" s="979">
        <f>huishoudens!M8</f>
        <v>0</v>
      </c>
      <c r="O11" s="979">
        <f>huishoudens!N8</f>
        <v>10540.997224584746</v>
      </c>
      <c r="P11" s="979">
        <f>huishoudens!O8</f>
        <v>373.63666666666671</v>
      </c>
      <c r="Q11" s="980">
        <f>huishoudens!P8</f>
        <v>1830.4</v>
      </c>
      <c r="R11" s="674">
        <f>SUM(C11:Q11)</f>
        <v>164471.61380837063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5376.3912585812268</v>
      </c>
      <c r="D13" s="979">
        <f>industrie!C18</f>
        <v>0</v>
      </c>
      <c r="E13" s="979">
        <f>industrie!D18</f>
        <v>7562.9158040974798</v>
      </c>
      <c r="F13" s="979">
        <f>industrie!E18</f>
        <v>610.94366338958764</v>
      </c>
      <c r="G13" s="979">
        <f>industrie!F18</f>
        <v>1879.6871814836848</v>
      </c>
      <c r="H13" s="979">
        <f>industrie!G18</f>
        <v>0</v>
      </c>
      <c r="I13" s="979">
        <f>industrie!H18</f>
        <v>0</v>
      </c>
      <c r="J13" s="979">
        <f>industrie!I18</f>
        <v>0</v>
      </c>
      <c r="K13" s="979">
        <f>industrie!J18</f>
        <v>8.7081730741859804</v>
      </c>
      <c r="L13" s="979">
        <f>industrie!K18</f>
        <v>0</v>
      </c>
      <c r="M13" s="979">
        <f>industrie!L18</f>
        <v>0</v>
      </c>
      <c r="N13" s="979">
        <f>industrie!M18</f>
        <v>0</v>
      </c>
      <c r="O13" s="979">
        <f>industrie!N18</f>
        <v>338.36795138426646</v>
      </c>
      <c r="P13" s="979">
        <f>industrie!O18</f>
        <v>0</v>
      </c>
      <c r="Q13" s="980">
        <f>industrie!P18</f>
        <v>0</v>
      </c>
      <c r="R13" s="674">
        <f>SUM(C13:Q13)</f>
        <v>15777.014032010433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102021.52298211132</v>
      </c>
      <c r="D16" s="706">
        <f t="shared" ref="D16:R16" ca="1" si="0">SUM(D9:D15)</f>
        <v>8164.2857142857147</v>
      </c>
      <c r="E16" s="706">
        <f t="shared" ca="1" si="0"/>
        <v>128736.43778165866</v>
      </c>
      <c r="F16" s="706">
        <f t="shared" si="0"/>
        <v>11059.643987724967</v>
      </c>
      <c r="G16" s="706">
        <f t="shared" ca="1" si="0"/>
        <v>35608.587705265694</v>
      </c>
      <c r="H16" s="706">
        <f t="shared" si="0"/>
        <v>0</v>
      </c>
      <c r="I16" s="706">
        <f t="shared" si="0"/>
        <v>0</v>
      </c>
      <c r="J16" s="706">
        <f t="shared" si="0"/>
        <v>0</v>
      </c>
      <c r="K16" s="706">
        <f t="shared" si="0"/>
        <v>8.7642211554587366</v>
      </c>
      <c r="L16" s="706">
        <f t="shared" si="0"/>
        <v>0</v>
      </c>
      <c r="M16" s="706">
        <f t="shared" ca="1" si="0"/>
        <v>0</v>
      </c>
      <c r="N16" s="706">
        <f t="shared" si="0"/>
        <v>0</v>
      </c>
      <c r="O16" s="706">
        <f t="shared" ca="1" si="0"/>
        <v>13178.884518753299</v>
      </c>
      <c r="P16" s="706">
        <f t="shared" si="0"/>
        <v>379.89000000000004</v>
      </c>
      <c r="Q16" s="706">
        <f t="shared" si="0"/>
        <v>1925.7333333333333</v>
      </c>
      <c r="R16" s="706">
        <f t="shared" ca="1" si="0"/>
        <v>301083.75024428847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2319.2868548023453</v>
      </c>
      <c r="I19" s="979">
        <f>transport!H54</f>
        <v>0</v>
      </c>
      <c r="J19" s="979">
        <f>transport!I54</f>
        <v>0</v>
      </c>
      <c r="K19" s="979">
        <f>transport!J54</f>
        <v>0</v>
      </c>
      <c r="L19" s="979">
        <f>transport!K54</f>
        <v>0</v>
      </c>
      <c r="M19" s="979">
        <f>transport!L54</f>
        <v>0</v>
      </c>
      <c r="N19" s="979">
        <f>transport!M54</f>
        <v>131.71530427063212</v>
      </c>
      <c r="O19" s="979">
        <f>transport!N54</f>
        <v>0</v>
      </c>
      <c r="P19" s="979">
        <f>transport!O54</f>
        <v>0</v>
      </c>
      <c r="Q19" s="980">
        <f>transport!P54</f>
        <v>0</v>
      </c>
      <c r="R19" s="674">
        <f>SUM(C19:Q19)</f>
        <v>2451.0021590729775</v>
      </c>
      <c r="S19" s="67"/>
    </row>
    <row r="20" spans="1:19" s="447" customFormat="1">
      <c r="A20" s="783" t="s">
        <v>306</v>
      </c>
      <c r="B20" s="788"/>
      <c r="C20" s="979">
        <f>transport!B14</f>
        <v>30.532724545441418</v>
      </c>
      <c r="D20" s="979">
        <f>transport!C14</f>
        <v>0</v>
      </c>
      <c r="E20" s="979">
        <f>transport!D14</f>
        <v>85.637862109297487</v>
      </c>
      <c r="F20" s="979">
        <f>transport!E14</f>
        <v>144.9086806657179</v>
      </c>
      <c r="G20" s="979">
        <f>transport!F14</f>
        <v>0</v>
      </c>
      <c r="H20" s="979">
        <f>transport!G14</f>
        <v>61118.311683680506</v>
      </c>
      <c r="I20" s="979">
        <f>transport!H14</f>
        <v>14459.28953691208</v>
      </c>
      <c r="J20" s="979">
        <f>transport!I14</f>
        <v>0</v>
      </c>
      <c r="K20" s="979">
        <f>transport!J14</f>
        <v>0</v>
      </c>
      <c r="L20" s="979">
        <f>transport!K14</f>
        <v>0</v>
      </c>
      <c r="M20" s="979">
        <f>transport!L14</f>
        <v>0</v>
      </c>
      <c r="N20" s="979">
        <f>transport!M14</f>
        <v>3996.5522572759969</v>
      </c>
      <c r="O20" s="979">
        <f>transport!N14</f>
        <v>0</v>
      </c>
      <c r="P20" s="979">
        <f>transport!O14</f>
        <v>0</v>
      </c>
      <c r="Q20" s="980">
        <f>transport!P14</f>
        <v>0</v>
      </c>
      <c r="R20" s="674">
        <f>SUM(C20:Q20)</f>
        <v>79835.232745189031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30.532724545441418</v>
      </c>
      <c r="D22" s="786">
        <f t="shared" ref="D22:R22" si="1">SUM(D18:D21)</f>
        <v>0</v>
      </c>
      <c r="E22" s="786">
        <f t="shared" si="1"/>
        <v>85.637862109297487</v>
      </c>
      <c r="F22" s="786">
        <f t="shared" si="1"/>
        <v>144.9086806657179</v>
      </c>
      <c r="G22" s="786">
        <f t="shared" si="1"/>
        <v>0</v>
      </c>
      <c r="H22" s="786">
        <f t="shared" si="1"/>
        <v>63437.598538482853</v>
      </c>
      <c r="I22" s="786">
        <f t="shared" si="1"/>
        <v>14459.28953691208</v>
      </c>
      <c r="J22" s="786">
        <f t="shared" si="1"/>
        <v>0</v>
      </c>
      <c r="K22" s="786">
        <f t="shared" si="1"/>
        <v>0</v>
      </c>
      <c r="L22" s="786">
        <f t="shared" si="1"/>
        <v>0</v>
      </c>
      <c r="M22" s="786">
        <f t="shared" si="1"/>
        <v>0</v>
      </c>
      <c r="N22" s="786">
        <f t="shared" si="1"/>
        <v>4128.2675615466287</v>
      </c>
      <c r="O22" s="786">
        <f t="shared" si="1"/>
        <v>0</v>
      </c>
      <c r="P22" s="786">
        <f t="shared" si="1"/>
        <v>0</v>
      </c>
      <c r="Q22" s="786">
        <f t="shared" si="1"/>
        <v>0</v>
      </c>
      <c r="R22" s="786">
        <f t="shared" si="1"/>
        <v>82286.234904262004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6829.9926072374901</v>
      </c>
      <c r="D24" s="979">
        <f>+landbouw!C8</f>
        <v>238948.7142857142</v>
      </c>
      <c r="E24" s="979">
        <f>+landbouw!D8</f>
        <v>31598.896753155044</v>
      </c>
      <c r="F24" s="979">
        <f>+landbouw!E8</f>
        <v>200.75434393196386</v>
      </c>
      <c r="G24" s="979">
        <f>+landbouw!F8</f>
        <v>16843.380128322686</v>
      </c>
      <c r="H24" s="979">
        <f>+landbouw!G8</f>
        <v>0</v>
      </c>
      <c r="I24" s="979">
        <f>+landbouw!H8</f>
        <v>0</v>
      </c>
      <c r="J24" s="979">
        <f>+landbouw!I8</f>
        <v>0</v>
      </c>
      <c r="K24" s="979">
        <f>+landbouw!J8</f>
        <v>989.51925301849076</v>
      </c>
      <c r="L24" s="979">
        <f>+landbouw!K8</f>
        <v>0</v>
      </c>
      <c r="M24" s="979">
        <f>+landbouw!L8</f>
        <v>0</v>
      </c>
      <c r="N24" s="979">
        <f>+landbouw!M8</f>
        <v>0</v>
      </c>
      <c r="O24" s="979">
        <f>+landbouw!N8</f>
        <v>0</v>
      </c>
      <c r="P24" s="979">
        <f>+landbouw!O8</f>
        <v>0</v>
      </c>
      <c r="Q24" s="980">
        <f>+landbouw!P8</f>
        <v>0</v>
      </c>
      <c r="R24" s="674">
        <f>SUM(C24:Q24)</f>
        <v>295411.25737137988</v>
      </c>
      <c r="S24" s="67"/>
    </row>
    <row r="25" spans="1:19" s="447" customFormat="1" ht="15" thickBot="1">
      <c r="A25" s="805" t="s">
        <v>823</v>
      </c>
      <c r="B25" s="982"/>
      <c r="C25" s="983">
        <f>IF(Onbekend_ele_kWh="---",0,Onbekend_ele_kWh)/1000+IF(REST_rest_ele_kWh="---",0,REST_rest_ele_kWh)/1000</f>
        <v>1407.9656049514201</v>
      </c>
      <c r="D25" s="983"/>
      <c r="E25" s="983">
        <f>IF(onbekend_gas_kWh="---",0,onbekend_gas_kWh)/1000+IF(REST_rest_gas_kWh="---",0,REST_rest_gas_kWh)/1000</f>
        <v>2554.1859767528103</v>
      </c>
      <c r="F25" s="983"/>
      <c r="G25" s="983"/>
      <c r="H25" s="983"/>
      <c r="I25" s="983"/>
      <c r="J25" s="983"/>
      <c r="K25" s="983"/>
      <c r="L25" s="983"/>
      <c r="M25" s="983"/>
      <c r="N25" s="983"/>
      <c r="O25" s="983"/>
      <c r="P25" s="983"/>
      <c r="Q25" s="984"/>
      <c r="R25" s="674">
        <f>SUM(C25:Q25)</f>
        <v>3962.1515817042305</v>
      </c>
      <c r="S25" s="67"/>
    </row>
    <row r="26" spans="1:19" s="447" customFormat="1" ht="15.75" thickBot="1">
      <c r="A26" s="679" t="s">
        <v>824</v>
      </c>
      <c r="B26" s="791"/>
      <c r="C26" s="786">
        <f>SUM(C24:C25)</f>
        <v>8237.9582121889107</v>
      </c>
      <c r="D26" s="786">
        <f t="shared" ref="D26:R26" si="2">SUM(D24:D25)</f>
        <v>238948.7142857142</v>
      </c>
      <c r="E26" s="786">
        <f t="shared" si="2"/>
        <v>34153.082729907852</v>
      </c>
      <c r="F26" s="786">
        <f t="shared" si="2"/>
        <v>200.75434393196386</v>
      </c>
      <c r="G26" s="786">
        <f t="shared" si="2"/>
        <v>16843.380128322686</v>
      </c>
      <c r="H26" s="786">
        <f t="shared" si="2"/>
        <v>0</v>
      </c>
      <c r="I26" s="786">
        <f t="shared" si="2"/>
        <v>0</v>
      </c>
      <c r="J26" s="786">
        <f t="shared" si="2"/>
        <v>0</v>
      </c>
      <c r="K26" s="786">
        <f t="shared" si="2"/>
        <v>989.51925301849076</v>
      </c>
      <c r="L26" s="786">
        <f t="shared" si="2"/>
        <v>0</v>
      </c>
      <c r="M26" s="786">
        <f t="shared" si="2"/>
        <v>0</v>
      </c>
      <c r="N26" s="786">
        <f t="shared" si="2"/>
        <v>0</v>
      </c>
      <c r="O26" s="786">
        <f t="shared" si="2"/>
        <v>0</v>
      </c>
      <c r="P26" s="786">
        <f t="shared" si="2"/>
        <v>0</v>
      </c>
      <c r="Q26" s="786">
        <f t="shared" si="2"/>
        <v>0</v>
      </c>
      <c r="R26" s="786">
        <f t="shared" si="2"/>
        <v>299373.40895308409</v>
      </c>
      <c r="S26" s="67"/>
    </row>
    <row r="27" spans="1:19" s="447" customFormat="1" ht="17.25" thickTop="1" thickBot="1">
      <c r="A27" s="680" t="s">
        <v>115</v>
      </c>
      <c r="B27" s="779"/>
      <c r="C27" s="681">
        <f ca="1">C22+C16+C26</f>
        <v>110290.01391884567</v>
      </c>
      <c r="D27" s="681">
        <f t="shared" ref="D27:R27" ca="1" si="3">D22+D16+D26</f>
        <v>247112.99999999991</v>
      </c>
      <c r="E27" s="681">
        <f t="shared" ca="1" si="3"/>
        <v>162975.15837367583</v>
      </c>
      <c r="F27" s="681">
        <f t="shared" si="3"/>
        <v>11405.307012322648</v>
      </c>
      <c r="G27" s="681">
        <f t="shared" ca="1" si="3"/>
        <v>52451.96783358838</v>
      </c>
      <c r="H27" s="681">
        <f t="shared" si="3"/>
        <v>63437.598538482853</v>
      </c>
      <c r="I27" s="681">
        <f t="shared" si="3"/>
        <v>14459.28953691208</v>
      </c>
      <c r="J27" s="681">
        <f t="shared" si="3"/>
        <v>0</v>
      </c>
      <c r="K27" s="681">
        <f t="shared" si="3"/>
        <v>998.28347417394946</v>
      </c>
      <c r="L27" s="681">
        <f t="shared" si="3"/>
        <v>0</v>
      </c>
      <c r="M27" s="681">
        <f t="shared" ca="1" si="3"/>
        <v>0</v>
      </c>
      <c r="N27" s="681">
        <f t="shared" si="3"/>
        <v>4128.2675615466287</v>
      </c>
      <c r="O27" s="681">
        <f t="shared" ca="1" si="3"/>
        <v>13178.884518753299</v>
      </c>
      <c r="P27" s="681">
        <f t="shared" si="3"/>
        <v>379.89000000000004</v>
      </c>
      <c r="Q27" s="681">
        <f t="shared" si="3"/>
        <v>1925.7333333333333</v>
      </c>
      <c r="R27" s="681">
        <f t="shared" ca="1" si="3"/>
        <v>682743.39410163462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13033.160706539706</v>
      </c>
      <c r="D40" s="979">
        <f ca="1">tertiair!C20</f>
        <v>1818.836411995793</v>
      </c>
      <c r="E40" s="979">
        <f ca="1">tertiair!D20</f>
        <v>7517.9924260487151</v>
      </c>
      <c r="F40" s="979">
        <f>tertiair!E20</f>
        <v>305.08529015808131</v>
      </c>
      <c r="G40" s="979">
        <f ca="1">tertiair!F20</f>
        <v>2645.8101911374411</v>
      </c>
      <c r="H40" s="979">
        <f>tertiair!G20</f>
        <v>0</v>
      </c>
      <c r="I40" s="979">
        <f>tertiair!H20</f>
        <v>0</v>
      </c>
      <c r="J40" s="979">
        <f>tertiair!I20</f>
        <v>0</v>
      </c>
      <c r="K40" s="979">
        <f>tertiair!J20</f>
        <v>1.984102077055571E-2</v>
      </c>
      <c r="L40" s="979">
        <f>tertiair!K20</f>
        <v>0</v>
      </c>
      <c r="M40" s="979">
        <f ca="1">tertiair!L20</f>
        <v>0</v>
      </c>
      <c r="N40" s="979">
        <f>tertiair!M20</f>
        <v>0</v>
      </c>
      <c r="O40" s="979">
        <f ca="1">tertiair!N20</f>
        <v>0</v>
      </c>
      <c r="P40" s="979">
        <f>tertiair!O20</f>
        <v>0</v>
      </c>
      <c r="Q40" s="748">
        <f>tertiair!P20</f>
        <v>0</v>
      </c>
      <c r="R40" s="824">
        <f t="shared" ca="1" si="4"/>
        <v>25320.904866900502</v>
      </c>
    </row>
    <row r="41" spans="1:18">
      <c r="A41" s="796" t="s">
        <v>224</v>
      </c>
      <c r="B41" s="803"/>
      <c r="C41" s="979">
        <f ca="1">huishoudens!B12</f>
        <v>7349.0737586451096</v>
      </c>
      <c r="D41" s="979">
        <f ca="1">huishoudens!C12</f>
        <v>0</v>
      </c>
      <c r="E41" s="979">
        <f>huishoudens!D12</f>
        <v>16959.059013418642</v>
      </c>
      <c r="F41" s="979">
        <f>huishoudens!E12</f>
        <v>2066.7696834660496</v>
      </c>
      <c r="G41" s="979">
        <f>huishoudens!F12</f>
        <v>6359.806248712357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32734.708704242159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1133.8684655369207</v>
      </c>
      <c r="D43" s="979">
        <f ca="1">industrie!C22</f>
        <v>0</v>
      </c>
      <c r="E43" s="979">
        <f>industrie!D22</f>
        <v>1527.7089924276911</v>
      </c>
      <c r="F43" s="979">
        <f>industrie!E22</f>
        <v>138.68421158943639</v>
      </c>
      <c r="G43" s="979">
        <f>industrie!F22</f>
        <v>501.87647745614385</v>
      </c>
      <c r="H43" s="979">
        <f>industrie!G22</f>
        <v>0</v>
      </c>
      <c r="I43" s="979">
        <f>industrie!H22</f>
        <v>0</v>
      </c>
      <c r="J43" s="979">
        <f>industrie!I22</f>
        <v>0</v>
      </c>
      <c r="K43" s="979">
        <f>industrie!J22</f>
        <v>3.0826932682618371</v>
      </c>
      <c r="L43" s="979">
        <f>industrie!K22</f>
        <v>0</v>
      </c>
      <c r="M43" s="979">
        <f>industrie!L22</f>
        <v>0</v>
      </c>
      <c r="N43" s="979">
        <f>industrie!M22</f>
        <v>0</v>
      </c>
      <c r="O43" s="979">
        <f>industrie!N22</f>
        <v>0</v>
      </c>
      <c r="P43" s="979">
        <f>industrie!O22</f>
        <v>0</v>
      </c>
      <c r="Q43" s="748">
        <f>industrie!P22</f>
        <v>0</v>
      </c>
      <c r="R43" s="823">
        <f t="shared" ca="1" si="4"/>
        <v>3305.2208402784536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21516.102930721736</v>
      </c>
      <c r="D46" s="706">
        <f t="shared" ref="D46:Q46" ca="1" si="5">SUM(D39:D45)</f>
        <v>1818.836411995793</v>
      </c>
      <c r="E46" s="706">
        <f t="shared" ca="1" si="5"/>
        <v>26004.760431895051</v>
      </c>
      <c r="F46" s="706">
        <f t="shared" si="5"/>
        <v>2510.5391852135676</v>
      </c>
      <c r="G46" s="706">
        <f t="shared" ca="1" si="5"/>
        <v>9507.4929173059427</v>
      </c>
      <c r="H46" s="706">
        <f t="shared" si="5"/>
        <v>0</v>
      </c>
      <c r="I46" s="706">
        <f t="shared" si="5"/>
        <v>0</v>
      </c>
      <c r="J46" s="706">
        <f t="shared" si="5"/>
        <v>0</v>
      </c>
      <c r="K46" s="706">
        <f t="shared" si="5"/>
        <v>3.1025342890323926</v>
      </c>
      <c r="L46" s="706">
        <f t="shared" si="5"/>
        <v>0</v>
      </c>
      <c r="M46" s="706">
        <f t="shared" ca="1" si="5"/>
        <v>0</v>
      </c>
      <c r="N46" s="706">
        <f t="shared" si="5"/>
        <v>0</v>
      </c>
      <c r="O46" s="706">
        <f t="shared" ca="1" si="5"/>
        <v>0</v>
      </c>
      <c r="P46" s="706">
        <f t="shared" si="5"/>
        <v>0</v>
      </c>
      <c r="Q46" s="706">
        <f t="shared" si="5"/>
        <v>0</v>
      </c>
      <c r="R46" s="706">
        <f ca="1">SUM(R39:R45)</f>
        <v>61360.834411421114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619.24959023222618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619.24959023222618</v>
      </c>
    </row>
    <row r="50" spans="1:18">
      <c r="A50" s="799" t="s">
        <v>306</v>
      </c>
      <c r="B50" s="809"/>
      <c r="C50" s="677">
        <f ca="1">transport!B18</f>
        <v>6.439280897524748</v>
      </c>
      <c r="D50" s="677">
        <f>transport!C18</f>
        <v>0</v>
      </c>
      <c r="E50" s="677">
        <f>transport!D18</f>
        <v>17.298848146078093</v>
      </c>
      <c r="F50" s="677">
        <f>transport!E18</f>
        <v>32.894270511117966</v>
      </c>
      <c r="G50" s="677">
        <f>transport!F18</f>
        <v>0</v>
      </c>
      <c r="H50" s="677">
        <f>transport!G18</f>
        <v>16318.589219542697</v>
      </c>
      <c r="I50" s="677">
        <f>transport!H18</f>
        <v>3600.363094691108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19975.584713788525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6.439280897524748</v>
      </c>
      <c r="D52" s="706">
        <f t="shared" ref="D52:Q52" ca="1" si="6">SUM(D48:D51)</f>
        <v>0</v>
      </c>
      <c r="E52" s="706">
        <f t="shared" si="6"/>
        <v>17.298848146078093</v>
      </c>
      <c r="F52" s="706">
        <f t="shared" si="6"/>
        <v>32.894270511117966</v>
      </c>
      <c r="G52" s="706">
        <f t="shared" si="6"/>
        <v>0</v>
      </c>
      <c r="H52" s="706">
        <f t="shared" si="6"/>
        <v>16937.838809774923</v>
      </c>
      <c r="I52" s="706">
        <f t="shared" si="6"/>
        <v>3600.363094691108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20594.834304020751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1440.4296236506655</v>
      </c>
      <c r="D54" s="677">
        <f ca="1">+landbouw!C12</f>
        <v>53232.902099685984</v>
      </c>
      <c r="E54" s="677">
        <f>+landbouw!D12</f>
        <v>6382.9771441373196</v>
      </c>
      <c r="F54" s="677">
        <f>+landbouw!E12</f>
        <v>45.571236072555799</v>
      </c>
      <c r="G54" s="677">
        <f>+landbouw!F12</f>
        <v>4497.182494262157</v>
      </c>
      <c r="H54" s="677">
        <f>+landbouw!G12</f>
        <v>0</v>
      </c>
      <c r="I54" s="677">
        <f>+landbouw!H12</f>
        <v>0</v>
      </c>
      <c r="J54" s="677">
        <f>+landbouw!I12</f>
        <v>0</v>
      </c>
      <c r="K54" s="677">
        <f>+landbouw!J12</f>
        <v>350.28981556854569</v>
      </c>
      <c r="L54" s="677">
        <f>+landbouw!K12</f>
        <v>0</v>
      </c>
      <c r="M54" s="677">
        <f>+landbouw!L12</f>
        <v>0</v>
      </c>
      <c r="N54" s="677">
        <f>+landbouw!M12</f>
        <v>0</v>
      </c>
      <c r="O54" s="677">
        <f>+landbouw!N12</f>
        <v>0</v>
      </c>
      <c r="P54" s="677">
        <f>+landbouw!O12</f>
        <v>0</v>
      </c>
      <c r="Q54" s="678">
        <f>+landbouw!P12</f>
        <v>0</v>
      </c>
      <c r="R54" s="705">
        <f ca="1">SUM(C54:Q54)</f>
        <v>65949.35241337723</v>
      </c>
    </row>
    <row r="55" spans="1:18" ht="15" thickBot="1">
      <c r="A55" s="799" t="s">
        <v>823</v>
      </c>
      <c r="B55" s="809"/>
      <c r="C55" s="677">
        <f ca="1">C25*'EF ele_warmte'!B12</f>
        <v>296.93668545177917</v>
      </c>
      <c r="D55" s="677"/>
      <c r="E55" s="677">
        <f>E25*EF_CO2_aardgas</f>
        <v>515.94556730406771</v>
      </c>
      <c r="F55" s="677"/>
      <c r="G55" s="677"/>
      <c r="H55" s="677"/>
      <c r="I55" s="677"/>
      <c r="J55" s="677"/>
      <c r="K55" s="677"/>
      <c r="L55" s="677"/>
      <c r="M55" s="677"/>
      <c r="N55" s="677"/>
      <c r="O55" s="677"/>
      <c r="P55" s="677"/>
      <c r="Q55" s="678"/>
      <c r="R55" s="705">
        <f ca="1">SUM(C55:Q55)</f>
        <v>812.88225275584682</v>
      </c>
    </row>
    <row r="56" spans="1:18" ht="15.75" thickBot="1">
      <c r="A56" s="797" t="s">
        <v>824</v>
      </c>
      <c r="B56" s="810"/>
      <c r="C56" s="706">
        <f ca="1">SUM(C54:C55)</f>
        <v>1737.3663091024446</v>
      </c>
      <c r="D56" s="706">
        <f t="shared" ref="D56:Q56" ca="1" si="7">SUM(D54:D55)</f>
        <v>53232.902099685984</v>
      </c>
      <c r="E56" s="706">
        <f t="shared" si="7"/>
        <v>6898.922711441387</v>
      </c>
      <c r="F56" s="706">
        <f t="shared" si="7"/>
        <v>45.571236072555799</v>
      </c>
      <c r="G56" s="706">
        <f t="shared" si="7"/>
        <v>4497.182494262157</v>
      </c>
      <c r="H56" s="706">
        <f t="shared" si="7"/>
        <v>0</v>
      </c>
      <c r="I56" s="706">
        <f t="shared" si="7"/>
        <v>0</v>
      </c>
      <c r="J56" s="706">
        <f t="shared" si="7"/>
        <v>0</v>
      </c>
      <c r="K56" s="706">
        <f t="shared" si="7"/>
        <v>350.28981556854569</v>
      </c>
      <c r="L56" s="706">
        <f t="shared" si="7"/>
        <v>0</v>
      </c>
      <c r="M56" s="706">
        <f t="shared" si="7"/>
        <v>0</v>
      </c>
      <c r="N56" s="706">
        <f t="shared" si="7"/>
        <v>0</v>
      </c>
      <c r="O56" s="706">
        <f t="shared" si="7"/>
        <v>0</v>
      </c>
      <c r="P56" s="706">
        <f t="shared" si="7"/>
        <v>0</v>
      </c>
      <c r="Q56" s="707">
        <f t="shared" si="7"/>
        <v>0</v>
      </c>
      <c r="R56" s="708">
        <f ca="1">SUM(R54:R55)</f>
        <v>66762.234666133081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23259.908520721707</v>
      </c>
      <c r="D61" s="714">
        <f t="shared" ref="D61:Q61" ca="1" si="8">D46+D52+D56</f>
        <v>55051.738511681775</v>
      </c>
      <c r="E61" s="714">
        <f t="shared" ca="1" si="8"/>
        <v>32920.981991482513</v>
      </c>
      <c r="F61" s="714">
        <f t="shared" si="8"/>
        <v>2589.0046917972413</v>
      </c>
      <c r="G61" s="714">
        <f t="shared" ca="1" si="8"/>
        <v>14004.6754115681</v>
      </c>
      <c r="H61" s="714">
        <f t="shared" si="8"/>
        <v>16937.838809774923</v>
      </c>
      <c r="I61" s="714">
        <f t="shared" si="8"/>
        <v>3600.363094691108</v>
      </c>
      <c r="J61" s="714">
        <f t="shared" si="8"/>
        <v>0</v>
      </c>
      <c r="K61" s="714">
        <f t="shared" si="8"/>
        <v>353.3923498575781</v>
      </c>
      <c r="L61" s="714">
        <f t="shared" si="8"/>
        <v>0</v>
      </c>
      <c r="M61" s="714">
        <f t="shared" ca="1" si="8"/>
        <v>0</v>
      </c>
      <c r="N61" s="714">
        <f t="shared" si="8"/>
        <v>0</v>
      </c>
      <c r="O61" s="714">
        <f t="shared" ca="1" si="8"/>
        <v>0</v>
      </c>
      <c r="P61" s="714">
        <f t="shared" si="8"/>
        <v>0</v>
      </c>
      <c r="Q61" s="714">
        <f t="shared" si="8"/>
        <v>0</v>
      </c>
      <c r="R61" s="714">
        <f ca="1">R46+R52+R56</f>
        <v>148717.90338157496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0.21089768415331753</v>
      </c>
      <c r="D63" s="755">
        <f t="shared" ca="1" si="9"/>
        <v>0.2227796130178574</v>
      </c>
      <c r="E63" s="990">
        <f t="shared" ca="1" si="9"/>
        <v>0.20199999999999996</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9967.9998653933035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12393.655498569624</v>
      </c>
      <c r="C76" s="724">
        <f>'lokale energieproductie'!B8*IFERROR(SUM(D76:H76)/SUM(D76:O76),0)</f>
        <v>164532.84450143037</v>
      </c>
      <c r="D76" s="1000">
        <f>'lokale energieproductie'!C8</f>
        <v>188723.88886277951</v>
      </c>
      <c r="E76" s="1001">
        <f>'lokale energieproductie'!D8</f>
        <v>0</v>
      </c>
      <c r="F76" s="1001">
        <f>'lokale energieproductie'!E8</f>
        <v>4844.1634918445116</v>
      </c>
      <c r="G76" s="1001">
        <f>'lokale energieproductie'!F8</f>
        <v>0</v>
      </c>
      <c r="H76" s="1001">
        <f>'lokale energieproductie'!G8</f>
        <v>0</v>
      </c>
      <c r="I76" s="1001">
        <f>'lokale energieproductie'!I8</f>
        <v>14532.490475533534</v>
      </c>
      <c r="J76" s="1001">
        <f>'lokale energieproductie'!J8</f>
        <v>48.280699254264235</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39415.617202603949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22361.655363962927</v>
      </c>
      <c r="C78" s="729">
        <f>SUM(C72:C77)</f>
        <v>164532.84450143037</v>
      </c>
      <c r="D78" s="730">
        <f t="shared" ref="D78:H78" si="10">SUM(D76:D77)</f>
        <v>188723.88886277951</v>
      </c>
      <c r="E78" s="730">
        <f t="shared" si="10"/>
        <v>0</v>
      </c>
      <c r="F78" s="730">
        <f t="shared" si="10"/>
        <v>4844.1634918445116</v>
      </c>
      <c r="G78" s="730">
        <f t="shared" si="10"/>
        <v>0</v>
      </c>
      <c r="H78" s="730">
        <f t="shared" si="10"/>
        <v>0</v>
      </c>
      <c r="I78" s="730">
        <f>SUM(I76:I77)</f>
        <v>14532.490475533534</v>
      </c>
      <c r="J78" s="730">
        <f>SUM(J76:J77)</f>
        <v>48.280699254264235</v>
      </c>
      <c r="K78" s="730">
        <f t="shared" ref="K78:L78" si="11">SUM(K76:K77)</f>
        <v>0</v>
      </c>
      <c r="L78" s="730">
        <f t="shared" si="11"/>
        <v>0</v>
      </c>
      <c r="M78" s="730">
        <f>SUM(M76:M77)</f>
        <v>0</v>
      </c>
      <c r="N78" s="730">
        <f>SUM(N76:N77)</f>
        <v>0</v>
      </c>
      <c r="O78" s="834">
        <f>SUM(O76:O77)</f>
        <v>0</v>
      </c>
      <c r="P78" s="731">
        <v>0</v>
      </c>
      <c r="Q78" s="731">
        <f>SUM(Q76:Q77)</f>
        <v>39415.617202603949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17310.201644287514</v>
      </c>
      <c r="C87" s="740">
        <f>'lokale energieproductie'!B17*IFERROR(SUM(D87:H87)/SUM(D87:O87),0)</f>
        <v>229802.79835571238</v>
      </c>
      <c r="D87" s="751">
        <f>'lokale energieproductie'!C17</f>
        <v>263590.3968515062</v>
      </c>
      <c r="E87" s="751">
        <f>'lokale energieproductie'!D17</f>
        <v>0</v>
      </c>
      <c r="F87" s="751">
        <f>'lokale energieproductie'!E17</f>
        <v>6765.8365081554903</v>
      </c>
      <c r="G87" s="751">
        <f>'lokale energieproductie'!F17</f>
        <v>0</v>
      </c>
      <c r="H87" s="751">
        <f>'lokale energieproductie'!G17</f>
        <v>0</v>
      </c>
      <c r="I87" s="751">
        <f>'lokale energieproductie'!I17</f>
        <v>20297.50952446647</v>
      </c>
      <c r="J87" s="751">
        <f>'lokale energieproductie'!J17</f>
        <v>67.433586460021502</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55051.738511681775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17310.201644287514</v>
      </c>
      <c r="C90" s="729">
        <f>SUM(C87:C89)</f>
        <v>229802.79835571238</v>
      </c>
      <c r="D90" s="729">
        <f t="shared" ref="D90:H90" si="12">SUM(D87:D89)</f>
        <v>263590.3968515062</v>
      </c>
      <c r="E90" s="729">
        <f t="shared" si="12"/>
        <v>0</v>
      </c>
      <c r="F90" s="729">
        <f t="shared" si="12"/>
        <v>6765.8365081554903</v>
      </c>
      <c r="G90" s="729">
        <f t="shared" si="12"/>
        <v>0</v>
      </c>
      <c r="H90" s="729">
        <f t="shared" si="12"/>
        <v>0</v>
      </c>
      <c r="I90" s="729">
        <f>SUM(I87:I89)</f>
        <v>20297.50952446647</v>
      </c>
      <c r="J90" s="729">
        <f>SUM(J87:J89)</f>
        <v>67.433586460021502</v>
      </c>
      <c r="K90" s="729">
        <f t="shared" ref="K90:L90" si="13">SUM(K87:K89)</f>
        <v>0</v>
      </c>
      <c r="L90" s="729">
        <f t="shared" si="13"/>
        <v>0</v>
      </c>
      <c r="M90" s="729">
        <f>SUM(M87:M89)</f>
        <v>0</v>
      </c>
      <c r="N90" s="729">
        <f>SUM(N87:N89)</f>
        <v>0</v>
      </c>
      <c r="O90" s="729">
        <f>SUM(O87:O89)</f>
        <v>0</v>
      </c>
      <c r="P90" s="729">
        <v>0</v>
      </c>
      <c r="Q90" s="729">
        <f>SUM(Q87:Q89)</f>
        <v>55051.738511681775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78"/>
  <sheetViews>
    <sheetView showGridLines="0" topLeftCell="A316" zoomScaleNormal="100" workbookViewId="0">
      <selection activeCell="M55" sqref="M55"/>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9967.9998653933035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N56</f>
        <v>176926.5</v>
      </c>
      <c r="C8" s="544">
        <f>B75</f>
        <v>188723.88886277951</v>
      </c>
      <c r="D8" s="1010"/>
      <c r="E8" s="1010">
        <f>E75</f>
        <v>4844.1634918445116</v>
      </c>
      <c r="F8" s="1011"/>
      <c r="G8" s="545"/>
      <c r="H8" s="1010">
        <f>I75</f>
        <v>0</v>
      </c>
      <c r="I8" s="1010">
        <f>G75+F75</f>
        <v>14532.490475533534</v>
      </c>
      <c r="J8" s="1010">
        <f>H75+D75+C75</f>
        <v>48.280699254264235</v>
      </c>
      <c r="K8" s="1010"/>
      <c r="L8" s="1010"/>
      <c r="M8" s="1010"/>
      <c r="N8" s="546"/>
      <c r="O8" s="547">
        <f>C8*$C$12+D8*$D$12+E8*$E$12+F8*$F$12+G8*$G$12+H8*$H$12+I8*$I$12+J8*$J$12</f>
        <v>39415.617202603949</v>
      </c>
      <c r="P8" s="1250"/>
      <c r="Q8" s="1251"/>
      <c r="S8" s="973"/>
      <c r="T8" s="1225"/>
      <c r="U8" s="1225"/>
    </row>
    <row r="9" spans="1:21" s="533" customFormat="1" ht="17.45" customHeight="1" thickBot="1">
      <c r="A9" s="548" t="s">
        <v>247</v>
      </c>
      <c r="B9" s="549">
        <f>N63+'Eigen informatie GS &amp; warmtenet'!B12</f>
        <v>0</v>
      </c>
      <c r="C9" s="550">
        <f>P63+IF(ISERROR(('Eigen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S63+IF(ISERROR('Eigen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W63+IF(ISERROR('Eigen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(T63+U63)+IF(ISERROR('Eigen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V63+Q63+R63+IF(ISERROR('Eigen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186894.4998653933</v>
      </c>
      <c r="C10" s="557">
        <f t="shared" ref="C10:L10" si="0">SUM(C8:C9)</f>
        <v>188723.88886277951</v>
      </c>
      <c r="D10" s="557">
        <f t="shared" si="0"/>
        <v>0</v>
      </c>
      <c r="E10" s="557">
        <f t="shared" si="0"/>
        <v>4844.1634918445116</v>
      </c>
      <c r="F10" s="557">
        <f t="shared" si="0"/>
        <v>0</v>
      </c>
      <c r="G10" s="557">
        <f t="shared" si="0"/>
        <v>0</v>
      </c>
      <c r="H10" s="557">
        <f t="shared" si="0"/>
        <v>0</v>
      </c>
      <c r="I10" s="557">
        <f t="shared" si="0"/>
        <v>14532.490475533534</v>
      </c>
      <c r="J10" s="557">
        <f t="shared" si="0"/>
        <v>48.280699254264235</v>
      </c>
      <c r="K10" s="557">
        <f t="shared" si="0"/>
        <v>0</v>
      </c>
      <c r="L10" s="557">
        <f t="shared" si="0"/>
        <v>0</v>
      </c>
      <c r="M10" s="1013"/>
      <c r="N10" s="1013"/>
      <c r="O10" s="558">
        <f>SUM(O4:O9)</f>
        <v>39415.617202603949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O56</f>
        <v>247112.99999999991</v>
      </c>
      <c r="C17" s="569">
        <f>B76</f>
        <v>263590.3968515062</v>
      </c>
      <c r="D17" s="570"/>
      <c r="E17" s="570">
        <f>E76</f>
        <v>6765.8365081554903</v>
      </c>
      <c r="F17" s="1016"/>
      <c r="G17" s="571"/>
      <c r="H17" s="569">
        <f>I76</f>
        <v>0</v>
      </c>
      <c r="I17" s="570">
        <f>G76+F76</f>
        <v>20297.50952446647</v>
      </c>
      <c r="J17" s="570">
        <f>H76+D76+C76</f>
        <v>67.433586460021502</v>
      </c>
      <c r="K17" s="570"/>
      <c r="L17" s="570"/>
      <c r="M17" s="570"/>
      <c r="N17" s="1017"/>
      <c r="O17" s="572">
        <f>C17*$C$22+E17*$E$22+H17*$H$22+I17*$I$22+J17*$J$22+D17*$D$22+F17*$F$22+G17*$G$22+K17*$K$22+L17*$L$22</f>
        <v>55051.738511681775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247112.99999999991</v>
      </c>
      <c r="C20" s="556">
        <f>SUM(C17:C19)</f>
        <v>263590.3968515062</v>
      </c>
      <c r="D20" s="556">
        <f t="shared" ref="D20:L20" si="1">SUM(D17:D19)</f>
        <v>0</v>
      </c>
      <c r="E20" s="556">
        <f t="shared" si="1"/>
        <v>6765.8365081554903</v>
      </c>
      <c r="F20" s="556">
        <f t="shared" si="1"/>
        <v>0</v>
      </c>
      <c r="G20" s="556">
        <f t="shared" si="1"/>
        <v>0</v>
      </c>
      <c r="H20" s="556">
        <f t="shared" si="1"/>
        <v>0</v>
      </c>
      <c r="I20" s="556">
        <f t="shared" si="1"/>
        <v>20297.50952446647</v>
      </c>
      <c r="J20" s="556">
        <f t="shared" si="1"/>
        <v>67.433586460021502</v>
      </c>
      <c r="K20" s="556">
        <f t="shared" si="1"/>
        <v>0</v>
      </c>
      <c r="L20" s="556">
        <f t="shared" si="1"/>
        <v>0</v>
      </c>
      <c r="M20" s="556"/>
      <c r="N20" s="556"/>
      <c r="O20" s="575">
        <f>SUM(O17:O19)</f>
        <v>55051.738511681775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12035</v>
      </c>
      <c r="C28" s="770">
        <v>2860</v>
      </c>
      <c r="D28" s="627" t="s">
        <v>887</v>
      </c>
      <c r="E28" s="626" t="s">
        <v>888</v>
      </c>
      <c r="F28" s="626" t="s">
        <v>889</v>
      </c>
      <c r="G28" s="626" t="s">
        <v>890</v>
      </c>
      <c r="H28" s="626" t="s">
        <v>891</v>
      </c>
      <c r="I28" s="626" t="s">
        <v>888</v>
      </c>
      <c r="J28" s="769">
        <v>40568</v>
      </c>
      <c r="K28" s="769">
        <v>39203</v>
      </c>
      <c r="L28" s="626" t="s">
        <v>892</v>
      </c>
      <c r="M28" s="626">
        <v>1129</v>
      </c>
      <c r="N28" s="626">
        <v>5080.5</v>
      </c>
      <c r="O28" s="626">
        <v>5715.5625</v>
      </c>
      <c r="P28" s="626">
        <v>0</v>
      </c>
      <c r="Q28" s="626">
        <v>0</v>
      </c>
      <c r="R28" s="626">
        <v>0</v>
      </c>
      <c r="S28" s="626">
        <v>3175.3125</v>
      </c>
      <c r="T28" s="626">
        <v>9525.9375</v>
      </c>
      <c r="U28" s="626">
        <v>0</v>
      </c>
      <c r="V28" s="626">
        <v>0</v>
      </c>
      <c r="W28" s="626">
        <v>0</v>
      </c>
      <c r="X28" s="626">
        <v>10</v>
      </c>
      <c r="Y28" s="626" t="s">
        <v>111</v>
      </c>
      <c r="Z28" s="628" t="s">
        <v>111</v>
      </c>
    </row>
    <row r="29" spans="1:26" s="580" customFormat="1" ht="25.5">
      <c r="A29" s="579"/>
      <c r="B29" s="770">
        <v>12035</v>
      </c>
      <c r="C29" s="770">
        <v>2861</v>
      </c>
      <c r="D29" s="627" t="s">
        <v>893</v>
      </c>
      <c r="E29" s="626" t="s">
        <v>894</v>
      </c>
      <c r="F29" s="626" t="s">
        <v>895</v>
      </c>
      <c r="G29" s="626" t="s">
        <v>890</v>
      </c>
      <c r="H29" s="626" t="s">
        <v>896</v>
      </c>
      <c r="I29" s="626" t="s">
        <v>894</v>
      </c>
      <c r="J29" s="769">
        <v>40570</v>
      </c>
      <c r="K29" s="769">
        <v>39247</v>
      </c>
      <c r="L29" s="626" t="s">
        <v>892</v>
      </c>
      <c r="M29" s="626">
        <v>1752</v>
      </c>
      <c r="N29" s="626">
        <v>7884</v>
      </c>
      <c r="O29" s="626">
        <v>11262.857142857143</v>
      </c>
      <c r="P29" s="626">
        <v>22525.714285714286</v>
      </c>
      <c r="Q29" s="626">
        <v>0</v>
      </c>
      <c r="R29" s="626">
        <v>0</v>
      </c>
      <c r="S29" s="626">
        <v>0</v>
      </c>
      <c r="T29" s="626">
        <v>0</v>
      </c>
      <c r="U29" s="626">
        <v>0</v>
      </c>
      <c r="V29" s="626">
        <v>0</v>
      </c>
      <c r="W29" s="626">
        <v>0</v>
      </c>
      <c r="X29" s="626">
        <v>10</v>
      </c>
      <c r="Y29" s="626" t="s">
        <v>111</v>
      </c>
      <c r="Z29" s="628" t="s">
        <v>111</v>
      </c>
    </row>
    <row r="30" spans="1:26" s="580" customFormat="1" ht="25.5">
      <c r="A30" s="579"/>
      <c r="B30" s="770">
        <v>12035</v>
      </c>
      <c r="C30" s="770">
        <v>2861</v>
      </c>
      <c r="D30" s="627" t="s">
        <v>897</v>
      </c>
      <c r="E30" s="626" t="s">
        <v>898</v>
      </c>
      <c r="F30" s="626" t="s">
        <v>899</v>
      </c>
      <c r="G30" s="626" t="s">
        <v>890</v>
      </c>
      <c r="H30" s="626" t="s">
        <v>896</v>
      </c>
      <c r="I30" s="626" t="s">
        <v>898</v>
      </c>
      <c r="J30" s="769">
        <v>39263</v>
      </c>
      <c r="K30" s="769">
        <v>39261</v>
      </c>
      <c r="L30" s="626" t="s">
        <v>892</v>
      </c>
      <c r="M30" s="626">
        <v>1984</v>
      </c>
      <c r="N30" s="626">
        <v>8928</v>
      </c>
      <c r="O30" s="626">
        <v>12754.285714285714</v>
      </c>
      <c r="P30" s="626">
        <v>25508.571428571431</v>
      </c>
      <c r="Q30" s="626">
        <v>0</v>
      </c>
      <c r="R30" s="626">
        <v>0</v>
      </c>
      <c r="S30" s="626">
        <v>0</v>
      </c>
      <c r="T30" s="626">
        <v>0</v>
      </c>
      <c r="U30" s="626">
        <v>0</v>
      </c>
      <c r="V30" s="626">
        <v>0</v>
      </c>
      <c r="W30" s="626">
        <v>0</v>
      </c>
      <c r="X30" s="626">
        <v>10</v>
      </c>
      <c r="Y30" s="626" t="s">
        <v>111</v>
      </c>
      <c r="Z30" s="628" t="s">
        <v>111</v>
      </c>
    </row>
    <row r="31" spans="1:26" s="580" customFormat="1" ht="25.5">
      <c r="A31" s="579"/>
      <c r="B31" s="770">
        <v>12035</v>
      </c>
      <c r="C31" s="770">
        <v>2861</v>
      </c>
      <c r="D31" s="627" t="s">
        <v>900</v>
      </c>
      <c r="E31" s="626" t="s">
        <v>901</v>
      </c>
      <c r="F31" s="626" t="s">
        <v>902</v>
      </c>
      <c r="G31" s="626" t="s">
        <v>890</v>
      </c>
      <c r="H31" s="626" t="s">
        <v>896</v>
      </c>
      <c r="I31" s="626" t="s">
        <v>901</v>
      </c>
      <c r="J31" s="769">
        <v>39322</v>
      </c>
      <c r="K31" s="769">
        <v>39352</v>
      </c>
      <c r="L31" s="626" t="s">
        <v>892</v>
      </c>
      <c r="M31" s="626">
        <v>1564</v>
      </c>
      <c r="N31" s="626">
        <v>7038</v>
      </c>
      <c r="O31" s="626">
        <v>10054.285714285714</v>
      </c>
      <c r="P31" s="626">
        <v>20108.571428571431</v>
      </c>
      <c r="Q31" s="626">
        <v>0</v>
      </c>
      <c r="R31" s="626">
        <v>0</v>
      </c>
      <c r="S31" s="626">
        <v>0</v>
      </c>
      <c r="T31" s="626">
        <v>0</v>
      </c>
      <c r="U31" s="626">
        <v>0</v>
      </c>
      <c r="V31" s="626">
        <v>0</v>
      </c>
      <c r="W31" s="626">
        <v>0</v>
      </c>
      <c r="X31" s="626">
        <v>10</v>
      </c>
      <c r="Y31" s="626" t="s">
        <v>111</v>
      </c>
      <c r="Z31" s="628" t="s">
        <v>111</v>
      </c>
    </row>
    <row r="32" spans="1:26" s="580" customFormat="1" ht="38.25">
      <c r="A32" s="579"/>
      <c r="B32" s="770">
        <v>12035</v>
      </c>
      <c r="C32" s="770">
        <v>2861</v>
      </c>
      <c r="D32" s="627" t="s">
        <v>903</v>
      </c>
      <c r="E32" s="626" t="s">
        <v>904</v>
      </c>
      <c r="F32" s="626" t="s">
        <v>905</v>
      </c>
      <c r="G32" s="626" t="s">
        <v>890</v>
      </c>
      <c r="H32" s="626" t="s">
        <v>896</v>
      </c>
      <c r="I32" s="626" t="s">
        <v>904</v>
      </c>
      <c r="J32" s="769">
        <v>40921</v>
      </c>
      <c r="K32" s="769">
        <v>39455</v>
      </c>
      <c r="L32" s="626" t="s">
        <v>892</v>
      </c>
      <c r="M32" s="626">
        <v>2566</v>
      </c>
      <c r="N32" s="626">
        <v>11547</v>
      </c>
      <c r="O32" s="626">
        <v>16495.714285714286</v>
      </c>
      <c r="P32" s="626">
        <v>32991.428571428572</v>
      </c>
      <c r="Q32" s="626">
        <v>0</v>
      </c>
      <c r="R32" s="626">
        <v>0</v>
      </c>
      <c r="S32" s="626">
        <v>0</v>
      </c>
      <c r="T32" s="626">
        <v>0</v>
      </c>
      <c r="U32" s="626">
        <v>0</v>
      </c>
      <c r="V32" s="626">
        <v>0</v>
      </c>
      <c r="W32" s="626">
        <v>0</v>
      </c>
      <c r="X32" s="626">
        <v>10</v>
      </c>
      <c r="Y32" s="626" t="s">
        <v>111</v>
      </c>
      <c r="Z32" s="628" t="s">
        <v>111</v>
      </c>
    </row>
    <row r="33" spans="1:26" s="580" customFormat="1" ht="25.5">
      <c r="A33" s="579"/>
      <c r="B33" s="770">
        <v>12035</v>
      </c>
      <c r="C33" s="770">
        <v>2861</v>
      </c>
      <c r="D33" s="627" t="s">
        <v>906</v>
      </c>
      <c r="E33" s="626" t="s">
        <v>907</v>
      </c>
      <c r="F33" s="626" t="s">
        <v>908</v>
      </c>
      <c r="G33" s="626" t="s">
        <v>890</v>
      </c>
      <c r="H33" s="626" t="s">
        <v>896</v>
      </c>
      <c r="I33" s="626" t="s">
        <v>907</v>
      </c>
      <c r="J33" s="769">
        <v>39462</v>
      </c>
      <c r="K33" s="769">
        <v>39471</v>
      </c>
      <c r="L33" s="626" t="s">
        <v>892</v>
      </c>
      <c r="M33" s="626">
        <v>1006</v>
      </c>
      <c r="N33" s="626">
        <v>4527</v>
      </c>
      <c r="O33" s="626">
        <v>6467.1428571428569</v>
      </c>
      <c r="P33" s="626">
        <v>12934.285714285716</v>
      </c>
      <c r="Q33" s="626">
        <v>0</v>
      </c>
      <c r="R33" s="626">
        <v>0</v>
      </c>
      <c r="S33" s="626">
        <v>0</v>
      </c>
      <c r="T33" s="626">
        <v>0</v>
      </c>
      <c r="U33" s="626">
        <v>0</v>
      </c>
      <c r="V33" s="626">
        <v>0</v>
      </c>
      <c r="W33" s="626">
        <v>0</v>
      </c>
      <c r="X33" s="626">
        <v>10</v>
      </c>
      <c r="Y33" s="626" t="s">
        <v>111</v>
      </c>
      <c r="Z33" s="628" t="s">
        <v>111</v>
      </c>
    </row>
    <row r="34" spans="1:26" s="580" customFormat="1" ht="25.5">
      <c r="A34" s="579"/>
      <c r="B34" s="770">
        <v>12035</v>
      </c>
      <c r="C34" s="770">
        <v>2860</v>
      </c>
      <c r="D34" s="627" t="s">
        <v>909</v>
      </c>
      <c r="E34" s="626" t="s">
        <v>910</v>
      </c>
      <c r="F34" s="626" t="s">
        <v>911</v>
      </c>
      <c r="G34" s="626" t="s">
        <v>890</v>
      </c>
      <c r="H34" s="626" t="s">
        <v>896</v>
      </c>
      <c r="I34" s="626" t="s">
        <v>910</v>
      </c>
      <c r="J34" s="769">
        <v>39653</v>
      </c>
      <c r="K34" s="769">
        <v>39688</v>
      </c>
      <c r="L34" s="626" t="s">
        <v>892</v>
      </c>
      <c r="M34" s="626">
        <v>1158</v>
      </c>
      <c r="N34" s="626">
        <v>5211</v>
      </c>
      <c r="O34" s="626">
        <v>7444.2857142857147</v>
      </c>
      <c r="P34" s="626">
        <v>14888.571428571429</v>
      </c>
      <c r="Q34" s="626">
        <v>0</v>
      </c>
      <c r="R34" s="626">
        <v>0</v>
      </c>
      <c r="S34" s="626">
        <v>0</v>
      </c>
      <c r="T34" s="626">
        <v>0</v>
      </c>
      <c r="U34" s="626">
        <v>0</v>
      </c>
      <c r="V34" s="626">
        <v>0</v>
      </c>
      <c r="W34" s="626">
        <v>0</v>
      </c>
      <c r="X34" s="626">
        <v>10</v>
      </c>
      <c r="Y34" s="626" t="s">
        <v>111</v>
      </c>
      <c r="Z34" s="628" t="s">
        <v>111</v>
      </c>
    </row>
    <row r="35" spans="1:26" s="580" customFormat="1" ht="38.25">
      <c r="A35" s="579"/>
      <c r="B35" s="770">
        <v>12035</v>
      </c>
      <c r="C35" s="770">
        <v>2861</v>
      </c>
      <c r="D35" s="627" t="s">
        <v>912</v>
      </c>
      <c r="E35" s="626" t="s">
        <v>913</v>
      </c>
      <c r="F35" s="626" t="s">
        <v>914</v>
      </c>
      <c r="G35" s="626" t="s">
        <v>890</v>
      </c>
      <c r="H35" s="626" t="s">
        <v>896</v>
      </c>
      <c r="I35" s="626" t="s">
        <v>913</v>
      </c>
      <c r="J35" s="769">
        <v>39805</v>
      </c>
      <c r="K35" s="769">
        <v>39805</v>
      </c>
      <c r="L35" s="626" t="s">
        <v>892</v>
      </c>
      <c r="M35" s="626">
        <v>2014</v>
      </c>
      <c r="N35" s="626">
        <v>9062.9999999999982</v>
      </c>
      <c r="O35" s="626">
        <v>12947.142857142855</v>
      </c>
      <c r="P35" s="626">
        <v>25894.28571428571</v>
      </c>
      <c r="Q35" s="626">
        <v>0</v>
      </c>
      <c r="R35" s="626">
        <v>0</v>
      </c>
      <c r="S35" s="626">
        <v>0</v>
      </c>
      <c r="T35" s="626">
        <v>0</v>
      </c>
      <c r="U35" s="626">
        <v>0</v>
      </c>
      <c r="V35" s="626">
        <v>0</v>
      </c>
      <c r="W35" s="626">
        <v>0</v>
      </c>
      <c r="X35" s="626">
        <v>10</v>
      </c>
      <c r="Y35" s="626" t="s">
        <v>111</v>
      </c>
      <c r="Z35" s="628" t="s">
        <v>111</v>
      </c>
    </row>
    <row r="36" spans="1:26" s="580" customFormat="1" ht="38.25">
      <c r="A36" s="579"/>
      <c r="B36" s="770">
        <v>12035</v>
      </c>
      <c r="C36" s="770">
        <v>2860</v>
      </c>
      <c r="D36" s="627" t="s">
        <v>915</v>
      </c>
      <c r="E36" s="626" t="s">
        <v>916</v>
      </c>
      <c r="F36" s="626" t="s">
        <v>917</v>
      </c>
      <c r="G36" s="626" t="s">
        <v>890</v>
      </c>
      <c r="H36" s="626" t="s">
        <v>891</v>
      </c>
      <c r="I36" s="626" t="s">
        <v>916</v>
      </c>
      <c r="J36" s="769">
        <v>39834</v>
      </c>
      <c r="K36" s="769">
        <v>39834</v>
      </c>
      <c r="L36" s="626" t="s">
        <v>918</v>
      </c>
      <c r="M36" s="626">
        <v>773</v>
      </c>
      <c r="N36" s="626">
        <v>3478.5</v>
      </c>
      <c r="O36" s="626">
        <v>3913.3125</v>
      </c>
      <c r="P36" s="626">
        <v>0</v>
      </c>
      <c r="Q36" s="626">
        <v>0</v>
      </c>
      <c r="R36" s="626">
        <v>0</v>
      </c>
      <c r="S36" s="626">
        <v>2174.0625</v>
      </c>
      <c r="T36" s="626">
        <v>6522.1875</v>
      </c>
      <c r="U36" s="626">
        <v>0</v>
      </c>
      <c r="V36" s="626">
        <v>0</v>
      </c>
      <c r="W36" s="626">
        <v>0</v>
      </c>
      <c r="X36" s="626">
        <v>10</v>
      </c>
      <c r="Y36" s="626" t="s">
        <v>111</v>
      </c>
      <c r="Z36" s="628" t="s">
        <v>111</v>
      </c>
    </row>
    <row r="37" spans="1:26" s="580" customFormat="1" ht="25.5">
      <c r="A37" s="579"/>
      <c r="B37" s="770">
        <v>12035</v>
      </c>
      <c r="C37" s="770">
        <v>2861</v>
      </c>
      <c r="D37" s="627" t="s">
        <v>919</v>
      </c>
      <c r="E37" s="626" t="s">
        <v>920</v>
      </c>
      <c r="F37" s="626" t="s">
        <v>921</v>
      </c>
      <c r="G37" s="626" t="s">
        <v>890</v>
      </c>
      <c r="H37" s="626" t="s">
        <v>896</v>
      </c>
      <c r="I37" s="626" t="s">
        <v>922</v>
      </c>
      <c r="J37" s="769">
        <v>39910</v>
      </c>
      <c r="K37" s="769">
        <v>39910</v>
      </c>
      <c r="L37" s="626" t="s">
        <v>892</v>
      </c>
      <c r="M37" s="626">
        <v>1400</v>
      </c>
      <c r="N37" s="626">
        <v>6300</v>
      </c>
      <c r="O37" s="626">
        <v>9000</v>
      </c>
      <c r="P37" s="626">
        <v>18000</v>
      </c>
      <c r="Q37" s="626">
        <v>0</v>
      </c>
      <c r="R37" s="626">
        <v>0</v>
      </c>
      <c r="S37" s="626">
        <v>0</v>
      </c>
      <c r="T37" s="626">
        <v>0</v>
      </c>
      <c r="U37" s="626">
        <v>0</v>
      </c>
      <c r="V37" s="626">
        <v>0</v>
      </c>
      <c r="W37" s="626">
        <v>0</v>
      </c>
      <c r="X37" s="626">
        <v>10</v>
      </c>
      <c r="Y37" s="626" t="s">
        <v>111</v>
      </c>
      <c r="Z37" s="628" t="s">
        <v>111</v>
      </c>
    </row>
    <row r="38" spans="1:26" s="580" customFormat="1" ht="25.5">
      <c r="A38" s="579"/>
      <c r="B38" s="770">
        <v>12035</v>
      </c>
      <c r="C38" s="770">
        <v>2861</v>
      </c>
      <c r="D38" s="627" t="s">
        <v>923</v>
      </c>
      <c r="E38" s="626" t="s">
        <v>924</v>
      </c>
      <c r="F38" s="626" t="s">
        <v>925</v>
      </c>
      <c r="G38" s="626" t="s">
        <v>890</v>
      </c>
      <c r="H38" s="626" t="s">
        <v>896</v>
      </c>
      <c r="I38" s="626" t="s">
        <v>924</v>
      </c>
      <c r="J38" s="769">
        <v>40006</v>
      </c>
      <c r="K38" s="769">
        <v>40007</v>
      </c>
      <c r="L38" s="626" t="s">
        <v>892</v>
      </c>
      <c r="M38" s="626">
        <v>1562</v>
      </c>
      <c r="N38" s="626">
        <v>7029</v>
      </c>
      <c r="O38" s="626">
        <v>10041.428571428572</v>
      </c>
      <c r="P38" s="626">
        <v>20082.857142857145</v>
      </c>
      <c r="Q38" s="626">
        <v>0</v>
      </c>
      <c r="R38" s="626">
        <v>0</v>
      </c>
      <c r="S38" s="626">
        <v>0</v>
      </c>
      <c r="T38" s="626">
        <v>0</v>
      </c>
      <c r="U38" s="626">
        <v>0</v>
      </c>
      <c r="V38" s="626">
        <v>0</v>
      </c>
      <c r="W38" s="626">
        <v>0</v>
      </c>
      <c r="X38" s="626">
        <v>10</v>
      </c>
      <c r="Y38" s="626" t="s">
        <v>111</v>
      </c>
      <c r="Z38" s="628" t="s">
        <v>111</v>
      </c>
    </row>
    <row r="39" spans="1:26" s="580" customFormat="1" ht="25.5">
      <c r="A39" s="579"/>
      <c r="B39" s="770">
        <v>12035</v>
      </c>
      <c r="C39" s="770">
        <v>2860</v>
      </c>
      <c r="D39" s="627" t="s">
        <v>926</v>
      </c>
      <c r="E39" s="626" t="s">
        <v>927</v>
      </c>
      <c r="F39" s="626" t="s">
        <v>928</v>
      </c>
      <c r="G39" s="626" t="s">
        <v>890</v>
      </c>
      <c r="H39" s="626" t="s">
        <v>896</v>
      </c>
      <c r="I39" s="626" t="s">
        <v>927</v>
      </c>
      <c r="J39" s="769">
        <v>40058</v>
      </c>
      <c r="K39" s="769">
        <v>40058</v>
      </c>
      <c r="L39" s="626" t="s">
        <v>892</v>
      </c>
      <c r="M39" s="626">
        <v>2014</v>
      </c>
      <c r="N39" s="626">
        <v>9062.9999999999982</v>
      </c>
      <c r="O39" s="626">
        <v>12947.142857142855</v>
      </c>
      <c r="P39" s="626">
        <v>25894.28571428571</v>
      </c>
      <c r="Q39" s="626">
        <v>0</v>
      </c>
      <c r="R39" s="626">
        <v>0</v>
      </c>
      <c r="S39" s="626">
        <v>0</v>
      </c>
      <c r="T39" s="626">
        <v>0</v>
      </c>
      <c r="U39" s="626">
        <v>0</v>
      </c>
      <c r="V39" s="626">
        <v>0</v>
      </c>
      <c r="W39" s="626">
        <v>0</v>
      </c>
      <c r="X39" s="626">
        <v>10</v>
      </c>
      <c r="Y39" s="626" t="s">
        <v>111</v>
      </c>
      <c r="Z39" s="628" t="s">
        <v>111</v>
      </c>
    </row>
    <row r="40" spans="1:26" s="580" customFormat="1" ht="25.5">
      <c r="A40" s="579"/>
      <c r="B40" s="770">
        <v>12035</v>
      </c>
      <c r="C40" s="770">
        <v>2861</v>
      </c>
      <c r="D40" s="627" t="s">
        <v>929</v>
      </c>
      <c r="E40" s="626" t="s">
        <v>930</v>
      </c>
      <c r="F40" s="626" t="s">
        <v>931</v>
      </c>
      <c r="G40" s="626" t="s">
        <v>890</v>
      </c>
      <c r="H40" s="626" t="s">
        <v>896</v>
      </c>
      <c r="I40" s="626" t="s">
        <v>930</v>
      </c>
      <c r="J40" s="769">
        <v>40108</v>
      </c>
      <c r="K40" s="769">
        <v>40112</v>
      </c>
      <c r="L40" s="626" t="s">
        <v>892</v>
      </c>
      <c r="M40" s="626">
        <v>2014</v>
      </c>
      <c r="N40" s="626">
        <v>9062.9999999999982</v>
      </c>
      <c r="O40" s="626">
        <v>12947.142857142855</v>
      </c>
      <c r="P40" s="626">
        <v>25894.28571428571</v>
      </c>
      <c r="Q40" s="626">
        <v>0</v>
      </c>
      <c r="R40" s="626">
        <v>0</v>
      </c>
      <c r="S40" s="626">
        <v>0</v>
      </c>
      <c r="T40" s="626">
        <v>0</v>
      </c>
      <c r="U40" s="626">
        <v>0</v>
      </c>
      <c r="V40" s="626">
        <v>0</v>
      </c>
      <c r="W40" s="626">
        <v>0</v>
      </c>
      <c r="X40" s="626">
        <v>10</v>
      </c>
      <c r="Y40" s="626" t="s">
        <v>111</v>
      </c>
      <c r="Z40" s="628" t="s">
        <v>111</v>
      </c>
    </row>
    <row r="41" spans="1:26" s="580" customFormat="1" ht="25.5">
      <c r="A41" s="579"/>
      <c r="B41" s="770">
        <v>12035</v>
      </c>
      <c r="C41" s="770">
        <v>2860</v>
      </c>
      <c r="D41" s="627" t="s">
        <v>932</v>
      </c>
      <c r="E41" s="626" t="s">
        <v>933</v>
      </c>
      <c r="F41" s="626" t="s">
        <v>934</v>
      </c>
      <c r="G41" s="626" t="s">
        <v>890</v>
      </c>
      <c r="H41" s="626" t="s">
        <v>896</v>
      </c>
      <c r="I41" s="626" t="s">
        <v>935</v>
      </c>
      <c r="J41" s="769">
        <v>41985</v>
      </c>
      <c r="K41" s="769">
        <v>40193</v>
      </c>
      <c r="L41" s="626" t="s">
        <v>892</v>
      </c>
      <c r="M41" s="626">
        <v>2789</v>
      </c>
      <c r="N41" s="626">
        <v>12550.5</v>
      </c>
      <c r="O41" s="626">
        <v>17929.285714285714</v>
      </c>
      <c r="P41" s="626">
        <v>35858.571428571428</v>
      </c>
      <c r="Q41" s="626">
        <v>0</v>
      </c>
      <c r="R41" s="626">
        <v>0</v>
      </c>
      <c r="S41" s="626">
        <v>0</v>
      </c>
      <c r="T41" s="626">
        <v>0</v>
      </c>
      <c r="U41" s="626">
        <v>0</v>
      </c>
      <c r="V41" s="626">
        <v>0</v>
      </c>
      <c r="W41" s="626">
        <v>0</v>
      </c>
      <c r="X41" s="626">
        <v>10</v>
      </c>
      <c r="Y41" s="626" t="s">
        <v>111</v>
      </c>
      <c r="Z41" s="628" t="s">
        <v>111</v>
      </c>
    </row>
    <row r="42" spans="1:26" s="580" customFormat="1" ht="38.25">
      <c r="A42" s="579"/>
      <c r="B42" s="770">
        <v>12035</v>
      </c>
      <c r="C42" s="770">
        <v>2861</v>
      </c>
      <c r="D42" s="627" t="s">
        <v>936</v>
      </c>
      <c r="E42" s="626" t="s">
        <v>937</v>
      </c>
      <c r="F42" s="626" t="s">
        <v>938</v>
      </c>
      <c r="G42" s="626" t="s">
        <v>890</v>
      </c>
      <c r="H42" s="626" t="s">
        <v>891</v>
      </c>
      <c r="I42" s="626" t="s">
        <v>937</v>
      </c>
      <c r="J42" s="769">
        <v>40196</v>
      </c>
      <c r="K42" s="769">
        <v>40196</v>
      </c>
      <c r="L42" s="626" t="s">
        <v>892</v>
      </c>
      <c r="M42" s="626">
        <v>640</v>
      </c>
      <c r="N42" s="626">
        <v>2880</v>
      </c>
      <c r="O42" s="626">
        <v>3240</v>
      </c>
      <c r="P42" s="626">
        <v>0</v>
      </c>
      <c r="Q42" s="626">
        <v>0</v>
      </c>
      <c r="R42" s="626">
        <v>0</v>
      </c>
      <c r="S42" s="626">
        <v>1800</v>
      </c>
      <c r="T42" s="626">
        <v>5400</v>
      </c>
      <c r="U42" s="626">
        <v>0</v>
      </c>
      <c r="V42" s="626">
        <v>0</v>
      </c>
      <c r="W42" s="626">
        <v>0</v>
      </c>
      <c r="X42" s="626">
        <v>10</v>
      </c>
      <c r="Y42" s="626" t="s">
        <v>111</v>
      </c>
      <c r="Z42" s="628" t="s">
        <v>111</v>
      </c>
    </row>
    <row r="43" spans="1:26" s="580" customFormat="1" ht="38.25">
      <c r="A43" s="579"/>
      <c r="B43" s="770">
        <v>12035</v>
      </c>
      <c r="C43" s="770">
        <v>2860</v>
      </c>
      <c r="D43" s="627" t="s">
        <v>939</v>
      </c>
      <c r="E43" s="626" t="s">
        <v>940</v>
      </c>
      <c r="F43" s="626" t="s">
        <v>941</v>
      </c>
      <c r="G43" s="626" t="s">
        <v>890</v>
      </c>
      <c r="H43" s="626" t="s">
        <v>891</v>
      </c>
      <c r="I43" s="626" t="s">
        <v>940</v>
      </c>
      <c r="J43" s="769">
        <v>40315</v>
      </c>
      <c r="K43" s="769">
        <v>40315</v>
      </c>
      <c r="L43" s="626" t="s">
        <v>892</v>
      </c>
      <c r="M43" s="626">
        <v>1058</v>
      </c>
      <c r="N43" s="626">
        <v>4761</v>
      </c>
      <c r="O43" s="626">
        <v>5356.125</v>
      </c>
      <c r="P43" s="626">
        <v>0</v>
      </c>
      <c r="Q43" s="626">
        <v>0</v>
      </c>
      <c r="R43" s="626">
        <v>0</v>
      </c>
      <c r="S43" s="626">
        <v>2975.625</v>
      </c>
      <c r="T43" s="626">
        <v>8926.875</v>
      </c>
      <c r="U43" s="626">
        <v>0</v>
      </c>
      <c r="V43" s="626">
        <v>0</v>
      </c>
      <c r="W43" s="626">
        <v>0</v>
      </c>
      <c r="X43" s="626">
        <v>10</v>
      </c>
      <c r="Y43" s="626" t="s">
        <v>111</v>
      </c>
      <c r="Z43" s="628" t="s">
        <v>111</v>
      </c>
    </row>
    <row r="44" spans="1:26" s="580" customFormat="1" ht="25.5">
      <c r="A44" s="579"/>
      <c r="B44" s="770">
        <v>12035</v>
      </c>
      <c r="C44" s="770">
        <v>2860</v>
      </c>
      <c r="D44" s="627" t="s">
        <v>942</v>
      </c>
      <c r="E44" s="626" t="s">
        <v>943</v>
      </c>
      <c r="F44" s="626" t="s">
        <v>944</v>
      </c>
      <c r="G44" s="626" t="s">
        <v>890</v>
      </c>
      <c r="H44" s="626" t="s">
        <v>896</v>
      </c>
      <c r="I44" s="626" t="s">
        <v>943</v>
      </c>
      <c r="J44" s="769">
        <v>40396</v>
      </c>
      <c r="K44" s="769">
        <v>40399</v>
      </c>
      <c r="L44" s="626" t="s">
        <v>892</v>
      </c>
      <c r="M44" s="626">
        <v>1008</v>
      </c>
      <c r="N44" s="626">
        <v>4536</v>
      </c>
      <c r="O44" s="626">
        <v>6480</v>
      </c>
      <c r="P44" s="626">
        <v>12960</v>
      </c>
      <c r="Q44" s="626">
        <v>0</v>
      </c>
      <c r="R44" s="626">
        <v>0</v>
      </c>
      <c r="S44" s="626">
        <v>0</v>
      </c>
      <c r="T44" s="626">
        <v>0</v>
      </c>
      <c r="U44" s="626">
        <v>0</v>
      </c>
      <c r="V44" s="626">
        <v>0</v>
      </c>
      <c r="W44" s="626">
        <v>0</v>
      </c>
      <c r="X44" s="626">
        <v>10</v>
      </c>
      <c r="Y44" s="626" t="s">
        <v>111</v>
      </c>
      <c r="Z44" s="628" t="s">
        <v>111</v>
      </c>
    </row>
    <row r="45" spans="1:26" s="580" customFormat="1" ht="25.5">
      <c r="A45" s="579"/>
      <c r="B45" s="770">
        <v>12035</v>
      </c>
      <c r="C45" s="770">
        <v>2861</v>
      </c>
      <c r="D45" s="627" t="s">
        <v>945</v>
      </c>
      <c r="E45" s="626" t="s">
        <v>946</v>
      </c>
      <c r="F45" s="626" t="s">
        <v>947</v>
      </c>
      <c r="G45" s="626" t="s">
        <v>890</v>
      </c>
      <c r="H45" s="626" t="s">
        <v>896</v>
      </c>
      <c r="I45" s="626" t="s">
        <v>946</v>
      </c>
      <c r="J45" s="769">
        <v>40466</v>
      </c>
      <c r="K45" s="769">
        <v>40466</v>
      </c>
      <c r="L45" s="626" t="s">
        <v>892</v>
      </c>
      <c r="M45" s="626">
        <v>800</v>
      </c>
      <c r="N45" s="626">
        <v>3600</v>
      </c>
      <c r="O45" s="626">
        <v>5142.8571428571431</v>
      </c>
      <c r="P45" s="626">
        <v>10285.714285714286</v>
      </c>
      <c r="Q45" s="626">
        <v>0</v>
      </c>
      <c r="R45" s="626">
        <v>0</v>
      </c>
      <c r="S45" s="626">
        <v>0</v>
      </c>
      <c r="T45" s="626">
        <v>0</v>
      </c>
      <c r="U45" s="626">
        <v>0</v>
      </c>
      <c r="V45" s="626">
        <v>0</v>
      </c>
      <c r="W45" s="626">
        <v>0</v>
      </c>
      <c r="X45" s="626">
        <v>10</v>
      </c>
      <c r="Y45" s="626" t="s">
        <v>111</v>
      </c>
      <c r="Z45" s="628" t="s">
        <v>111</v>
      </c>
    </row>
    <row r="46" spans="1:26" s="580" customFormat="1" ht="38.25">
      <c r="A46" s="579"/>
      <c r="B46" s="770">
        <v>12035</v>
      </c>
      <c r="C46" s="770">
        <v>2861</v>
      </c>
      <c r="D46" s="627" t="s">
        <v>948</v>
      </c>
      <c r="E46" s="626" t="s">
        <v>949</v>
      </c>
      <c r="F46" s="626" t="s">
        <v>950</v>
      </c>
      <c r="G46" s="626" t="s">
        <v>890</v>
      </c>
      <c r="H46" s="626" t="s">
        <v>891</v>
      </c>
      <c r="I46" s="626" t="s">
        <v>949</v>
      </c>
      <c r="J46" s="769">
        <v>40477</v>
      </c>
      <c r="K46" s="769">
        <v>40477</v>
      </c>
      <c r="L46" s="626" t="s">
        <v>918</v>
      </c>
      <c r="M46" s="626">
        <v>528</v>
      </c>
      <c r="N46" s="626">
        <v>2376</v>
      </c>
      <c r="O46" s="626">
        <v>2673</v>
      </c>
      <c r="P46" s="626">
        <v>0</v>
      </c>
      <c r="Q46" s="626">
        <v>0</v>
      </c>
      <c r="R46" s="626">
        <v>0</v>
      </c>
      <c r="S46" s="626">
        <v>1485</v>
      </c>
      <c r="T46" s="626">
        <v>4455</v>
      </c>
      <c r="U46" s="626">
        <v>0</v>
      </c>
      <c r="V46" s="626">
        <v>0</v>
      </c>
      <c r="W46" s="626">
        <v>0</v>
      </c>
      <c r="X46" s="626">
        <v>10</v>
      </c>
      <c r="Y46" s="626" t="s">
        <v>111</v>
      </c>
      <c r="Z46" s="628" t="s">
        <v>111</v>
      </c>
    </row>
    <row r="47" spans="1:26" s="580" customFormat="1" ht="25.5">
      <c r="A47" s="579"/>
      <c r="B47" s="770">
        <v>12035</v>
      </c>
      <c r="C47" s="770">
        <v>2861</v>
      </c>
      <c r="D47" s="627" t="s">
        <v>919</v>
      </c>
      <c r="E47" s="626" t="s">
        <v>920</v>
      </c>
      <c r="F47" s="626" t="s">
        <v>951</v>
      </c>
      <c r="G47" s="626" t="s">
        <v>890</v>
      </c>
      <c r="H47" s="626" t="s">
        <v>896</v>
      </c>
      <c r="I47" s="626" t="s">
        <v>952</v>
      </c>
      <c r="J47" s="769">
        <v>40472</v>
      </c>
      <c r="K47" s="769">
        <v>40478</v>
      </c>
      <c r="L47" s="626" t="s">
        <v>892</v>
      </c>
      <c r="M47" s="626">
        <v>2040</v>
      </c>
      <c r="N47" s="626">
        <v>9180</v>
      </c>
      <c r="O47" s="626">
        <v>13114.285714285714</v>
      </c>
      <c r="P47" s="626">
        <v>26228.571428571431</v>
      </c>
      <c r="Q47" s="626">
        <v>0</v>
      </c>
      <c r="R47" s="626">
        <v>0</v>
      </c>
      <c r="S47" s="626">
        <v>0</v>
      </c>
      <c r="T47" s="626">
        <v>0</v>
      </c>
      <c r="U47" s="626">
        <v>0</v>
      </c>
      <c r="V47" s="626">
        <v>0</v>
      </c>
      <c r="W47" s="626">
        <v>0</v>
      </c>
      <c r="X47" s="626">
        <v>10</v>
      </c>
      <c r="Y47" s="626" t="s">
        <v>111</v>
      </c>
      <c r="Z47" s="628" t="s">
        <v>111</v>
      </c>
    </row>
    <row r="48" spans="1:26" s="580" customFormat="1" ht="25.5">
      <c r="A48" s="579"/>
      <c r="B48" s="770">
        <v>12035</v>
      </c>
      <c r="C48" s="770">
        <v>2860</v>
      </c>
      <c r="D48" s="627" t="s">
        <v>953</v>
      </c>
      <c r="E48" s="626" t="s">
        <v>954</v>
      </c>
      <c r="F48" s="626" t="s">
        <v>955</v>
      </c>
      <c r="G48" s="626" t="s">
        <v>890</v>
      </c>
      <c r="H48" s="626" t="s">
        <v>896</v>
      </c>
      <c r="I48" s="626" t="s">
        <v>954</v>
      </c>
      <c r="J48" s="769">
        <v>40480</v>
      </c>
      <c r="K48" s="769">
        <v>40480</v>
      </c>
      <c r="L48" s="626" t="s">
        <v>892</v>
      </c>
      <c r="M48" s="626">
        <v>2014</v>
      </c>
      <c r="N48" s="626">
        <v>9062.9999999999982</v>
      </c>
      <c r="O48" s="626">
        <v>12947.142857142855</v>
      </c>
      <c r="P48" s="626">
        <v>25894.28571428571</v>
      </c>
      <c r="Q48" s="626">
        <v>0</v>
      </c>
      <c r="R48" s="626">
        <v>0</v>
      </c>
      <c r="S48" s="626">
        <v>0</v>
      </c>
      <c r="T48" s="626">
        <v>0</v>
      </c>
      <c r="U48" s="626">
        <v>0</v>
      </c>
      <c r="V48" s="626">
        <v>0</v>
      </c>
      <c r="W48" s="626">
        <v>0</v>
      </c>
      <c r="X48" s="626">
        <v>10</v>
      </c>
      <c r="Y48" s="626" t="s">
        <v>111</v>
      </c>
      <c r="Z48" s="628" t="s">
        <v>111</v>
      </c>
    </row>
    <row r="49" spans="1:26" s="580" customFormat="1" ht="38.25">
      <c r="A49" s="579"/>
      <c r="B49" s="770">
        <v>12035</v>
      </c>
      <c r="C49" s="770">
        <v>2860</v>
      </c>
      <c r="D49" s="627" t="s">
        <v>956</v>
      </c>
      <c r="E49" s="626" t="s">
        <v>957</v>
      </c>
      <c r="F49" s="626" t="s">
        <v>958</v>
      </c>
      <c r="G49" s="626" t="s">
        <v>890</v>
      </c>
      <c r="H49" s="626" t="s">
        <v>896</v>
      </c>
      <c r="I49" s="626" t="s">
        <v>957</v>
      </c>
      <c r="J49" s="769">
        <v>40422</v>
      </c>
      <c r="K49" s="769">
        <v>40664</v>
      </c>
      <c r="L49" s="626" t="s">
        <v>892</v>
      </c>
      <c r="M49" s="626">
        <v>265</v>
      </c>
      <c r="N49" s="626">
        <v>1192.5</v>
      </c>
      <c r="O49" s="626">
        <v>1703.5714285714287</v>
      </c>
      <c r="P49" s="626">
        <v>3407.1428571428573</v>
      </c>
      <c r="Q49" s="626">
        <v>0</v>
      </c>
      <c r="R49" s="626">
        <v>0</v>
      </c>
      <c r="S49" s="626">
        <v>0</v>
      </c>
      <c r="T49" s="626">
        <v>0</v>
      </c>
      <c r="U49" s="626">
        <v>0</v>
      </c>
      <c r="V49" s="626">
        <v>0</v>
      </c>
      <c r="W49" s="626">
        <v>0</v>
      </c>
      <c r="X49" s="626">
        <v>10</v>
      </c>
      <c r="Y49" s="626" t="s">
        <v>111</v>
      </c>
      <c r="Z49" s="628" t="s">
        <v>111</v>
      </c>
    </row>
    <row r="50" spans="1:26" s="580" customFormat="1" ht="25.5">
      <c r="A50" s="579"/>
      <c r="B50" s="770">
        <v>12035</v>
      </c>
      <c r="C50" s="770">
        <v>2860</v>
      </c>
      <c r="D50" s="627" t="s">
        <v>959</v>
      </c>
      <c r="E50" s="626" t="s">
        <v>960</v>
      </c>
      <c r="F50" s="626" t="s">
        <v>961</v>
      </c>
      <c r="G50" s="626" t="s">
        <v>890</v>
      </c>
      <c r="H50" s="626" t="s">
        <v>896</v>
      </c>
      <c r="I50" s="626" t="s">
        <v>960</v>
      </c>
      <c r="J50" s="769">
        <v>40784</v>
      </c>
      <c r="K50" s="769">
        <v>40784</v>
      </c>
      <c r="L50" s="626" t="s">
        <v>892</v>
      </c>
      <c r="M50" s="626">
        <v>1160</v>
      </c>
      <c r="N50" s="626">
        <v>5220</v>
      </c>
      <c r="O50" s="626">
        <v>7457.1428571428569</v>
      </c>
      <c r="P50" s="626">
        <v>14914.285714285716</v>
      </c>
      <c r="Q50" s="626">
        <v>0</v>
      </c>
      <c r="R50" s="626">
        <v>0</v>
      </c>
      <c r="S50" s="626">
        <v>0</v>
      </c>
      <c r="T50" s="626">
        <v>0</v>
      </c>
      <c r="U50" s="626">
        <v>0</v>
      </c>
      <c r="V50" s="626">
        <v>0</v>
      </c>
      <c r="W50" s="626">
        <v>0</v>
      </c>
      <c r="X50" s="626">
        <v>10</v>
      </c>
      <c r="Y50" s="626" t="s">
        <v>111</v>
      </c>
      <c r="Z50" s="628" t="s">
        <v>111</v>
      </c>
    </row>
    <row r="51" spans="1:26" s="580" customFormat="1" ht="25.5">
      <c r="A51" s="579"/>
      <c r="B51" s="770">
        <v>12035</v>
      </c>
      <c r="C51" s="770">
        <v>2861</v>
      </c>
      <c r="D51" s="627" t="s">
        <v>962</v>
      </c>
      <c r="E51" s="626" t="s">
        <v>963</v>
      </c>
      <c r="F51" s="626" t="s">
        <v>964</v>
      </c>
      <c r="G51" s="626" t="s">
        <v>890</v>
      </c>
      <c r="H51" s="626" t="s">
        <v>896</v>
      </c>
      <c r="I51" s="626" t="s">
        <v>963</v>
      </c>
      <c r="J51" s="769">
        <v>40858</v>
      </c>
      <c r="K51" s="769">
        <v>41000</v>
      </c>
      <c r="L51" s="626" t="s">
        <v>892</v>
      </c>
      <c r="M51" s="626">
        <v>9</v>
      </c>
      <c r="N51" s="626">
        <v>40.5</v>
      </c>
      <c r="O51" s="626">
        <v>57.857142857142861</v>
      </c>
      <c r="P51" s="626">
        <v>0</v>
      </c>
      <c r="Q51" s="626">
        <v>0</v>
      </c>
      <c r="R51" s="626">
        <v>0</v>
      </c>
      <c r="S51" s="626">
        <v>0</v>
      </c>
      <c r="T51" s="626">
        <v>0</v>
      </c>
      <c r="U51" s="626">
        <v>0</v>
      </c>
      <c r="V51" s="626">
        <v>115.71428571428572</v>
      </c>
      <c r="W51" s="626">
        <v>0</v>
      </c>
      <c r="X51" s="626">
        <v>10</v>
      </c>
      <c r="Y51" s="626" t="s">
        <v>111</v>
      </c>
      <c r="Z51" s="628" t="s">
        <v>111</v>
      </c>
    </row>
    <row r="52" spans="1:26" s="580" customFormat="1" ht="25.5">
      <c r="A52" s="579"/>
      <c r="B52" s="770">
        <v>12035</v>
      </c>
      <c r="C52" s="770">
        <v>2861</v>
      </c>
      <c r="D52" s="627" t="s">
        <v>965</v>
      </c>
      <c r="E52" s="626" t="s">
        <v>966</v>
      </c>
      <c r="F52" s="626" t="s">
        <v>967</v>
      </c>
      <c r="G52" s="626" t="s">
        <v>890</v>
      </c>
      <c r="H52" s="626" t="s">
        <v>896</v>
      </c>
      <c r="I52" s="626" t="s">
        <v>966</v>
      </c>
      <c r="J52" s="769">
        <v>41031</v>
      </c>
      <c r="K52" s="769">
        <v>41031</v>
      </c>
      <c r="L52" s="626" t="s">
        <v>892</v>
      </c>
      <c r="M52" s="626">
        <v>1200</v>
      </c>
      <c r="N52" s="626">
        <v>5400</v>
      </c>
      <c r="O52" s="626">
        <v>7714.2857142857147</v>
      </c>
      <c r="P52" s="626">
        <v>15428.571428571429</v>
      </c>
      <c r="Q52" s="626">
        <v>0</v>
      </c>
      <c r="R52" s="626">
        <v>0</v>
      </c>
      <c r="S52" s="626">
        <v>0</v>
      </c>
      <c r="T52" s="626">
        <v>0</v>
      </c>
      <c r="U52" s="626">
        <v>0</v>
      </c>
      <c r="V52" s="626">
        <v>0</v>
      </c>
      <c r="W52" s="626">
        <v>0</v>
      </c>
      <c r="X52" s="626">
        <v>1300</v>
      </c>
      <c r="Y52" s="626" t="s">
        <v>53</v>
      </c>
      <c r="Z52" s="628" t="s">
        <v>155</v>
      </c>
    </row>
    <row r="53" spans="1:26" s="580" customFormat="1" ht="25.5">
      <c r="A53" s="579"/>
      <c r="B53" s="770">
        <v>12035</v>
      </c>
      <c r="C53" s="770">
        <v>2861</v>
      </c>
      <c r="D53" s="627" t="s">
        <v>968</v>
      </c>
      <c r="E53" s="626" t="s">
        <v>937</v>
      </c>
      <c r="F53" s="626" t="s">
        <v>969</v>
      </c>
      <c r="G53" s="626" t="s">
        <v>890</v>
      </c>
      <c r="H53" s="626" t="s">
        <v>896</v>
      </c>
      <c r="I53" s="626" t="s">
        <v>937</v>
      </c>
      <c r="J53" s="769">
        <v>41033</v>
      </c>
      <c r="K53" s="769">
        <v>41033</v>
      </c>
      <c r="L53" s="626" t="s">
        <v>892</v>
      </c>
      <c r="M53" s="626">
        <v>800</v>
      </c>
      <c r="N53" s="626">
        <v>3600</v>
      </c>
      <c r="O53" s="626">
        <v>5142.8571428571431</v>
      </c>
      <c r="P53" s="626">
        <v>10285.714285714286</v>
      </c>
      <c r="Q53" s="626">
        <v>0</v>
      </c>
      <c r="R53" s="626">
        <v>0</v>
      </c>
      <c r="S53" s="626">
        <v>0</v>
      </c>
      <c r="T53" s="626">
        <v>0</v>
      </c>
      <c r="U53" s="626">
        <v>0</v>
      </c>
      <c r="V53" s="626">
        <v>0</v>
      </c>
      <c r="W53" s="626">
        <v>0</v>
      </c>
      <c r="X53" s="626">
        <v>10</v>
      </c>
      <c r="Y53" s="626" t="s">
        <v>111</v>
      </c>
      <c r="Z53" s="628" t="s">
        <v>111</v>
      </c>
    </row>
    <row r="54" spans="1:26" s="580" customFormat="1" ht="25.5">
      <c r="A54" s="579"/>
      <c r="B54" s="770">
        <v>12035</v>
      </c>
      <c r="C54" s="770">
        <v>2860</v>
      </c>
      <c r="D54" s="627" t="s">
        <v>970</v>
      </c>
      <c r="E54" s="626" t="s">
        <v>971</v>
      </c>
      <c r="F54" s="626" t="s">
        <v>972</v>
      </c>
      <c r="G54" s="626" t="s">
        <v>890</v>
      </c>
      <c r="H54" s="626" t="s">
        <v>896</v>
      </c>
      <c r="I54" s="626" t="s">
        <v>973</v>
      </c>
      <c r="J54" s="769">
        <v>42118</v>
      </c>
      <c r="K54" s="769">
        <v>42118</v>
      </c>
      <c r="L54" s="626" t="s">
        <v>892</v>
      </c>
      <c r="M54" s="626">
        <v>4000</v>
      </c>
      <c r="N54" s="626">
        <v>18000</v>
      </c>
      <c r="O54" s="626">
        <v>25714.285714285714</v>
      </c>
      <c r="P54" s="626">
        <v>51428.571428571435</v>
      </c>
      <c r="Q54" s="626">
        <v>0</v>
      </c>
      <c r="R54" s="626">
        <v>0</v>
      </c>
      <c r="S54" s="626">
        <v>0</v>
      </c>
      <c r="T54" s="626">
        <v>0</v>
      </c>
      <c r="U54" s="626">
        <v>0</v>
      </c>
      <c r="V54" s="626">
        <v>0</v>
      </c>
      <c r="W54" s="626">
        <v>0</v>
      </c>
      <c r="X54" s="626">
        <v>10</v>
      </c>
      <c r="Y54" s="626" t="s">
        <v>111</v>
      </c>
      <c r="Z54" s="628" t="s">
        <v>111</v>
      </c>
    </row>
    <row r="55" spans="1:26" s="580" customFormat="1" ht="51">
      <c r="A55" s="579"/>
      <c r="B55" s="770">
        <v>12035</v>
      </c>
      <c r="C55" s="770">
        <v>2860</v>
      </c>
      <c r="D55" s="627" t="s">
        <v>974</v>
      </c>
      <c r="E55" s="626" t="s">
        <v>975</v>
      </c>
      <c r="F55" s="626" t="s">
        <v>976</v>
      </c>
      <c r="G55" s="626" t="s">
        <v>890</v>
      </c>
      <c r="H55" s="626" t="s">
        <v>896</v>
      </c>
      <c r="I55" s="626" t="s">
        <v>975</v>
      </c>
      <c r="J55" s="769">
        <v>42101</v>
      </c>
      <c r="K55" s="769">
        <v>42073</v>
      </c>
      <c r="L55" s="626" t="s">
        <v>892</v>
      </c>
      <c r="M55" s="626">
        <v>70</v>
      </c>
      <c r="N55" s="626">
        <v>315.00000000000006</v>
      </c>
      <c r="O55" s="626">
        <v>450.00000000000011</v>
      </c>
      <c r="P55" s="626">
        <v>900.00000000000023</v>
      </c>
      <c r="Q55" s="626">
        <v>0</v>
      </c>
      <c r="R55" s="626">
        <v>0</v>
      </c>
      <c r="S55" s="626">
        <v>0</v>
      </c>
      <c r="T55" s="626">
        <v>0</v>
      </c>
      <c r="U55" s="626">
        <v>0</v>
      </c>
      <c r="V55" s="626">
        <v>0</v>
      </c>
      <c r="W55" s="626">
        <v>0</v>
      </c>
      <c r="X55" s="626">
        <v>1500</v>
      </c>
      <c r="Y55" s="626" t="s">
        <v>50</v>
      </c>
      <c r="Z55" s="628" t="s">
        <v>155</v>
      </c>
    </row>
    <row r="56" spans="1:26" s="564" customFormat="1">
      <c r="A56" s="582" t="s">
        <v>279</v>
      </c>
      <c r="B56" s="583"/>
      <c r="C56" s="583"/>
      <c r="D56" s="583"/>
      <c r="E56" s="583"/>
      <c r="F56" s="583"/>
      <c r="G56" s="583"/>
      <c r="H56" s="583"/>
      <c r="I56" s="583"/>
      <c r="J56" s="583"/>
      <c r="K56" s="583"/>
      <c r="L56" s="584"/>
      <c r="M56" s="584">
        <f>SUM(M28:M55)</f>
        <v>39317</v>
      </c>
      <c r="N56" s="584">
        <f>SUM(N28:N55)</f>
        <v>176926.5</v>
      </c>
      <c r="O56" s="584">
        <f>SUM(O28:O55)</f>
        <v>247112.99999999991</v>
      </c>
      <c r="P56" s="584">
        <f>SUM(P28:P55)</f>
        <v>452314.28571428568</v>
      </c>
      <c r="Q56" s="584">
        <f>SUM(Q28:Q55)</f>
        <v>0</v>
      </c>
      <c r="R56" s="584">
        <f>SUM(R28:R55)</f>
        <v>0</v>
      </c>
      <c r="S56" s="584">
        <f>SUM(S28:S55)</f>
        <v>11610</v>
      </c>
      <c r="T56" s="584">
        <f>SUM(T28:T55)</f>
        <v>34830</v>
      </c>
      <c r="U56" s="584">
        <f>SUM(U28:U55)</f>
        <v>0</v>
      </c>
      <c r="V56" s="584">
        <f>SUM(V28:V55)</f>
        <v>115.71428571428572</v>
      </c>
      <c r="W56" s="584">
        <f>SUM(W28:W55)</f>
        <v>0</v>
      </c>
      <c r="X56" s="585"/>
      <c r="Y56" s="585"/>
      <c r="Z56" s="586"/>
    </row>
    <row r="57" spans="1:26" s="564" customFormat="1">
      <c r="A57" s="582" t="s">
        <v>286</v>
      </c>
      <c r="B57" s="583"/>
      <c r="C57" s="583"/>
      <c r="D57" s="583"/>
      <c r="E57" s="583"/>
      <c r="F57" s="583"/>
      <c r="G57" s="583"/>
      <c r="H57" s="583"/>
      <c r="I57" s="583"/>
      <c r="J57" s="583"/>
      <c r="K57" s="583"/>
      <c r="L57" s="584"/>
      <c r="M57" s="584">
        <f>SUMIF($Z$28:$Z$55,"industrie",M28:M55)</f>
        <v>0</v>
      </c>
      <c r="N57" s="584">
        <f>SUMIF($Z$28:$Z$55,"industrie",N28:N55)</f>
        <v>0</v>
      </c>
      <c r="O57" s="584">
        <f>SUMIF($Z$28:$Z$55,"industrie",O28:O55)</f>
        <v>0</v>
      </c>
      <c r="P57" s="584">
        <f>SUMIF($Z$28:$Z$55,"industrie",P28:P55)</f>
        <v>0</v>
      </c>
      <c r="Q57" s="584">
        <f>SUMIF($Z$28:$Z$55,"industrie",Q28:Q55)</f>
        <v>0</v>
      </c>
      <c r="R57" s="584">
        <f>SUMIF($Z$28:$Z$55,"industrie",R28:R55)</f>
        <v>0</v>
      </c>
      <c r="S57" s="584">
        <f>SUMIF($Z$28:$Z$55,"industrie",S28:S55)</f>
        <v>0</v>
      </c>
      <c r="T57" s="584">
        <f>SUMIF($Z$28:$Z$55,"industrie",T28:T55)</f>
        <v>0</v>
      </c>
      <c r="U57" s="584">
        <f>SUMIF($Z$28:$Z$55,"industrie",U28:U55)</f>
        <v>0</v>
      </c>
      <c r="V57" s="584">
        <f>SUMIF($Z$28:$Z$55,"industrie",V28:V55)</f>
        <v>0</v>
      </c>
      <c r="W57" s="584">
        <f>SUMIF($Z$28:$Z$55,"industrie",W28:W55)</f>
        <v>0</v>
      </c>
      <c r="X57" s="585"/>
      <c r="Y57" s="585"/>
      <c r="Z57" s="586"/>
    </row>
    <row r="58" spans="1:26" s="564" customFormat="1">
      <c r="A58" s="582" t="s">
        <v>287</v>
      </c>
      <c r="B58" s="583"/>
      <c r="C58" s="583"/>
      <c r="D58" s="583"/>
      <c r="E58" s="583"/>
      <c r="F58" s="583"/>
      <c r="G58" s="583"/>
      <c r="H58" s="583"/>
      <c r="I58" s="583"/>
      <c r="J58" s="583"/>
      <c r="K58" s="583"/>
      <c r="L58" s="584"/>
      <c r="M58" s="584">
        <f ca="1">SUMIF($Z$28:AC55,"tertiair",M28:M55)</f>
        <v>1270</v>
      </c>
      <c r="N58" s="584">
        <f ca="1">SUMIF($Z$28:AD55,"tertiair",N28:N55)</f>
        <v>5715</v>
      </c>
      <c r="O58" s="584">
        <f ca="1">SUMIF($Z$28:AE55,"tertiair",O28:O55)</f>
        <v>8164.2857142857147</v>
      </c>
      <c r="P58" s="584">
        <f ca="1">SUMIF($Z$28:AF55,"tertiair",P28:P55)</f>
        <v>16328.571428571429</v>
      </c>
      <c r="Q58" s="584">
        <f ca="1">SUMIF($Z$28:AG55,"tertiair",Q28:Q55)</f>
        <v>0</v>
      </c>
      <c r="R58" s="584">
        <f ca="1">SUMIF($Z$28:AH55,"tertiair",R28:R55)</f>
        <v>0</v>
      </c>
      <c r="S58" s="584">
        <f ca="1">SUMIF($Z$28:AI55,"tertiair",S28:S55)</f>
        <v>0</v>
      </c>
      <c r="T58" s="584">
        <f ca="1">SUMIF($Z$28:AJ55,"tertiair",T28:T55)</f>
        <v>0</v>
      </c>
      <c r="U58" s="584">
        <f ca="1">SUMIF($Z$28:AK55,"tertiair",U28:U55)</f>
        <v>0</v>
      </c>
      <c r="V58" s="584">
        <f ca="1">SUMIF($Z$28:AL55,"tertiair",V28:V55)</f>
        <v>0</v>
      </c>
      <c r="W58" s="584">
        <f ca="1">SUMIF($Z$28:AM55,"tertiair",W28:W55)</f>
        <v>0</v>
      </c>
      <c r="X58" s="585"/>
      <c r="Y58" s="585"/>
      <c r="Z58" s="586"/>
    </row>
    <row r="59" spans="1:26" s="564" customFormat="1" ht="15.75" thickBot="1">
      <c r="A59" s="587" t="s">
        <v>288</v>
      </c>
      <c r="B59" s="588"/>
      <c r="C59" s="588"/>
      <c r="D59" s="588"/>
      <c r="E59" s="588"/>
      <c r="F59" s="588"/>
      <c r="G59" s="588"/>
      <c r="H59" s="588"/>
      <c r="I59" s="588"/>
      <c r="J59" s="588"/>
      <c r="K59" s="588"/>
      <c r="L59" s="589"/>
      <c r="M59" s="589">
        <f>SUMIF($Z$28:$Z$55,"landbouw",M28:M55)</f>
        <v>38047</v>
      </c>
      <c r="N59" s="589">
        <f>SUMIF($Z$28:$Z$55,"landbouw",N28:N55)</f>
        <v>171211.5</v>
      </c>
      <c r="O59" s="589">
        <f>SUMIF($Z$28:$Z$55,"landbouw",O28:O55)</f>
        <v>238948.7142857142</v>
      </c>
      <c r="P59" s="589">
        <f>SUMIF($Z$28:$Z$55,"landbouw",P28:P55)</f>
        <v>435985.71428571426</v>
      </c>
      <c r="Q59" s="589">
        <f>SUMIF($Z$28:$Z$55,"landbouw",Q28:Q55)</f>
        <v>0</v>
      </c>
      <c r="R59" s="589">
        <f>SUMIF($Z$28:$Z$55,"landbouw",R28:R55)</f>
        <v>0</v>
      </c>
      <c r="S59" s="589">
        <f>SUMIF($Z$28:$Z$55,"landbouw",S28:S55)</f>
        <v>11610</v>
      </c>
      <c r="T59" s="589">
        <f>SUMIF($Z$28:$Z$55,"landbouw",T28:T55)</f>
        <v>34830</v>
      </c>
      <c r="U59" s="589">
        <f>SUMIF($Z$28:$Z$55,"landbouw",U28:U55)</f>
        <v>0</v>
      </c>
      <c r="V59" s="589">
        <f>SUMIF($Z$28:$Z$55,"landbouw",V28:V55)</f>
        <v>115.71428571428572</v>
      </c>
      <c r="W59" s="589">
        <f>SUMIF($Z$28:$Z$55,"landbouw",W28:W55)</f>
        <v>0</v>
      </c>
      <c r="X59" s="590"/>
      <c r="Y59" s="590"/>
      <c r="Z59" s="591"/>
    </row>
    <row r="60" spans="1:26" s="533" customFormat="1" ht="15.75" thickBot="1">
      <c r="A60" s="592"/>
      <c r="B60" s="593"/>
      <c r="C60" s="593"/>
      <c r="D60" s="593"/>
      <c r="E60" s="593"/>
      <c r="F60" s="593"/>
      <c r="G60" s="593"/>
      <c r="H60" s="593"/>
      <c r="I60" s="593"/>
      <c r="J60" s="593"/>
      <c r="K60" s="593"/>
      <c r="L60" s="576"/>
      <c r="M60" s="576"/>
      <c r="N60" s="576"/>
      <c r="O60" s="577"/>
      <c r="P60" s="577"/>
    </row>
    <row r="61" spans="1:26" s="533" customFormat="1" ht="45">
      <c r="A61" s="594" t="s">
        <v>280</v>
      </c>
      <c r="B61" s="623" t="s">
        <v>89</v>
      </c>
      <c r="C61" s="623" t="s">
        <v>90</v>
      </c>
      <c r="D61" s="623" t="s">
        <v>91</v>
      </c>
      <c r="E61" s="623" t="s">
        <v>92</v>
      </c>
      <c r="F61" s="623" t="s">
        <v>93</v>
      </c>
      <c r="G61" s="623" t="s">
        <v>94</v>
      </c>
      <c r="H61" s="623" t="s">
        <v>95</v>
      </c>
      <c r="I61" s="623" t="s">
        <v>96</v>
      </c>
      <c r="J61" s="623" t="s">
        <v>97</v>
      </c>
      <c r="K61" s="623" t="s">
        <v>98</v>
      </c>
      <c r="L61" s="623" t="s">
        <v>99</v>
      </c>
      <c r="M61" s="624" t="s">
        <v>297</v>
      </c>
      <c r="N61" s="624" t="s">
        <v>100</v>
      </c>
      <c r="O61" s="624" t="s">
        <v>101</v>
      </c>
      <c r="P61" s="624" t="s">
        <v>533</v>
      </c>
      <c r="Q61" s="624" t="s">
        <v>102</v>
      </c>
      <c r="R61" s="624" t="s">
        <v>103</v>
      </c>
      <c r="S61" s="624" t="s">
        <v>104</v>
      </c>
      <c r="T61" s="624" t="s">
        <v>105</v>
      </c>
      <c r="U61" s="624" t="s">
        <v>106</v>
      </c>
      <c r="V61" s="624" t="s">
        <v>107</v>
      </c>
      <c r="W61" s="623" t="s">
        <v>108</v>
      </c>
      <c r="X61" s="623" t="s">
        <v>298</v>
      </c>
      <c r="Y61" s="623" t="s">
        <v>109</v>
      </c>
      <c r="Z61" s="625" t="s">
        <v>299</v>
      </c>
    </row>
    <row r="62" spans="1:26" s="595" customFormat="1" ht="12.75">
      <c r="A62" s="581"/>
      <c r="B62" s="770"/>
      <c r="C62" s="770"/>
      <c r="D62" s="629"/>
      <c r="E62" s="629"/>
      <c r="F62" s="629"/>
      <c r="G62" s="629"/>
      <c r="H62" s="629"/>
      <c r="I62" s="629"/>
      <c r="J62" s="769"/>
      <c r="K62" s="769"/>
      <c r="L62" s="629"/>
      <c r="M62" s="629"/>
      <c r="N62" s="629"/>
      <c r="O62" s="629"/>
      <c r="P62" s="629"/>
      <c r="Q62" s="629"/>
      <c r="R62" s="629"/>
      <c r="S62" s="629"/>
      <c r="T62" s="629"/>
      <c r="U62" s="629"/>
      <c r="V62" s="629"/>
      <c r="W62" s="629"/>
      <c r="X62" s="629"/>
      <c r="Y62" s="629"/>
      <c r="Z62" s="630"/>
    </row>
    <row r="63" spans="1:26" s="564" customFormat="1">
      <c r="A63" s="582" t="s">
        <v>279</v>
      </c>
      <c r="B63" s="583"/>
      <c r="C63" s="583"/>
      <c r="D63" s="583"/>
      <c r="E63" s="583"/>
      <c r="F63" s="583"/>
      <c r="G63" s="583"/>
      <c r="H63" s="583"/>
      <c r="I63" s="583"/>
      <c r="J63" s="583"/>
      <c r="K63" s="583"/>
      <c r="L63" s="584"/>
      <c r="M63" s="584">
        <f>SUM(M62:M62)</f>
        <v>0</v>
      </c>
      <c r="N63" s="584">
        <f>SUM(N62:N62)</f>
        <v>0</v>
      </c>
      <c r="O63" s="584">
        <f>SUM(O62:O62)</f>
        <v>0</v>
      </c>
      <c r="P63" s="584">
        <f>SUM(P62:P62)</f>
        <v>0</v>
      </c>
      <c r="Q63" s="584">
        <f>SUM(Q62:Q62)</f>
        <v>0</v>
      </c>
      <c r="R63" s="584">
        <f>SUM(R62:R62)</f>
        <v>0</v>
      </c>
      <c r="S63" s="584">
        <f>SUM(S62:S62)</f>
        <v>0</v>
      </c>
      <c r="T63" s="584">
        <f>SUM(T62:T62)</f>
        <v>0</v>
      </c>
      <c r="U63" s="584">
        <f>SUM(U62:U62)</f>
        <v>0</v>
      </c>
      <c r="V63" s="584">
        <f>SUM(V62:V62)</f>
        <v>0</v>
      </c>
      <c r="W63" s="584">
        <f>SUM(W62:W62)</f>
        <v>0</v>
      </c>
      <c r="X63" s="585"/>
      <c r="Y63" s="585"/>
      <c r="Z63" s="586"/>
    </row>
    <row r="64" spans="1:26" s="564" customFormat="1">
      <c r="A64" s="582" t="s">
        <v>286</v>
      </c>
      <c r="B64" s="583"/>
      <c r="C64" s="583"/>
      <c r="D64" s="583"/>
      <c r="E64" s="583"/>
      <c r="F64" s="583"/>
      <c r="G64" s="583"/>
      <c r="H64" s="583"/>
      <c r="I64" s="583"/>
      <c r="J64" s="583"/>
      <c r="K64" s="583"/>
      <c r="L64" s="584"/>
      <c r="M64" s="584">
        <f>SUMIF($Z$62:$Z$62,"industrie",M62:M62)</f>
        <v>0</v>
      </c>
      <c r="N64" s="584">
        <f>SUMIF($Z$62:$Z$62,"industrie",N62:N62)</f>
        <v>0</v>
      </c>
      <c r="O64" s="584">
        <f>SUMIF($Z$62:$Z$62,"industrie",O62:O62)</f>
        <v>0</v>
      </c>
      <c r="P64" s="584">
        <f>SUMIF($Z$62:$Z$62,"industrie",P62:P62)</f>
        <v>0</v>
      </c>
      <c r="Q64" s="584">
        <f>SUMIF($Z$62:$Z$62,"industrie",Q62:Q62)</f>
        <v>0</v>
      </c>
      <c r="R64" s="584">
        <f>SUMIF($Z$62:$Z$62,"industrie",R62:R62)</f>
        <v>0</v>
      </c>
      <c r="S64" s="584">
        <f>SUMIF($Z$62:$Z$62,"industrie",S62:S62)</f>
        <v>0</v>
      </c>
      <c r="T64" s="584">
        <f>SUMIF($Z$62:$Z$62,"industrie",T62:T62)</f>
        <v>0</v>
      </c>
      <c r="U64" s="584">
        <f>SUMIF($Z$62:$Z$62,"industrie",U62:U62)</f>
        <v>0</v>
      </c>
      <c r="V64" s="584">
        <f>SUMIF($Z$62:$Z$62,"industrie",V62:V62)</f>
        <v>0</v>
      </c>
      <c r="W64" s="584">
        <f>SUMIF($Z$62:$Z$62,"industrie",W62:W62)</f>
        <v>0</v>
      </c>
      <c r="X64" s="585"/>
      <c r="Y64" s="585"/>
      <c r="Z64" s="586"/>
    </row>
    <row r="65" spans="1:27" s="564" customFormat="1">
      <c r="A65" s="582" t="s">
        <v>287</v>
      </c>
      <c r="B65" s="583"/>
      <c r="C65" s="583"/>
      <c r="D65" s="583"/>
      <c r="E65" s="583"/>
      <c r="F65" s="583"/>
      <c r="G65" s="583"/>
      <c r="H65" s="583"/>
      <c r="I65" s="583"/>
      <c r="J65" s="583"/>
      <c r="K65" s="583"/>
      <c r="L65" s="584"/>
      <c r="M65" s="584">
        <f>SUMIF($Z$62:$Z$63,"tertiair",M62:M63)</f>
        <v>0</v>
      </c>
      <c r="N65" s="584">
        <f>SUMIF($Z$62:$Z$63,"tertiair",N62:N63)</f>
        <v>0</v>
      </c>
      <c r="O65" s="584">
        <f>SUMIF($Z$62:$Z$63,"tertiair",O62:O63)</f>
        <v>0</v>
      </c>
      <c r="P65" s="584">
        <f>SUMIF($Z$62:$Z$63,"tertiair",P62:P63)</f>
        <v>0</v>
      </c>
      <c r="Q65" s="584">
        <f>SUMIF($Z$62:$Z$63,"tertiair",Q62:Q63)</f>
        <v>0</v>
      </c>
      <c r="R65" s="584">
        <f>SUMIF($Z$62:$Z$63,"tertiair",R62:R63)</f>
        <v>0</v>
      </c>
      <c r="S65" s="584">
        <f>SUMIF($Z$62:$Z$63,"tertiair",S62:S63)</f>
        <v>0</v>
      </c>
      <c r="T65" s="584">
        <f>SUMIF($Z$62:$Z$63,"tertiair",T62:T63)</f>
        <v>0</v>
      </c>
      <c r="U65" s="584">
        <f>SUMIF($Z$62:$Z$63,"tertiair",U62:U63)</f>
        <v>0</v>
      </c>
      <c r="V65" s="584">
        <f>SUMIF($Z$62:$Z$63,"tertiair",V62:V63)</f>
        <v>0</v>
      </c>
      <c r="W65" s="584">
        <f>SUMIF($Z$62:$Z$63,"tertiair",W62:W63)</f>
        <v>0</v>
      </c>
      <c r="X65" s="585"/>
      <c r="Y65" s="585"/>
      <c r="Z65" s="586"/>
    </row>
    <row r="66" spans="1:27" s="564" customFormat="1" ht="15.75" thickBot="1">
      <c r="A66" s="587" t="s">
        <v>288</v>
      </c>
      <c r="B66" s="588"/>
      <c r="C66" s="588"/>
      <c r="D66" s="588"/>
      <c r="E66" s="588"/>
      <c r="F66" s="588"/>
      <c r="G66" s="588"/>
      <c r="H66" s="588"/>
      <c r="I66" s="588"/>
      <c r="J66" s="588"/>
      <c r="K66" s="588"/>
      <c r="L66" s="589"/>
      <c r="M66" s="589">
        <f>SUMIF($Z$62:$Z$64,"landbouw",M62:M64)</f>
        <v>0</v>
      </c>
      <c r="N66" s="589">
        <f>SUMIF($Z$62:$Z$64,"landbouw",N62:N64)</f>
        <v>0</v>
      </c>
      <c r="O66" s="589">
        <f>SUMIF($Z$62:$Z$64,"landbouw",O62:O64)</f>
        <v>0</v>
      </c>
      <c r="P66" s="589">
        <f>SUMIF($Z$62:$Z$64,"landbouw",P62:P64)</f>
        <v>0</v>
      </c>
      <c r="Q66" s="589">
        <f>SUMIF($Z$62:$Z$64,"landbouw",Q62:Q64)</f>
        <v>0</v>
      </c>
      <c r="R66" s="589">
        <f>SUMIF($Z$62:$Z$64,"landbouw",R62:R64)</f>
        <v>0</v>
      </c>
      <c r="S66" s="589">
        <f>SUMIF($Z$62:$Z$64,"landbouw",S62:S64)</f>
        <v>0</v>
      </c>
      <c r="T66" s="589">
        <f>SUMIF($Z$62:$Z$64,"landbouw",T62:T64)</f>
        <v>0</v>
      </c>
      <c r="U66" s="589">
        <f>SUMIF($Z$62:$Z$64,"landbouw",U62:U64)</f>
        <v>0</v>
      </c>
      <c r="V66" s="589">
        <f>SUMIF($Z$62:$Z$64,"landbouw",V62:V64)</f>
        <v>0</v>
      </c>
      <c r="W66" s="589">
        <f>SUMIF($Z$62:$Z$64,"landbouw",W62:W64)</f>
        <v>0</v>
      </c>
      <c r="X66" s="590"/>
      <c r="Y66" s="590"/>
      <c r="Z66" s="591"/>
    </row>
    <row r="67" spans="1:27" s="596" customFormat="1">
      <c r="A67" s="592"/>
      <c r="B67" s="576"/>
      <c r="C67" s="576"/>
      <c r="D67" s="576"/>
      <c r="E67" s="576"/>
      <c r="F67" s="576"/>
      <c r="G67" s="576"/>
      <c r="H67" s="576"/>
      <c r="I67" s="576"/>
      <c r="J67" s="576"/>
      <c r="K67" s="576"/>
      <c r="L67" s="576"/>
      <c r="M67" s="576"/>
      <c r="N67" s="576"/>
      <c r="O67" s="576"/>
      <c r="P67" s="576"/>
      <c r="Q67" s="576"/>
      <c r="R67" s="576"/>
      <c r="S67" s="576"/>
      <c r="T67" s="576"/>
      <c r="U67" s="576"/>
      <c r="V67" s="576"/>
      <c r="W67" s="576"/>
      <c r="X67" s="576"/>
      <c r="Y67" s="576"/>
    </row>
    <row r="68" spans="1:27" s="596" customFormat="1" ht="15.75" thickBot="1">
      <c r="A68" s="592"/>
      <c r="B68" s="576"/>
      <c r="C68" s="576"/>
      <c r="D68" s="576"/>
      <c r="E68" s="576"/>
      <c r="F68" s="576"/>
      <c r="G68" s="576"/>
      <c r="H68" s="576"/>
      <c r="I68" s="576"/>
      <c r="J68" s="576"/>
      <c r="K68" s="576"/>
      <c r="L68" s="576"/>
      <c r="M68" s="576"/>
      <c r="N68" s="576"/>
      <c r="O68" s="576"/>
      <c r="P68" s="576"/>
      <c r="Q68" s="576"/>
      <c r="R68" s="576"/>
      <c r="S68" s="576"/>
      <c r="T68" s="576"/>
      <c r="U68" s="576"/>
      <c r="V68" s="576"/>
      <c r="W68" s="576"/>
      <c r="X68" s="576"/>
      <c r="Y68" s="576"/>
      <c r="Z68" s="576"/>
      <c r="AA68" s="576"/>
    </row>
    <row r="69" spans="1:27">
      <c r="A69" s="597" t="s">
        <v>281</v>
      </c>
      <c r="B69" s="598"/>
      <c r="C69" s="598"/>
      <c r="D69" s="598"/>
      <c r="E69" s="598"/>
      <c r="F69" s="598"/>
      <c r="G69" s="598"/>
      <c r="H69" s="598"/>
      <c r="I69" s="599"/>
      <c r="J69" s="600"/>
      <c r="K69" s="600"/>
      <c r="L69" s="601"/>
      <c r="M69" s="601"/>
      <c r="N69" s="601"/>
      <c r="O69" s="601"/>
      <c r="P69" s="601"/>
    </row>
    <row r="70" spans="1:27">
      <c r="A70" s="603"/>
      <c r="B70" s="593"/>
      <c r="C70" s="593"/>
      <c r="D70" s="593"/>
      <c r="E70" s="593"/>
      <c r="F70" s="593"/>
      <c r="G70" s="593"/>
      <c r="H70" s="593"/>
      <c r="I70" s="604"/>
      <c r="J70" s="593"/>
      <c r="K70" s="593"/>
      <c r="L70" s="601"/>
      <c r="M70" s="601"/>
      <c r="N70" s="601"/>
      <c r="O70" s="601"/>
      <c r="P70" s="601"/>
    </row>
    <row r="71" spans="1:27">
      <c r="A71" s="605"/>
      <c r="B71" s="606" t="s">
        <v>282</v>
      </c>
      <c r="C71" s="606" t="s">
        <v>283</v>
      </c>
      <c r="D71" s="606"/>
      <c r="E71" s="606"/>
      <c r="F71" s="606"/>
      <c r="G71" s="606"/>
      <c r="H71" s="606"/>
      <c r="I71" s="607"/>
      <c r="J71" s="606"/>
      <c r="K71" s="606"/>
      <c r="L71" s="606"/>
      <c r="M71" s="606"/>
      <c r="N71" s="606"/>
      <c r="O71" s="606"/>
      <c r="P71" s="601"/>
    </row>
    <row r="72" spans="1:27">
      <c r="A72" s="603" t="s">
        <v>279</v>
      </c>
      <c r="B72" s="608">
        <f>IF(ISERROR(O56/(O56+N56)),0,O56/(O56+N56))</f>
        <v>0.5827593891606796</v>
      </c>
      <c r="C72" s="609">
        <f>IF(ISERROR(N56/(O56+N56)),0,N56/(N56+O56))</f>
        <v>0.41724061083932051</v>
      </c>
      <c r="D72" s="576"/>
      <c r="E72" s="576"/>
      <c r="F72" s="576"/>
      <c r="G72" s="576"/>
      <c r="H72" s="576"/>
      <c r="I72" s="610"/>
      <c r="J72" s="576"/>
      <c r="K72" s="576"/>
      <c r="L72" s="611"/>
      <c r="M72" s="611"/>
      <c r="N72" s="611"/>
      <c r="O72" s="611"/>
      <c r="P72" s="601"/>
    </row>
    <row r="73" spans="1:27">
      <c r="A73" s="603"/>
      <c r="B73" s="612"/>
      <c r="C73" s="612"/>
      <c r="D73" s="612"/>
      <c r="E73" s="612"/>
      <c r="F73" s="612"/>
      <c r="G73" s="612"/>
      <c r="H73" s="612"/>
      <c r="I73" s="613"/>
      <c r="J73" s="612"/>
      <c r="K73" s="612"/>
      <c r="L73" s="614"/>
      <c r="M73" s="614"/>
      <c r="N73" s="614"/>
      <c r="O73" s="614"/>
      <c r="P73" s="601"/>
    </row>
    <row r="74" spans="1:27" ht="30">
      <c r="A74" s="615"/>
      <c r="B74" s="616" t="s">
        <v>533</v>
      </c>
      <c r="C74" s="616" t="s">
        <v>102</v>
      </c>
      <c r="D74" s="616" t="s">
        <v>103</v>
      </c>
      <c r="E74" s="616" t="s">
        <v>104</v>
      </c>
      <c r="F74" s="616" t="s">
        <v>105</v>
      </c>
      <c r="G74" s="616" t="s">
        <v>106</v>
      </c>
      <c r="H74" s="616" t="s">
        <v>107</v>
      </c>
      <c r="I74" s="617" t="s">
        <v>108</v>
      </c>
      <c r="J74" s="606"/>
      <c r="K74" s="606"/>
      <c r="L74" s="614"/>
      <c r="M74" s="614"/>
      <c r="N74" s="614"/>
      <c r="O74" s="601"/>
      <c r="P74" s="601"/>
    </row>
    <row r="75" spans="1:27">
      <c r="A75" s="605" t="s">
        <v>284</v>
      </c>
      <c r="B75" s="618">
        <f t="shared" ref="B75:I75" si="2">$C$72*P56</f>
        <v>188723.88886277951</v>
      </c>
      <c r="C75" s="618">
        <f t="shared" si="2"/>
        <v>0</v>
      </c>
      <c r="D75" s="618">
        <f t="shared" si="2"/>
        <v>0</v>
      </c>
      <c r="E75" s="618">
        <f t="shared" si="2"/>
        <v>4844.1634918445116</v>
      </c>
      <c r="F75" s="618">
        <f t="shared" si="2"/>
        <v>14532.490475533534</v>
      </c>
      <c r="G75" s="618">
        <f t="shared" si="2"/>
        <v>0</v>
      </c>
      <c r="H75" s="618">
        <f t="shared" si="2"/>
        <v>48.280699254264235</v>
      </c>
      <c r="I75" s="619">
        <f t="shared" si="2"/>
        <v>0</v>
      </c>
      <c r="J75" s="576"/>
      <c r="K75" s="576"/>
      <c r="L75" s="614"/>
      <c r="M75" s="614"/>
      <c r="N75" s="614"/>
      <c r="O75" s="601"/>
      <c r="P75" s="601"/>
    </row>
    <row r="76" spans="1:27" ht="15.75" thickBot="1">
      <c r="A76" s="620" t="s">
        <v>285</v>
      </c>
      <c r="B76" s="621">
        <f t="shared" ref="B76:I76" si="3">$B$72*P56</f>
        <v>263590.3968515062</v>
      </c>
      <c r="C76" s="621">
        <f t="shared" si="3"/>
        <v>0</v>
      </c>
      <c r="D76" s="621">
        <f t="shared" si="3"/>
        <v>0</v>
      </c>
      <c r="E76" s="621">
        <f t="shared" si="3"/>
        <v>6765.8365081554903</v>
      </c>
      <c r="F76" s="621">
        <f t="shared" si="3"/>
        <v>20297.50952446647</v>
      </c>
      <c r="G76" s="621">
        <f t="shared" si="3"/>
        <v>0</v>
      </c>
      <c r="H76" s="621">
        <f t="shared" si="3"/>
        <v>67.433586460021502</v>
      </c>
      <c r="I76" s="622">
        <f t="shared" si="3"/>
        <v>0</v>
      </c>
      <c r="J76" s="576"/>
      <c r="K76" s="576"/>
      <c r="L76" s="614"/>
      <c r="M76" s="614"/>
      <c r="N76" s="614"/>
      <c r="O76" s="601"/>
      <c r="P76" s="601"/>
    </row>
    <row r="77" spans="1:27">
      <c r="J77" s="562"/>
      <c r="K77" s="562"/>
      <c r="L77" s="562"/>
      <c r="M77" s="562"/>
      <c r="N77" s="562"/>
    </row>
    <row r="78" spans="1:27">
      <c r="J78" s="562"/>
      <c r="K78" s="562"/>
      <c r="L78" s="562"/>
      <c r="M78" s="562"/>
      <c r="N78"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34846.630906115177</v>
      </c>
      <c r="C4" s="451">
        <f>huishoudens!C8</f>
        <v>0</v>
      </c>
      <c r="D4" s="451">
        <f>huishoudens!D8</f>
        <v>83955.737690191294</v>
      </c>
      <c r="E4" s="451">
        <f>huishoudens!E8</f>
        <v>9104.7122619649763</v>
      </c>
      <c r="F4" s="451">
        <f>huishoudens!F8</f>
        <v>23819.499058847778</v>
      </c>
      <c r="G4" s="451">
        <f>huishoudens!G8</f>
        <v>0</v>
      </c>
      <c r="H4" s="451">
        <f>huishoudens!H8</f>
        <v>0</v>
      </c>
      <c r="I4" s="451">
        <f>huishoudens!I8</f>
        <v>0</v>
      </c>
      <c r="J4" s="451">
        <f>huishoudens!J8</f>
        <v>0</v>
      </c>
      <c r="K4" s="451">
        <f>huishoudens!K8</f>
        <v>0</v>
      </c>
      <c r="L4" s="451">
        <f>huishoudens!L8</f>
        <v>0</v>
      </c>
      <c r="M4" s="451">
        <f>huishoudens!M8</f>
        <v>0</v>
      </c>
      <c r="N4" s="451">
        <f>huishoudens!N8</f>
        <v>10540.997224584746</v>
      </c>
      <c r="O4" s="451">
        <f>huishoudens!O8</f>
        <v>373.63666666666671</v>
      </c>
      <c r="P4" s="452">
        <f>huishoudens!P8</f>
        <v>1830.4</v>
      </c>
      <c r="Q4" s="453">
        <f>SUM(B4:P4)</f>
        <v>164471.61380837063</v>
      </c>
    </row>
    <row r="5" spans="1:17">
      <c r="A5" s="450" t="s">
        <v>155</v>
      </c>
      <c r="B5" s="451">
        <f ca="1">tertiair!B16</f>
        <v>60383.976817414929</v>
      </c>
      <c r="C5" s="451">
        <f ca="1">tertiair!C16</f>
        <v>8164.2857142857147</v>
      </c>
      <c r="D5" s="451">
        <f ca="1">tertiair!D16</f>
        <v>37217.784287369876</v>
      </c>
      <c r="E5" s="451">
        <f>tertiair!E16</f>
        <v>1343.9880623704023</v>
      </c>
      <c r="F5" s="451">
        <f ca="1">tertiair!F16</f>
        <v>9909.4014649342353</v>
      </c>
      <c r="G5" s="451">
        <f>tertiair!G16</f>
        <v>0</v>
      </c>
      <c r="H5" s="451">
        <f>tertiair!H16</f>
        <v>0</v>
      </c>
      <c r="I5" s="451">
        <f>tertiair!I16</f>
        <v>0</v>
      </c>
      <c r="J5" s="451">
        <f>tertiair!J16</f>
        <v>5.6048081272756248E-2</v>
      </c>
      <c r="K5" s="451">
        <f>tertiair!K16</f>
        <v>0</v>
      </c>
      <c r="L5" s="451">
        <f ca="1">tertiair!L16</f>
        <v>0</v>
      </c>
      <c r="M5" s="451">
        <f>tertiair!M16</f>
        <v>0</v>
      </c>
      <c r="N5" s="451">
        <f ca="1">tertiair!N16</f>
        <v>2299.5193427842851</v>
      </c>
      <c r="O5" s="451">
        <f>tertiair!O16</f>
        <v>6.2533333333333339</v>
      </c>
      <c r="P5" s="452">
        <f>tertiair!P16</f>
        <v>95.333333333333343</v>
      </c>
      <c r="Q5" s="450">
        <f t="shared" ref="Q5:Q14" ca="1" si="0">SUM(B5:P5)</f>
        <v>119420.5984039074</v>
      </c>
    </row>
    <row r="6" spans="1:17">
      <c r="A6" s="450" t="s">
        <v>193</v>
      </c>
      <c r="B6" s="451">
        <f>'openbare verlichting'!B8</f>
        <v>1414.5239999999999</v>
      </c>
      <c r="C6" s="451"/>
      <c r="D6" s="451"/>
      <c r="E6" s="451"/>
      <c r="F6" s="451"/>
      <c r="G6" s="451"/>
      <c r="H6" s="451"/>
      <c r="I6" s="451"/>
      <c r="J6" s="451"/>
      <c r="K6" s="451"/>
      <c r="L6" s="451"/>
      <c r="M6" s="451"/>
      <c r="N6" s="451"/>
      <c r="O6" s="451"/>
      <c r="P6" s="452"/>
      <c r="Q6" s="450">
        <f t="shared" si="0"/>
        <v>1414.5239999999999</v>
      </c>
    </row>
    <row r="7" spans="1:17">
      <c r="A7" s="450" t="s">
        <v>111</v>
      </c>
      <c r="B7" s="451">
        <f>landbouw!B8</f>
        <v>6829.9926072374901</v>
      </c>
      <c r="C7" s="451">
        <f>landbouw!C8</f>
        <v>238948.7142857142</v>
      </c>
      <c r="D7" s="451">
        <f>landbouw!D8</f>
        <v>31598.896753155044</v>
      </c>
      <c r="E7" s="451">
        <f>landbouw!E8</f>
        <v>200.75434393196386</v>
      </c>
      <c r="F7" s="451">
        <f>landbouw!F8</f>
        <v>16843.380128322686</v>
      </c>
      <c r="G7" s="451">
        <f>landbouw!G8</f>
        <v>0</v>
      </c>
      <c r="H7" s="451">
        <f>landbouw!H8</f>
        <v>0</v>
      </c>
      <c r="I7" s="451">
        <f>landbouw!I8</f>
        <v>0</v>
      </c>
      <c r="J7" s="451">
        <f>landbouw!J8</f>
        <v>989.51925301849076</v>
      </c>
      <c r="K7" s="451">
        <f>landbouw!K8</f>
        <v>0</v>
      </c>
      <c r="L7" s="451">
        <f>landbouw!L8</f>
        <v>0</v>
      </c>
      <c r="M7" s="451">
        <f>landbouw!M8</f>
        <v>0</v>
      </c>
      <c r="N7" s="451">
        <f>landbouw!N8</f>
        <v>0</v>
      </c>
      <c r="O7" s="451">
        <f>landbouw!O8</f>
        <v>0</v>
      </c>
      <c r="P7" s="452">
        <f>landbouw!P8</f>
        <v>0</v>
      </c>
      <c r="Q7" s="450">
        <f t="shared" si="0"/>
        <v>295411.25737137988</v>
      </c>
    </row>
    <row r="8" spans="1:17">
      <c r="A8" s="450" t="s">
        <v>634</v>
      </c>
      <c r="B8" s="451">
        <f>industrie!B18</f>
        <v>5376.3912585812268</v>
      </c>
      <c r="C8" s="451">
        <f>industrie!C18</f>
        <v>0</v>
      </c>
      <c r="D8" s="451">
        <f>industrie!D18</f>
        <v>7562.9158040974798</v>
      </c>
      <c r="E8" s="451">
        <f>industrie!E18</f>
        <v>610.94366338958764</v>
      </c>
      <c r="F8" s="451">
        <f>industrie!F18</f>
        <v>1879.6871814836848</v>
      </c>
      <c r="G8" s="451">
        <f>industrie!G18</f>
        <v>0</v>
      </c>
      <c r="H8" s="451">
        <f>industrie!H18</f>
        <v>0</v>
      </c>
      <c r="I8" s="451">
        <f>industrie!I18</f>
        <v>0</v>
      </c>
      <c r="J8" s="451">
        <f>industrie!J18</f>
        <v>8.7081730741859804</v>
      </c>
      <c r="K8" s="451">
        <f>industrie!K18</f>
        <v>0</v>
      </c>
      <c r="L8" s="451">
        <f>industrie!L18</f>
        <v>0</v>
      </c>
      <c r="M8" s="451">
        <f>industrie!M18</f>
        <v>0</v>
      </c>
      <c r="N8" s="451">
        <f>industrie!N18</f>
        <v>338.36795138426646</v>
      </c>
      <c r="O8" s="451">
        <f>industrie!O18</f>
        <v>0</v>
      </c>
      <c r="P8" s="452">
        <f>industrie!P18</f>
        <v>0</v>
      </c>
      <c r="Q8" s="450">
        <f t="shared" si="0"/>
        <v>15777.014032010433</v>
      </c>
    </row>
    <row r="9" spans="1:17" s="456" customFormat="1">
      <c r="A9" s="454" t="s">
        <v>560</v>
      </c>
      <c r="B9" s="455">
        <f>transport!B14</f>
        <v>30.532724545441418</v>
      </c>
      <c r="C9" s="455">
        <f>transport!C14</f>
        <v>0</v>
      </c>
      <c r="D9" s="455">
        <f>transport!D14</f>
        <v>85.637862109297487</v>
      </c>
      <c r="E9" s="455">
        <f>transport!E14</f>
        <v>144.9086806657179</v>
      </c>
      <c r="F9" s="455">
        <f>transport!F14</f>
        <v>0</v>
      </c>
      <c r="G9" s="455">
        <f>transport!G14</f>
        <v>61118.311683680506</v>
      </c>
      <c r="H9" s="455">
        <f>transport!H14</f>
        <v>14459.28953691208</v>
      </c>
      <c r="I9" s="455">
        <f>transport!I14</f>
        <v>0</v>
      </c>
      <c r="J9" s="455">
        <f>transport!J14</f>
        <v>0</v>
      </c>
      <c r="K9" s="455">
        <f>transport!K14</f>
        <v>0</v>
      </c>
      <c r="L9" s="455">
        <f>transport!L14</f>
        <v>0</v>
      </c>
      <c r="M9" s="455">
        <f>transport!M14</f>
        <v>3996.5522572759969</v>
      </c>
      <c r="N9" s="455">
        <f>transport!N14</f>
        <v>0</v>
      </c>
      <c r="O9" s="455">
        <f>transport!O14</f>
        <v>0</v>
      </c>
      <c r="P9" s="455">
        <f>transport!P14</f>
        <v>0</v>
      </c>
      <c r="Q9" s="454">
        <f>SUM(B9:P9)</f>
        <v>79835.232745189031</v>
      </c>
    </row>
    <row r="10" spans="1:17">
      <c r="A10" s="450" t="s">
        <v>550</v>
      </c>
      <c r="B10" s="451">
        <f>transport!B54</f>
        <v>0</v>
      </c>
      <c r="C10" s="451">
        <f>transport!C54</f>
        <v>0</v>
      </c>
      <c r="D10" s="451">
        <f>transport!D54</f>
        <v>0</v>
      </c>
      <c r="E10" s="451">
        <f>transport!E54</f>
        <v>0</v>
      </c>
      <c r="F10" s="451">
        <f>transport!F54</f>
        <v>0</v>
      </c>
      <c r="G10" s="451">
        <f>transport!G54</f>
        <v>2319.2868548023453</v>
      </c>
      <c r="H10" s="451">
        <f>transport!H54</f>
        <v>0</v>
      </c>
      <c r="I10" s="451">
        <f>transport!I54</f>
        <v>0</v>
      </c>
      <c r="J10" s="451">
        <f>transport!J54</f>
        <v>0</v>
      </c>
      <c r="K10" s="451">
        <f>transport!K54</f>
        <v>0</v>
      </c>
      <c r="L10" s="451">
        <f>transport!L54</f>
        <v>0</v>
      </c>
      <c r="M10" s="451">
        <f>transport!M54</f>
        <v>131.71530427063212</v>
      </c>
      <c r="N10" s="451">
        <f>transport!N54</f>
        <v>0</v>
      </c>
      <c r="O10" s="451">
        <f>transport!O54</f>
        <v>0</v>
      </c>
      <c r="P10" s="452">
        <f>transport!P54</f>
        <v>0</v>
      </c>
      <c r="Q10" s="450">
        <f t="shared" si="0"/>
        <v>2451.0021590729775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1407.9656049514201</v>
      </c>
      <c r="C14" s="458"/>
      <c r="D14" s="458">
        <f>'SEAP template'!E25</f>
        <v>2554.1859767528103</v>
      </c>
      <c r="E14" s="458"/>
      <c r="F14" s="458"/>
      <c r="G14" s="458"/>
      <c r="H14" s="458"/>
      <c r="I14" s="458"/>
      <c r="J14" s="458"/>
      <c r="K14" s="458"/>
      <c r="L14" s="458"/>
      <c r="M14" s="458"/>
      <c r="N14" s="458"/>
      <c r="O14" s="458"/>
      <c r="P14" s="459"/>
      <c r="Q14" s="450">
        <f t="shared" si="0"/>
        <v>3962.1515817042305</v>
      </c>
    </row>
    <row r="15" spans="1:17" s="460" customFormat="1">
      <c r="A15" s="1005" t="s">
        <v>554</v>
      </c>
      <c r="B15" s="953">
        <f ca="1">SUM(B4:B14)</f>
        <v>110290.01391884568</v>
      </c>
      <c r="C15" s="953">
        <f t="shared" ref="C15:Q15" ca="1" si="1">SUM(C4:C14)</f>
        <v>247112.99999999991</v>
      </c>
      <c r="D15" s="953">
        <f t="shared" ca="1" si="1"/>
        <v>162975.1583736758</v>
      </c>
      <c r="E15" s="953">
        <f t="shared" si="1"/>
        <v>11405.307012322648</v>
      </c>
      <c r="F15" s="953">
        <f t="shared" ca="1" si="1"/>
        <v>52451.96783358838</v>
      </c>
      <c r="G15" s="953">
        <f t="shared" si="1"/>
        <v>63437.598538482853</v>
      </c>
      <c r="H15" s="953">
        <f t="shared" si="1"/>
        <v>14459.28953691208</v>
      </c>
      <c r="I15" s="953">
        <f t="shared" si="1"/>
        <v>0</v>
      </c>
      <c r="J15" s="953">
        <f t="shared" si="1"/>
        <v>998.28347417394946</v>
      </c>
      <c r="K15" s="953">
        <f t="shared" si="1"/>
        <v>0</v>
      </c>
      <c r="L15" s="953">
        <f t="shared" ca="1" si="1"/>
        <v>0</v>
      </c>
      <c r="M15" s="953">
        <f t="shared" si="1"/>
        <v>4128.2675615466287</v>
      </c>
      <c r="N15" s="953">
        <f t="shared" ca="1" si="1"/>
        <v>13178.884518753299</v>
      </c>
      <c r="O15" s="953">
        <f t="shared" si="1"/>
        <v>379.89000000000004</v>
      </c>
      <c r="P15" s="953">
        <f t="shared" si="1"/>
        <v>1925.7333333333333</v>
      </c>
      <c r="Q15" s="953">
        <f t="shared" ca="1" si="1"/>
        <v>682743.39410163462</v>
      </c>
    </row>
    <row r="17" spans="1:17">
      <c r="A17" s="461" t="s">
        <v>555</v>
      </c>
      <c r="B17" s="760">
        <f ca="1">huishoudens!B10</f>
        <v>0.21089768415331747</v>
      </c>
      <c r="C17" s="760">
        <f ca="1">huishoudens!C10</f>
        <v>0.2227796130178574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7349.0737586451096</v>
      </c>
      <c r="C22" s="451">
        <f t="shared" ref="C22:C32" ca="1" si="3">C4*$C$17</f>
        <v>0</v>
      </c>
      <c r="D22" s="451">
        <f t="shared" ref="D22:D32" si="4">D4*$D$17</f>
        <v>16959.059013418642</v>
      </c>
      <c r="E22" s="451">
        <f t="shared" ref="E22:E32" si="5">E4*$E$17</f>
        <v>2066.7696834660496</v>
      </c>
      <c r="F22" s="451">
        <f t="shared" ref="F22:F32" si="6">F4*$F$17</f>
        <v>6359.806248712357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32734.708704242159</v>
      </c>
    </row>
    <row r="23" spans="1:17">
      <c r="A23" s="450" t="s">
        <v>155</v>
      </c>
      <c r="B23" s="451">
        <f t="shared" ca="1" si="2"/>
        <v>12734.840870760418</v>
      </c>
      <c r="C23" s="451">
        <f t="shared" ca="1" si="3"/>
        <v>1818.836411995793</v>
      </c>
      <c r="D23" s="451">
        <f t="shared" ca="1" si="4"/>
        <v>7517.9924260487151</v>
      </c>
      <c r="E23" s="451">
        <f t="shared" si="5"/>
        <v>305.08529015808131</v>
      </c>
      <c r="F23" s="451">
        <f t="shared" ca="1" si="6"/>
        <v>2645.8101911374411</v>
      </c>
      <c r="G23" s="451">
        <f t="shared" si="7"/>
        <v>0</v>
      </c>
      <c r="H23" s="451">
        <f t="shared" si="8"/>
        <v>0</v>
      </c>
      <c r="I23" s="451">
        <f t="shared" si="9"/>
        <v>0</v>
      </c>
      <c r="J23" s="451">
        <f t="shared" si="10"/>
        <v>1.984102077055571E-2</v>
      </c>
      <c r="K23" s="451">
        <f t="shared" si="11"/>
        <v>0</v>
      </c>
      <c r="L23" s="451">
        <f t="shared" ca="1" si="12"/>
        <v>0</v>
      </c>
      <c r="M23" s="451">
        <f t="shared" si="13"/>
        <v>0</v>
      </c>
      <c r="N23" s="451">
        <f t="shared" ca="1" si="14"/>
        <v>0</v>
      </c>
      <c r="O23" s="451">
        <f t="shared" si="15"/>
        <v>0</v>
      </c>
      <c r="P23" s="452">
        <f t="shared" si="16"/>
        <v>0</v>
      </c>
      <c r="Q23" s="450">
        <f t="shared" ref="Q23:Q32" ca="1" si="17">SUM(B23:P23)</f>
        <v>25022.585031121216</v>
      </c>
    </row>
    <row r="24" spans="1:17">
      <c r="A24" s="450" t="s">
        <v>193</v>
      </c>
      <c r="B24" s="451">
        <f t="shared" ca="1" si="2"/>
        <v>298.31983577928725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298.31983577928725</v>
      </c>
    </row>
    <row r="25" spans="1:17">
      <c r="A25" s="450" t="s">
        <v>111</v>
      </c>
      <c r="B25" s="451">
        <f t="shared" ca="1" si="2"/>
        <v>1440.4296236506655</v>
      </c>
      <c r="C25" s="451">
        <f t="shared" ca="1" si="3"/>
        <v>53232.902099685984</v>
      </c>
      <c r="D25" s="451">
        <f t="shared" si="4"/>
        <v>6382.9771441373196</v>
      </c>
      <c r="E25" s="451">
        <f t="shared" si="5"/>
        <v>45.571236072555799</v>
      </c>
      <c r="F25" s="451">
        <f t="shared" si="6"/>
        <v>4497.182494262157</v>
      </c>
      <c r="G25" s="451">
        <f t="shared" si="7"/>
        <v>0</v>
      </c>
      <c r="H25" s="451">
        <f t="shared" si="8"/>
        <v>0</v>
      </c>
      <c r="I25" s="451">
        <f t="shared" si="9"/>
        <v>0</v>
      </c>
      <c r="J25" s="451">
        <f t="shared" si="10"/>
        <v>350.28981556854569</v>
      </c>
      <c r="K25" s="451">
        <f t="shared" si="11"/>
        <v>0</v>
      </c>
      <c r="L25" s="451">
        <f t="shared" si="12"/>
        <v>0</v>
      </c>
      <c r="M25" s="451">
        <f t="shared" si="13"/>
        <v>0</v>
      </c>
      <c r="N25" s="451">
        <f t="shared" si="14"/>
        <v>0</v>
      </c>
      <c r="O25" s="451">
        <f t="shared" si="15"/>
        <v>0</v>
      </c>
      <c r="P25" s="452">
        <f t="shared" si="16"/>
        <v>0</v>
      </c>
      <c r="Q25" s="450">
        <f t="shared" ca="1" si="17"/>
        <v>65949.35241337723</v>
      </c>
    </row>
    <row r="26" spans="1:17">
      <c r="A26" s="450" t="s">
        <v>634</v>
      </c>
      <c r="B26" s="451">
        <f t="shared" ca="1" si="2"/>
        <v>1133.8684655369207</v>
      </c>
      <c r="C26" s="451">
        <f t="shared" ca="1" si="3"/>
        <v>0</v>
      </c>
      <c r="D26" s="451">
        <f t="shared" si="4"/>
        <v>1527.7089924276911</v>
      </c>
      <c r="E26" s="451">
        <f t="shared" si="5"/>
        <v>138.68421158943639</v>
      </c>
      <c r="F26" s="451">
        <f t="shared" si="6"/>
        <v>501.87647745614385</v>
      </c>
      <c r="G26" s="451">
        <f t="shared" si="7"/>
        <v>0</v>
      </c>
      <c r="H26" s="451">
        <f t="shared" si="8"/>
        <v>0</v>
      </c>
      <c r="I26" s="451">
        <f t="shared" si="9"/>
        <v>0</v>
      </c>
      <c r="J26" s="451">
        <f t="shared" si="10"/>
        <v>3.0826932682618371</v>
      </c>
      <c r="K26" s="451">
        <f t="shared" si="11"/>
        <v>0</v>
      </c>
      <c r="L26" s="451">
        <f t="shared" si="12"/>
        <v>0</v>
      </c>
      <c r="M26" s="451">
        <f t="shared" si="13"/>
        <v>0</v>
      </c>
      <c r="N26" s="451">
        <f t="shared" si="14"/>
        <v>0</v>
      </c>
      <c r="O26" s="451">
        <f t="shared" si="15"/>
        <v>0</v>
      </c>
      <c r="P26" s="452">
        <f t="shared" si="16"/>
        <v>0</v>
      </c>
      <c r="Q26" s="450">
        <f t="shared" ca="1" si="17"/>
        <v>3305.2208402784536</v>
      </c>
    </row>
    <row r="27" spans="1:17" s="456" customFormat="1">
      <c r="A27" s="454" t="s">
        <v>560</v>
      </c>
      <c r="B27" s="754">
        <f t="shared" ca="1" si="2"/>
        <v>6.439280897524748</v>
      </c>
      <c r="C27" s="455">
        <f t="shared" ca="1" si="3"/>
        <v>0</v>
      </c>
      <c r="D27" s="455">
        <f t="shared" si="4"/>
        <v>17.298848146078093</v>
      </c>
      <c r="E27" s="455">
        <f t="shared" si="5"/>
        <v>32.894270511117966</v>
      </c>
      <c r="F27" s="455">
        <f t="shared" si="6"/>
        <v>0</v>
      </c>
      <c r="G27" s="455">
        <f t="shared" si="7"/>
        <v>16318.589219542697</v>
      </c>
      <c r="H27" s="455">
        <f t="shared" si="8"/>
        <v>3600.363094691108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19975.584713788525</v>
      </c>
    </row>
    <row r="28" spans="1:17">
      <c r="A28" s="450" t="s">
        <v>550</v>
      </c>
      <c r="B28" s="451">
        <f t="shared" ca="1" si="2"/>
        <v>0</v>
      </c>
      <c r="C28" s="451">
        <f t="shared" ca="1" si="3"/>
        <v>0</v>
      </c>
      <c r="D28" s="451">
        <f t="shared" si="4"/>
        <v>0</v>
      </c>
      <c r="E28" s="451">
        <f t="shared" si="5"/>
        <v>0</v>
      </c>
      <c r="F28" s="451">
        <f t="shared" si="6"/>
        <v>0</v>
      </c>
      <c r="G28" s="451">
        <f t="shared" si="7"/>
        <v>619.24959023222618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619.24959023222618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296.93668545177917</v>
      </c>
      <c r="C32" s="451">
        <f t="shared" ca="1" si="3"/>
        <v>0</v>
      </c>
      <c r="D32" s="451">
        <f t="shared" si="4"/>
        <v>515.94556730406771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812.88225275584682</v>
      </c>
    </row>
    <row r="33" spans="1:17" s="460" customFormat="1">
      <c r="A33" s="1005" t="s">
        <v>554</v>
      </c>
      <c r="B33" s="953">
        <f ca="1">SUM(B22:B32)</f>
        <v>23259.908520721707</v>
      </c>
      <c r="C33" s="953">
        <f t="shared" ref="C33:Q33" ca="1" si="18">SUM(C22:C32)</f>
        <v>55051.738511681775</v>
      </c>
      <c r="D33" s="953">
        <f t="shared" ca="1" si="18"/>
        <v>32920.981991482513</v>
      </c>
      <c r="E33" s="953">
        <f t="shared" si="18"/>
        <v>2589.0046917972413</v>
      </c>
      <c r="F33" s="953">
        <f t="shared" ca="1" si="18"/>
        <v>14004.6754115681</v>
      </c>
      <c r="G33" s="953">
        <f t="shared" si="18"/>
        <v>16937.838809774923</v>
      </c>
      <c r="H33" s="953">
        <f t="shared" si="18"/>
        <v>3600.363094691108</v>
      </c>
      <c r="I33" s="953">
        <f t="shared" si="18"/>
        <v>0</v>
      </c>
      <c r="J33" s="953">
        <f t="shared" si="18"/>
        <v>353.3923498575781</v>
      </c>
      <c r="K33" s="953">
        <f t="shared" si="18"/>
        <v>0</v>
      </c>
      <c r="L33" s="953">
        <f t="shared" ca="1" si="18"/>
        <v>0</v>
      </c>
      <c r="M33" s="953">
        <f t="shared" si="18"/>
        <v>0</v>
      </c>
      <c r="N33" s="953">
        <f t="shared" ca="1" si="18"/>
        <v>0</v>
      </c>
      <c r="O33" s="953">
        <f t="shared" si="18"/>
        <v>0</v>
      </c>
      <c r="P33" s="953">
        <f t="shared" si="18"/>
        <v>0</v>
      </c>
      <c r="Q33" s="953">
        <f t="shared" ca="1" si="18"/>
        <v>148717.90338157493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9967.9998653933035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12393.655498569624</v>
      </c>
      <c r="C8" s="1022">
        <f>'SEAP template'!C76</f>
        <v>164532.84450143037</v>
      </c>
      <c r="D8" s="1022">
        <f>'SEAP template'!D76</f>
        <v>188723.88886277951</v>
      </c>
      <c r="E8" s="1022">
        <f>'SEAP template'!E76</f>
        <v>0</v>
      </c>
      <c r="F8" s="1022">
        <f>'SEAP template'!F76</f>
        <v>4844.1634918445116</v>
      </c>
      <c r="G8" s="1022">
        <f>'SEAP template'!G76</f>
        <v>0</v>
      </c>
      <c r="H8" s="1022">
        <f>'SEAP template'!H76</f>
        <v>0</v>
      </c>
      <c r="I8" s="1022">
        <f>'SEAP template'!I76</f>
        <v>14532.490475533534</v>
      </c>
      <c r="J8" s="1022">
        <f>'SEAP template'!J76</f>
        <v>48.280699254264235</v>
      </c>
      <c r="K8" s="1022">
        <f>'SEAP template'!K76</f>
        <v>0</v>
      </c>
      <c r="L8" s="1022">
        <f>'SEAP template'!L76</f>
        <v>0</v>
      </c>
      <c r="M8" s="1022">
        <f>'SEAP template'!M76</f>
        <v>0</v>
      </c>
      <c r="N8" s="1022">
        <f>'SEAP template'!N76</f>
        <v>0</v>
      </c>
      <c r="O8" s="1022">
        <f>'SEAP template'!O76</f>
        <v>0</v>
      </c>
      <c r="P8" s="1023">
        <f>'SEAP template'!Q76</f>
        <v>39415.617202603949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22361.655363962927</v>
      </c>
      <c r="C10" s="1026">
        <f>SUM(C4:C9)</f>
        <v>164532.84450143037</v>
      </c>
      <c r="D10" s="1026">
        <f t="shared" ref="D10:H10" si="0">SUM(D8:D9)</f>
        <v>188723.88886277951</v>
      </c>
      <c r="E10" s="1026">
        <f t="shared" si="0"/>
        <v>0</v>
      </c>
      <c r="F10" s="1026">
        <f t="shared" si="0"/>
        <v>4844.1634918445116</v>
      </c>
      <c r="G10" s="1026">
        <f t="shared" si="0"/>
        <v>0</v>
      </c>
      <c r="H10" s="1026">
        <f t="shared" si="0"/>
        <v>0</v>
      </c>
      <c r="I10" s="1026">
        <f>SUM(I8:I9)</f>
        <v>14532.490475533534</v>
      </c>
      <c r="J10" s="1026">
        <f>SUM(J8:J9)</f>
        <v>48.280699254264235</v>
      </c>
      <c r="K10" s="1026">
        <f t="shared" ref="K10:L10" si="1">SUM(K8:K9)</f>
        <v>0</v>
      </c>
      <c r="L10" s="1026">
        <f t="shared" si="1"/>
        <v>0</v>
      </c>
      <c r="M10" s="1026">
        <f>SUM(M8:M9)</f>
        <v>0</v>
      </c>
      <c r="N10" s="1026">
        <f>SUM(N8:N9)</f>
        <v>0</v>
      </c>
      <c r="O10" s="1026">
        <f>SUM(O8:O9)</f>
        <v>0</v>
      </c>
      <c r="P10" s="1026">
        <f>SUM(P8:P9)</f>
        <v>39415.617202603949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0.21089768415331747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17310.201644287514</v>
      </c>
      <c r="C17" s="1028">
        <f>'SEAP template'!C87</f>
        <v>229802.79835571238</v>
      </c>
      <c r="D17" s="1023">
        <f>'SEAP template'!D87</f>
        <v>263590.3968515062</v>
      </c>
      <c r="E17" s="1023">
        <f>'SEAP template'!E87</f>
        <v>0</v>
      </c>
      <c r="F17" s="1023">
        <f>'SEAP template'!F87</f>
        <v>6765.8365081554903</v>
      </c>
      <c r="G17" s="1023">
        <f>'SEAP template'!G87</f>
        <v>0</v>
      </c>
      <c r="H17" s="1023">
        <f>'SEAP template'!H87</f>
        <v>0</v>
      </c>
      <c r="I17" s="1023">
        <f>'SEAP template'!I87</f>
        <v>20297.50952446647</v>
      </c>
      <c r="J17" s="1023">
        <f>'SEAP template'!J87</f>
        <v>67.433586460021502</v>
      </c>
      <c r="K17" s="1023">
        <f>'SEAP template'!K87</f>
        <v>0</v>
      </c>
      <c r="L17" s="1023">
        <f>'SEAP template'!L87</f>
        <v>0</v>
      </c>
      <c r="M17" s="1023">
        <f>'SEAP template'!M87</f>
        <v>0</v>
      </c>
      <c r="N17" s="1023">
        <f>'SEAP template'!N87</f>
        <v>0</v>
      </c>
      <c r="O17" s="1023">
        <f>'SEAP template'!O87</f>
        <v>0</v>
      </c>
      <c r="P17" s="1023">
        <f>'SEAP template'!Q87</f>
        <v>55051.738511681775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17310.201644287514</v>
      </c>
      <c r="C20" s="1026">
        <f>SUM(C17:C19)</f>
        <v>229802.79835571238</v>
      </c>
      <c r="D20" s="1026">
        <f t="shared" ref="D20:H20" si="2">SUM(D17:D19)</f>
        <v>263590.3968515062</v>
      </c>
      <c r="E20" s="1026">
        <f t="shared" si="2"/>
        <v>0</v>
      </c>
      <c r="F20" s="1026">
        <f t="shared" si="2"/>
        <v>6765.8365081554903</v>
      </c>
      <c r="G20" s="1026">
        <f t="shared" si="2"/>
        <v>0</v>
      </c>
      <c r="H20" s="1026">
        <f t="shared" si="2"/>
        <v>0</v>
      </c>
      <c r="I20" s="1026">
        <f>SUM(I17:I19)</f>
        <v>20297.50952446647</v>
      </c>
      <c r="J20" s="1026">
        <f>SUM(J17:J19)</f>
        <v>67.433586460021502</v>
      </c>
      <c r="K20" s="1026">
        <f t="shared" ref="K20:L20" si="3">SUM(K17:K19)</f>
        <v>0</v>
      </c>
      <c r="L20" s="1026">
        <f t="shared" si="3"/>
        <v>0</v>
      </c>
      <c r="M20" s="1026">
        <f>SUM(M17:M19)</f>
        <v>0</v>
      </c>
      <c r="N20" s="1026">
        <f>SUM(N17:N19)</f>
        <v>0</v>
      </c>
      <c r="O20" s="1026">
        <f>SUM(O17:O19)</f>
        <v>0</v>
      </c>
      <c r="P20" s="1026">
        <f>SUM(P17:P19)</f>
        <v>55051.738511681775</v>
      </c>
    </row>
    <row r="22" spans="1:16">
      <c r="A22" s="461" t="s">
        <v>848</v>
      </c>
      <c r="B22" s="760" t="s">
        <v>842</v>
      </c>
      <c r="C22" s="760">
        <f ca="1">'EF ele_warmte'!B22</f>
        <v>0.2227796130178574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0.21089768415331747</v>
      </c>
      <c r="C17" s="498">
        <f ca="1">'EF ele_warmte'!B22</f>
        <v>0.2227796130178574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2020-06-20T15:40:00Z</dcterms:modified>
</cp:coreProperties>
</file>