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7" i="18"/>
  <c r="V47" i="18"/>
  <c r="U47" i="18"/>
  <c r="T47" i="18"/>
  <c r="S47" i="18"/>
  <c r="R47" i="18"/>
  <c r="Q47" i="18"/>
  <c r="N6" i="17" s="1"/>
  <c r="P47" i="18"/>
  <c r="O47" i="18"/>
  <c r="N47" i="18"/>
  <c r="M47" i="18"/>
  <c r="W46" i="18"/>
  <c r="V46" i="18"/>
  <c r="U46" i="18"/>
  <c r="T46" i="18"/>
  <c r="S46" i="18"/>
  <c r="R46" i="18"/>
  <c r="Q46" i="18"/>
  <c r="P46" i="18"/>
  <c r="O46" i="18"/>
  <c r="N46" i="18"/>
  <c r="M46" i="18"/>
  <c r="W45" i="18"/>
  <c r="V45" i="18"/>
  <c r="U45" i="18"/>
  <c r="T45" i="18"/>
  <c r="S45" i="18"/>
  <c r="R45" i="18"/>
  <c r="Q45" i="18"/>
  <c r="P45" i="18"/>
  <c r="O45" i="18"/>
  <c r="N45" i="18"/>
  <c r="M45" i="18"/>
  <c r="W44" i="18"/>
  <c r="V44" i="18"/>
  <c r="J9" i="18" s="1"/>
  <c r="J77" i="14" s="1"/>
  <c r="J9" i="61" s="1"/>
  <c r="U44" i="18"/>
  <c r="T44" i="18"/>
  <c r="I9" i="18" s="1"/>
  <c r="S44" i="18"/>
  <c r="R44" i="18"/>
  <c r="Q44" i="18"/>
  <c r="P44" i="18"/>
  <c r="C9" i="18" s="1"/>
  <c r="O44" i="18"/>
  <c r="N44" i="18"/>
  <c r="B9" i="18" s="1"/>
  <c r="M44" i="18"/>
  <c r="W40" i="18"/>
  <c r="V40" i="18"/>
  <c r="U40" i="18"/>
  <c r="L6" i="17" s="1"/>
  <c r="T40" i="18"/>
  <c r="S40" i="18"/>
  <c r="R40" i="18"/>
  <c r="Q40" i="18"/>
  <c r="P40" i="18"/>
  <c r="O40" i="18"/>
  <c r="N40" i="18"/>
  <c r="M40" i="18"/>
  <c r="W39" i="18"/>
  <c r="V39" i="18"/>
  <c r="U39" i="18"/>
  <c r="T39" i="18"/>
  <c r="S39" i="18"/>
  <c r="F13" i="15" s="1"/>
  <c r="R39" i="18"/>
  <c r="Q39" i="18"/>
  <c r="P39" i="18"/>
  <c r="D13" i="15" s="1"/>
  <c r="O39" i="18"/>
  <c r="C13" i="15" s="1"/>
  <c r="N39" i="18"/>
  <c r="M39" i="18"/>
  <c r="W38" i="18"/>
  <c r="V38" i="18"/>
  <c r="U38" i="18"/>
  <c r="T38" i="18"/>
  <c r="S38" i="18"/>
  <c r="R38" i="18"/>
  <c r="Q38" i="18"/>
  <c r="P38" i="18"/>
  <c r="O38" i="18"/>
  <c r="N38" i="18"/>
  <c r="M38" i="18"/>
  <c r="W37" i="18"/>
  <c r="V37" i="18"/>
  <c r="U37" i="18"/>
  <c r="T37" i="18"/>
  <c r="S37" i="18"/>
  <c r="R37" i="18"/>
  <c r="Q37" i="18"/>
  <c r="P37" i="18"/>
  <c r="O37" i="18"/>
  <c r="N37" i="18"/>
  <c r="C53" i="18" s="1"/>
  <c r="M37" i="18"/>
  <c r="G22" i="18"/>
  <c r="F22" i="18"/>
  <c r="E22" i="18"/>
  <c r="D22" i="18"/>
  <c r="C22" i="18"/>
  <c r="B17" i="18"/>
  <c r="G12" i="18"/>
  <c r="F12" i="18"/>
  <c r="E12" i="18"/>
  <c r="D12" i="18"/>
  <c r="C12" i="18"/>
  <c r="L10" i="18"/>
  <c r="E77" i="14"/>
  <c r="E9" i="61" s="1"/>
  <c r="B6" i="18"/>
  <c r="B74" i="14" s="1"/>
  <c r="B6" i="61" s="1"/>
  <c r="B5" i="18"/>
  <c r="B73" i="14" s="1"/>
  <c r="B5" i="61" s="1"/>
  <c r="B4" i="18"/>
  <c r="B72" i="14" s="1"/>
  <c r="B4" i="61" s="1"/>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B8" i="18"/>
  <c r="B53" i="18"/>
  <c r="G57"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56" i="18"/>
  <c r="H8" i="18" s="1"/>
  <c r="E56" i="18"/>
  <c r="E8" i="18" s="1"/>
  <c r="G56" i="18"/>
  <c r="F56" i="18"/>
  <c r="H56" i="18"/>
  <c r="D56" i="18"/>
  <c r="C56" i="18"/>
  <c r="B56" i="18"/>
  <c r="C8" i="18" s="1"/>
  <c r="C57" i="18"/>
  <c r="B57" i="18"/>
  <c r="C17" i="18" s="1"/>
  <c r="H57" i="18"/>
  <c r="D57"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57" i="18" l="1"/>
  <c r="E17" i="18" s="1"/>
  <c r="I57" i="18"/>
  <c r="H17" i="18" s="1"/>
  <c r="I8" i="18"/>
  <c r="O8" i="18" s="1"/>
  <c r="O10" i="18" s="1"/>
  <c r="F57" i="18"/>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B4" i="48"/>
  <c r="C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Q13" i="14"/>
  <c r="Q16" i="14" s="1"/>
  <c r="Q27" i="14" s="1"/>
  <c r="P8" i="48"/>
  <c r="P26" i="48"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I20" i="14"/>
  <c r="I22" i="14" s="1"/>
  <c r="I27" i="14" s="1"/>
  <c r="K10" i="14"/>
  <c r="J5" i="48"/>
  <c r="J23" i="48" s="1"/>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F13" i="14" l="1"/>
  <c r="F16" i="14" s="1"/>
  <c r="F27" i="14" s="1"/>
  <c r="E8" i="48"/>
  <c r="E26" i="48" s="1"/>
  <c r="E33" i="48" s="1"/>
  <c r="J15" i="48"/>
  <c r="K13" i="14"/>
  <c r="K16" i="14" s="1"/>
  <c r="K27" i="14" s="1"/>
  <c r="J8" i="48"/>
  <c r="J26" i="48" s="1"/>
  <c r="J33" i="48" s="1"/>
  <c r="I63" i="14"/>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<sst xmlns="http://schemas.openxmlformats.org/spreadsheetml/2006/main" count="2477" uniqueCount="921">
  <si>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</si>
  <si>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</si>
  <si>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</si>
  <si>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</si>
  <si>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</si>
  <si>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</si>
  <si>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</si>
  <si>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</si>
  <si>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</si>
  <si>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</si>
  <si>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</si>
  <si>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</si>
  <si>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</si>
  <si>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</si>
  <si>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</si>
  <si>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</si>
  <si>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</si>
  <si>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</si>
  <si>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</si>
  <si>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</si>
  <si>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</si>
  <si>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</si>
  <si>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</si>
  <si>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</si>
  <si>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</si>
  <si>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</si>
  <si>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</si>
  <si>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</si>
  <si>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</si>
  <si>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</si>
  <si>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</si>
  <si>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</si>
  <si>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</si>
  <si>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</si>
  <si>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</si>
  <si>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</si>
  <si>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</si>
  <si>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</si>
  <si>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</si>
  <si>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</si>
  <si>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</si>
  <si>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</si>
  <si>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</si>
  <si>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</si>
  <si>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</si>
  <si>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</si>
  <si>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</si>
  <si>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</si>
  <si>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</si>
  <si>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</si>
  <si>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</si>
  <si>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</si>
  <si>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</si>
  <si>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</si>
  <si>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</si>
  <si>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</si>
  <si>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</si>
  <si>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</si>
  <si>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</si>
  <si>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</si>
  <si>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</si>
  <si>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</si>
  <si>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</si>
  <si>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</si>
  <si>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</si>
  <si>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</si>
  <si>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</si>
  <si>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</si>
  <si>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</si>
  <si>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</si>
  <si>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</si>
  <si>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</si>
  <si>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</si>
  <si>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</si>
  <si>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</si>
  <si>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</si>
  <si>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</si>
  <si>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</si>
  <si>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</si>
  <si>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</si>
  <si>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</si>
  <si>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</si>
  <si>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</si>
  <si>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</si>
  <si>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</si>
  <si>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</si>
  <si>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</si>
  <si>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</si>
  <si>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</si>
  <si>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</si>
  <si>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</si>
  <si>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</si>
  <si>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</si>
  <si>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</si>
  <si>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</si>
  <si>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</si>
  <si>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</si>
  <si>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</si>
  <si>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</si>
  <si>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</si>
  <si>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</si>
  <si>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</si>
  <si>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</si>
  <si>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</si>
  <si>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</si>
  <si>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</si>
  <si>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</si>
  <si>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</si>
  <si>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</si>
  <si>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</si>
  <si>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</si>
  <si>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</si>
  <si>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</si>
  <si>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</si>
  <si>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</si>
  <si>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</si>
  <si>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</si>
  <si>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</si>
  <si>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</si>
  <si>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</si>
  <si>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</si>
  <si>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</si>
  <si>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</si>
  <si>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</si>
  <si>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</si>
  <si>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</si>
  <si>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</si>
  <si>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</si>
  <si>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</si>
  <si>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</si>
  <si>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</si>
  <si>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</si>
  <si>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</si>
  <si>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</si>
  <si>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</si>
  <si>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</si>
  <si>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</si>
  <si>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</si>
  <si>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</si>
  <si>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</si>
  <si>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</si>
  <si>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</si>
  <si>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</si>
  <si>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</si>
  <si>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</si>
  <si>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</si>
  <si>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</si>
  <si>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</si>
  <si>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</si>
  <si>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</si>
  <si>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</si>
  <si>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</si>
  <si>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</si>
  <si>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</si>
  <si>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</si>
  <si>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</si>
  <si>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</si>
  <si>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</si>
  <si>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</si>
  <si>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</si>
  <si>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</si>
  <si>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</si>
  <si>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</si>
  <si>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</si>
  <si>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</si>
  <si>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</si>
  <si>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</si>
  <si>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</si>
  <si>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</si>
  <si>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</si>
  <si>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</si>
  <si>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</si>
  <si>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</si>
  <si>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</si>
  <si>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</si>
  <si>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</si>
  <si>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</si>
  <si>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</si>
  <si>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</si>
  <si>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</si>
  <si>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</si>
  <si>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</si>
  <si>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</si>
  <si>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</si>
  <si>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</si>
  <si>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</si>
  <si>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</si>
  <si>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</si>
  <si>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</si>
  <si>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</si>
  <si>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</si>
  <si>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</si>
  <si>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</si>
  <si>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</si>
  <si>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</si>
  <si>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</si>
  <si>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</si>
  <si>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</si>
  <si>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</si>
  <si>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</si>
  <si>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</si>
  <si>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</si>
  <si>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</si>
  <si>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</si>
  <si>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</si>
  <si>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</si>
  <si>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</si>
  <si>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</si>
  <si>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</si>
  <si>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</si>
  <si>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</si>
  <si>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</si>
  <si>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</si>
  <si>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</si>
  <si>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</si>
  <si>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</si>
  <si>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</si>
  <si>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</si>
  <si>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</si>
  <si>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</si>
  <si>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</si>
  <si>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</si>
  <si>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</si>
  <si>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</si>
  <si>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</si>
  <si>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</si>
  <si>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</si>
  <si>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</si>
  <si>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</si>
  <si>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</si>
  <si>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</si>
  <si>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</si>
  <si>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</si>
  <si>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</si>
  <si>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</si>
  <si>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</si>
  <si>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</si>
  <si>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</si>
  <si>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</si>
  <si>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</si>
  <si>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</si>
  <si>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</si>
  <si>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</si>
  <si>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</si>
  <si>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</si>
  <si>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</si>
  <si>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</si>
  <si>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</si>
  <si>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</si>
  <si>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</si>
  <si>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</si>
  <si>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</si>
  <si>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</si>
  <si>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</si>
  <si>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</si>
  <si>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</si>
  <si>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</si>
  <si>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</si>
  <si>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</si>
  <si>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</si>
  <si>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</si>
  <si>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</si>
  <si>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</si>
  <si>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</si>
  <si>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</si>
  <si>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</si>
  <si>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</si>
  <si>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</si>
  <si>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</si>
  <si>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</si>
  <si>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</si>
  <si>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</si>
  <si>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</si>
  <si>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</si>
  <si>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</si>
  <si>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</si>
  <si>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</si>
  <si>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</si>
  <si>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</si>
  <si>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</si>
  <si>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</si>
  <si>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</si>
  <si>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</si>
  <si>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</si>
  <si>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</si>
  <si>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</si>
  <si>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</si>
  <si>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</si>
  <si>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</si>
  <si>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</si>
  <si>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</si>
  <si>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</si>
  <si>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</si>
  <si>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</si>
  <si>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</si>
  <si>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</si>
  <si>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</si>
  <si>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</si>
  <si>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</si>
  <si>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</si>
  <si>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</si>
  <si>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</si>
  <si>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</si>
  <si>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</si>
  <si>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</si>
  <si>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</si>
  <si>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</si>
  <si>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</si>
  <si>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</si>
  <si>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</si>
  <si>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</si>
  <si>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</si>
  <si>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</si>
  <si>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</si>
  <si>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</si>
  <si>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</si>
  <si>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</si>
  <si>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</si>
  <si>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</si>
  <si>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</si>
  <si>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</si>
  <si>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</si>
  <si>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</si>
  <si>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</si>
  <si>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</si>
  <si>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</si>
  <si>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</si>
  <si>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</si>
  <si>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</si>
  <si>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</si>
  <si>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</si>
  <si>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</si>
  <si>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</si>
  <si>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</si>
  <si>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</si>
  <si>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</si>
  <si>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</si>
  <si>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</si>
  <si>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</si>
  <si>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</si>
  <si>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</si>
  <si>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</si>
  <si>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</si>
  <si>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</si>
  <si>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</si>
  <si>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</si>
  <si>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</si>
  <si>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</si>
  <si>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</si>
  <si>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</si>
  <si>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</si>
  <si>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</si>
  <si>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</si>
  <si>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</si>
  <si>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</si>
  <si>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</si>
  <si>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</si>
  <si>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</si>
  <si>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</si>
  <si>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</si>
  <si>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</si>
  <si>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</si>
  <si>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</si>
  <si>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</si>
  <si>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</si>
  <si>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</si>
  <si>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</si>
  <si>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</si>
  <si>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</si>
  <si>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</si>
  <si>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</si>
  <si>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</si>
  <si>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</si>
  <si>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</si>
  <si>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</si>
  <si>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</si>
  <si>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</si>
  <si>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</si>
  <si>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</si>
  <si>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</si>
  <si>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</si>
  <si>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</si>
  <si>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</si>
  <si>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</si>
  <si>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</si>
  <si>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</si>
  <si>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</si>
  <si>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</si>
  <si>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</si>
  <si>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</si>
  <si>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</si>
  <si>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</si>
  <si>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</si>
  <si>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</si>
  <si>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</si>
  <si>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</si>
  <si>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</si>
  <si>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</si>
  <si>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</si>
  <si>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</si>
  <si>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</si>
  <si>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</si>
  <si>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</si>
  <si>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</si>
  <si>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</si>
  <si>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</si>
  <si>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</si>
  <si>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</si>
  <si>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</si>
  <si>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</si>
  <si>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</si>
  <si>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</si>
  <si>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</si>
  <si>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</si>
  <si>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</si>
  <si>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</si>
  <si>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</si>
  <si>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</si>
  <si>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</si>
  <si>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</si>
  <si>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</si>
  <si>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</si>
  <si>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</si>
  <si>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</si>
  <si>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</si>
  <si>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</si>
  <si>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</si>
  <si>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</si>
  <si>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</si>
  <si>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</si>
  <si>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</si>
  <si>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</si>
  <si>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</si>
  <si>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</si>
  <si>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</si>
  <si>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</si>
  <si>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</si>
  <si>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</si>
  <si>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</si>
  <si>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</si>
  <si>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</si>
  <si>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</si>
  <si>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</si>
  <si>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</si>
  <si>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</si>
  <si>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</si>
  <si>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</si>
  <si>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</si>
  <si>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</si>
  <si>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</si>
  <si>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</si>
  <si>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</si>
  <si>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</si>
  <si>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</si>
  <si>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</si>
  <si>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</si>
  <si>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</si>
  <si>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</si>
  <si>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</si>
  <si>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</si>
  <si>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</si>
  <si>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</si>
  <si>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</si>
  <si>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</si>
  <si>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</si>
  <si>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</si>
  <si>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</si>
  <si>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</si>
  <si>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</si>
  <si>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</si>
  <si>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</si>
  <si>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</si>
  <si>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</si>
  <si>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</si>
  <si>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</si>
  <si>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</si>
  <si>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</si>
  <si>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</si>
  <si>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</si>
  <si>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</si>
  <si>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</si>
  <si>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</si>
  <si>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</si>
  <si>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</si>
  <si>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</si>
  <si>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</si>
  <si>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</si>
  <si>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</si>
  <si>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</si>
  <si>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</si>
  <si>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</si>
  <si>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</si>
  <si>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</si>
  <si>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</si>
  <si>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</si>
  <si>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</si>
  <si>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</si>
  <si>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</si>
  <si>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</si>
  <si>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</si>
  <si>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</si>
  <si>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</si>
  <si>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</si>
  <si>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</si>
  <si>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</si>
  <si>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</si>
  <si>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</si>
  <si>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</si>
  <si>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</si>
  <si>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</si>
  <si>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</si>
  <si>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</si>
  <si>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</si>
  <si>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</si>
  <si>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</si>
  <si>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</si>
  <si>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</si>
  <si>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</si>
  <si>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</si>
  <si>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</si>
  <si>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</si>
  <si>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</si>
  <si>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</si>
  <si>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</si>
  <si>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</si>
  <si>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</si>
  <si>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</si>
  <si>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</si>
  <si>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</si>
  <si>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</si>
  <si>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</si>
  <si>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</si>
  <si>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</si>
  <si>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</si>
  <si>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</si>
  <si>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</si>
  <si>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</si>
  <si>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</si>
  <si>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</si>
  <si>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</si>
  <si>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</si>
  <si>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</si>
  <si>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</si>
  <si>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</si>
  <si>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</si>
  <si>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</si>
  <si>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</si>
  <si>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</si>
  <si>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</si>
  <si>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</si>
  <si>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</si>
  <si>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</si>
  <si>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</si>
  <si>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</si>
  <si>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</si>
  <si>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</si>
  <si>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</si>
  <si>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</si>
  <si>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</si>
  <si>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</si>
  <si>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</si>
  <si>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</si>
  <si>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</si>
  <si>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</si>
  <si>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</si>
  <si>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</si>
  <si>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</si>
  <si>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</si>
  <si>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</si>
  <si>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</si>
  <si>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</si>
  <si>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</si>
  <si>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</si>
  <si>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</si>
  <si>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</si>
  <si>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</si>
  <si>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</si>
  <si>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</si>
  <si>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</si>
  <si>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</si>
  <si>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</si>
  <si>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</si>
  <si>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</si>
  <si>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</si>
  <si>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</si>
  <si>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</si>
  <si>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</si>
  <si>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</si>
  <si>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</si>
  <si>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</si>
  <si>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</si>
  <si>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</si>
  <si>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</si>
  <si>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</si>
  <si>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</si>
  <si>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</si>
  <si>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</si>
  <si>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</si>
  <si>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</si>
  <si>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</si>
  <si>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</si>
  <si>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</si>
  <si>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</si>
  <si>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</si>
  <si>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</si>
  <si>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</si>
  <si>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</si>
  <si>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</si>
  <si>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</si>
  <si>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</si>
  <si>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</si>
  <si>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</si>
  <si>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</si>
  <si>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</si>
  <si>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</si>
  <si>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</si>
  <si>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</si>
  <si>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</si>
  <si>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</si>
  <si>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</si>
  <si>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</si>
  <si>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</si>
  <si>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</si>
  <si>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</si>
  <si>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</si>
  <si>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</si>
  <si>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</si>
  <si>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</si>
  <si>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</si>
  <si>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</si>
  <si>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</si>
  <si>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</si>
  <si>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</si>
  <si>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</si>
  <si>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</si>
  <si>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</si>
  <si>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</si>
  <si>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</si>
  <si>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</si>
  <si>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</si>
  <si>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</si>
  <si>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</si>
  <si>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</si>
  <si>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</si>
  <si>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</si>
  <si>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</si>
  <si>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</si>
  <si>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</si>
  <si>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</si>
  <si>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</si>
  <si>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</si>
  <si>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</si>
  <si>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</si>
  <si>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</si>
  <si>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</si>
  <si>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</si>
  <si>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</si>
  <si>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</si>
  <si>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</si>
  <si>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</si>
  <si>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</si>
  <si>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</si>
  <si>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</si>
  <si>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</si>
  <si>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</si>
  <si>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</si>
  <si>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</si>
  <si>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</si>
  <si>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</si>
  <si>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</si>
  <si>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</si>
  <si>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</si>
  <si>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</si>
  <si>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</si>
  <si>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</si>
  <si>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</si>
  <si>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</si>
  <si>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</si>
  <si>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</si>
  <si>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</si>
  <si>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</si>
  <si>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</si>
  <si>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</si>
  <si>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</si>
  <si>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</si>
  <si>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</si>
  <si>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</si>
  <si>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</si>
  <si>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</si>
  <si>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</si>
  <si>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</si>
  <si>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</si>
  <si>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</si>
  <si>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</si>
  <si>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</si>
  <si>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</si>
  <si>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</si>
  <si>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</si>
  <si>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</si>
  <si>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</si>
  <si>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</si>
  <si>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</si>
  <si>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</si>
  <si>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</si>
  <si>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</si>
  <si>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</si>
  <si>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</si>
  <si>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</si>
  <si>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</si>
  <si>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</si>
  <si>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</si>
  <si>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</si>
  <si>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</si>
  <si>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</si>
  <si>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</si>
  <si>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</si>
  <si>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</si>
  <si>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</si>
  <si>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</si>
  <si>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</si>
  <si>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</si>
  <si>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</si>
  <si>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</si>
  <si>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</si>
  <si>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</si>
  <si>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</si>
  <si>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</si>
  <si>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</si>
  <si>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</si>
  <si>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</si>
  <si>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</si>
  <si>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</si>
  <si>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</si>
  <si>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</si>
  <si>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</si>
  <si>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</si>
  <si>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</si>
  <si>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</si>
  <si>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</si>
  <si>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</si>
  <si>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</si>
  <si>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</si>
  <si>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</si>
  <si>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</si>
  <si>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</si>
  <si>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</si>
  <si>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</si>
  <si>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</si>
  <si>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</si>
  <si>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</si>
  <si>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</si>
  <si>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</si>
  <si>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</si>
  <si>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</si>
  <si>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</si>
  <si>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</si>
  <si>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</si>
  <si>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</si>
  <si>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</si>
  <si>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</si>
  <si>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</si>
  <si>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</si>
  <si>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</si>
  <si>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</si>
  <si>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</si>
  <si>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</si>
  <si>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</si>
  <si>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</si>
  <si>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</si>
  <si>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</si>
  <si>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</si>
  <si>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</si>
  <si>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</si>
  <si>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</si>
  <si>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</si>
  <si>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</si>
  <si>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</si>
  <si>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</si>
  <si>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</si>
  <si>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</si>
  <si>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</si>
  <si>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</si>
  <si>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</si>
  <si>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</si>
  <si>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</si>
  <si>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</si>
  <si>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</si>
  <si>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</si>
  <si>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</si>
  <si>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</si>
  <si>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</si>
  <si>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</si>
  <si>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</si>
  <si>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</si>
  <si>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</si>
  <si>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</si>
  <si>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</si>
  <si>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</si>
  <si>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</si>
  <si>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</si>
  <si>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</si>
  <si>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</si>
  <si>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</si>
  <si>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</si>
  <si>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</si>
  <si>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</si>
  <si>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</si>
  <si>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</si>
  <si>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</si>
  <si>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</si>
  <si>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</si>
  <si>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</si>
  <si>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</si>
  <si>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</si>
  <si>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</si>
  <si>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</si>
  <si>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</si>
  <si>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</si>
  <si>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</si>
  <si>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</si>
  <si>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</si>
  <si>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</si>
  <si>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</si>
  <si>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</si>
  <si>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</si>
  <si>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</si>
  <si>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</si>
  <si>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</si>
  <si>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</si>
  <si>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</si>
  <si>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</si>
  <si>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</si>
  <si>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</si>
  <si>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</si>
  <si>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</si>
  <si>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</si>
  <si>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</si>
  <si>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</si>
  <si>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</si>
  <si>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</si>
  <si>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</si>
  <si>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</si>
  <si>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</si>
  <si>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</si>
  <si>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</si>
  <si>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</si>
  <si>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</si>
  <si>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</si>
  <si>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</si>
  <si>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</si>
  <si>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</si>
  <si>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</si>
  <si>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</si>
  <si>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</si>
  <si>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</si>
  <si>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</si>
  <si>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</si>
  <si>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</si>
  <si>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</si>
  <si>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</si>
  <si>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</si>
  <si>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</si>
  <si>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</si>
  <si>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</si>
  <si>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</si>
  <si>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</si>
  <si>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</si>
  <si>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</si>
  <si>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</si>
  <si>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</si>
  <si>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</si>
  <si>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</si>
  <si>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</si>
  <si>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</si>
  <si>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</si>
  <si>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</si>
  <si>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</si>
  <si>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</si>
  <si>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</si>
  <si>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</si>
  <si>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</si>
  <si>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</si>
  <si>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</si>
  <si>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12029</t>
  </si>
  <si>
    <t>PUTTE</t>
  </si>
  <si>
    <t>Fluvius</t>
  </si>
  <si>
    <t>referentietaak LNE (2017); Jaarverslag De Lijn</t>
  </si>
  <si>
    <t>Peemat bvba</t>
  </si>
  <si>
    <t>Mechelbaan 685, 2580 Putte</t>
  </si>
  <si>
    <t>WKK-0062 Peemat</t>
  </si>
  <si>
    <t>interne verbrandingsmotor</t>
  </si>
  <si>
    <t>WKK interne verbrandinsgmotor (gas)</t>
  </si>
  <si>
    <t>IVERLEK</t>
  </si>
  <si>
    <t>Tuinbouwbedrijf Van Bulck bvba</t>
  </si>
  <si>
    <t>Steenbeek 1, 2580 Putte</t>
  </si>
  <si>
    <t>WKK-0078 Van Bulck bvba</t>
  </si>
  <si>
    <t>Groeikracht Lierbaan NV</t>
  </si>
  <si>
    <t>Peter Michielslei 9, 2580 Putte</t>
  </si>
  <si>
    <t>WKK-0145 Groeikracht Lierbaan</t>
  </si>
  <si>
    <t>Lierbaan 152, 2580 Putte</t>
  </si>
  <si>
    <t>De Maeyer Werner</t>
  </si>
  <si>
    <t>Groenstraat 16A, 2580 Putte</t>
  </si>
  <si>
    <t>WKK-0167 Werner De Maeyer</t>
  </si>
  <si>
    <t>Dacoveg</t>
  </si>
  <si>
    <t>Prinsenstraat 12 , 2580 Putte</t>
  </si>
  <si>
    <t>WKK-0225 Dacoveg</t>
  </si>
  <si>
    <t>WKK interne verbrandinsgmotor (vloeibaar)</t>
  </si>
  <si>
    <t>Horticotrade NV</t>
  </si>
  <si>
    <t>Hulzen 1 a, 2580 Putte</t>
  </si>
  <si>
    <t>WKK-0266 Horticotrade</t>
  </si>
  <si>
    <t>Cummins Cogeneration Belgium bvba</t>
  </si>
  <si>
    <t>Interleuvenlaan 62 , 3001 Heverlee</t>
  </si>
  <si>
    <t>WKK-0305 Cummins Dockx Putte</t>
  </si>
  <si>
    <t>Mechelbaan 658 a, 2580 Putte</t>
  </si>
  <si>
    <t>Frans Tuinbouwbedrijf bvba</t>
  </si>
  <si>
    <t>Kruisstraat 30 a, 2580 Putte</t>
  </si>
  <si>
    <t>WKK-0263 Frans Tuinbouwbedrijf</t>
  </si>
  <si>
    <t>WKK-0743 Spirit Group Putte</t>
  </si>
  <si>
    <t>brandstofcel</t>
  </si>
  <si>
    <t>Meester van der Borghtstraat 58 , 2580 Putte</t>
  </si>
  <si>
    <t>andere industrie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</si>
</sst>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149503.31236765321</c:v>
                </c:pt>
                <c:pt idx="1">
                  <c:v>39105.089715245937</c:v>
                </c:pt>
                <c:pt idx="2">
                  <c:v>997.78800000000001</c:v>
                </c:pt>
                <c:pt idx="3">
                  <c:v>109014.43132788697</c:v>
                </c:pt>
                <c:pt idx="4">
                  <c:v>12368.684546123626</c:v>
                </c:pt>
                <c:pt idx="5">
                  <c:v>100888.1605130042</c:v>
                </c:pt>
                <c:pt idx="6">
                  <c:v>1552.9474235779389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149503.31236765321</c:v>
                </c:pt>
                <c:pt idx="1">
                  <c:v>39105.089715245937</c:v>
                </c:pt>
                <c:pt idx="2">
                  <c:v>997.78800000000001</c:v>
                </c:pt>
                <c:pt idx="3">
                  <c:v>109014.43132788697</c:v>
                </c:pt>
                <c:pt idx="4">
                  <c:v>12368.684546123626</c:v>
                </c:pt>
                <c:pt idx="5">
                  <c:v>100888.1605130042</c:v>
                </c:pt>
                <c:pt idx="6">
                  <c:v>1552.9474235779389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29371.424004424145</c:v>
                </c:pt>
                <c:pt idx="2">
                  <c:v>7800.6841077646786</c:v>
                </c:pt>
                <c:pt idx="3">
                  <c:v>193.52978183871767</c:v>
                </c:pt>
                <c:pt idx="4">
                  <c:v>23023.346410962189</c:v>
                </c:pt>
                <c:pt idx="5">
                  <c:v>2485.5848021684187</c:v>
                </c:pt>
                <c:pt idx="6">
                  <c:v>25228.381226606933</c:v>
                </c:pt>
                <c:pt idx="7">
                  <c:v>392.35463426378692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29371.424004424145</c:v>
                </c:pt>
                <c:pt idx="2">
                  <c:v>7800.6841077646786</c:v>
                </c:pt>
                <c:pt idx="3">
                  <c:v>193.52978183871767</c:v>
                </c:pt>
                <c:pt idx="4">
                  <c:v>23023.346410962189</c:v>
                </c:pt>
                <c:pt idx="5">
                  <c:v>2485.5848021684187</c:v>
                </c:pt>
                <c:pt idx="6">
                  <c:v>25228.381226606933</c:v>
                </c:pt>
                <c:pt idx="7">
                  <c:v>392.35463426378692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12029</v>
      </c>
      <c r="B6" s="390"/>
      <c r="C6" s="391"/>
    </row>
    <row r="7" spans="1:7" s="388" customFormat="1" ht="15.75" customHeight="1">
      <c r="A7" s="392" t="str">
        <f>txtMunicipality</f>
        <v>PUTTE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0.19395881874578333</v>
      </c>
      <c r="C17" s="498">
        <f ca="1">'EF ele_warmte'!B22</f>
        <v>0.20967564060470228</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0.19395881874578333</v>
      </c>
      <c r="C29" s="499">
        <f ca="1">'EF ele_warmte'!B22</f>
        <v>0.20967564060470228</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7228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1482.21</v>
      </c>
      <c r="C14" s="330"/>
      <c r="D14" s="330"/>
      <c r="E14" s="330"/>
      <c r="F14" s="330"/>
    </row>
    <row r="15" spans="1:6">
      <c r="A15" s="1293" t="s">
        <v>183</v>
      </c>
      <c r="B15" s="1294">
        <v>4</v>
      </c>
      <c r="C15" s="330"/>
      <c r="D15" s="330"/>
      <c r="E15" s="330"/>
      <c r="F15" s="330"/>
    </row>
    <row r="16" spans="1:6">
      <c r="A16" s="1293" t="s">
        <v>6</v>
      </c>
      <c r="B16" s="1294">
        <v>254</v>
      </c>
      <c r="C16" s="330"/>
      <c r="D16" s="330"/>
      <c r="E16" s="330"/>
      <c r="F16" s="330"/>
    </row>
    <row r="17" spans="1:6">
      <c r="A17" s="1293" t="s">
        <v>7</v>
      </c>
      <c r="B17" s="1294">
        <v>280</v>
      </c>
      <c r="C17" s="330"/>
      <c r="D17" s="330"/>
      <c r="E17" s="330"/>
      <c r="F17" s="330"/>
    </row>
    <row r="18" spans="1:6">
      <c r="A18" s="1293" t="s">
        <v>8</v>
      </c>
      <c r="B18" s="1294">
        <v>575</v>
      </c>
      <c r="C18" s="330"/>
      <c r="D18" s="330"/>
      <c r="E18" s="330"/>
      <c r="F18" s="330"/>
    </row>
    <row r="19" spans="1:6">
      <c r="A19" s="1293" t="s">
        <v>9</v>
      </c>
      <c r="B19" s="1294">
        <v>603</v>
      </c>
      <c r="C19" s="330"/>
      <c r="D19" s="330"/>
      <c r="E19" s="330"/>
      <c r="F19" s="330"/>
    </row>
    <row r="20" spans="1:6">
      <c r="A20" s="1293" t="s">
        <v>10</v>
      </c>
      <c r="B20" s="1294">
        <v>290</v>
      </c>
      <c r="C20" s="330"/>
      <c r="D20" s="330"/>
      <c r="E20" s="330"/>
      <c r="F20" s="330"/>
    </row>
    <row r="21" spans="1:6">
      <c r="A21" s="1293" t="s">
        <v>11</v>
      </c>
      <c r="B21" s="1294">
        <v>0</v>
      </c>
      <c r="C21" s="330"/>
      <c r="D21" s="330"/>
      <c r="E21" s="330"/>
      <c r="F21" s="330"/>
    </row>
    <row r="22" spans="1:6">
      <c r="A22" s="1293" t="s">
        <v>12</v>
      </c>
      <c r="B22" s="1294">
        <v>2421</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292</v>
      </c>
      <c r="C26" s="330"/>
      <c r="D26" s="330"/>
      <c r="E26" s="330"/>
      <c r="F26" s="330"/>
    </row>
    <row r="27" spans="1:6">
      <c r="A27" s="1293" t="s">
        <v>17</v>
      </c>
      <c r="B27" s="1294">
        <v>3</v>
      </c>
      <c r="C27" s="330"/>
      <c r="D27" s="330"/>
      <c r="E27" s="330"/>
      <c r="F27" s="330"/>
    </row>
    <row r="28" spans="1:6" s="43" customFormat="1">
      <c r="A28" s="1295" t="s">
        <v>18</v>
      </c>
      <c r="B28" s="1296">
        <v>24447</v>
      </c>
      <c r="C28" s="336"/>
      <c r="D28" s="336"/>
      <c r="E28" s="336"/>
      <c r="F28" s="336"/>
    </row>
    <row r="29" spans="1:6">
      <c r="A29" s="1295" t="s">
        <v>734</v>
      </c>
      <c r="B29" s="1296">
        <v>216</v>
      </c>
      <c r="C29" s="336"/>
      <c r="D29" s="336"/>
      <c r="E29" s="336"/>
      <c r="F29" s="336"/>
    </row>
    <row r="30" spans="1:6">
      <c r="A30" s="1288" t="s">
        <v>735</v>
      </c>
      <c r="B30" s="1297">
        <v>115</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15275184.676999999</v>
      </c>
      <c r="E38" s="1294">
        <v>3</v>
      </c>
      <c r="F38" s="1294">
        <v>105809.667237412</v>
      </c>
    </row>
    <row r="39" spans="1:6">
      <c r="A39" s="1293" t="s">
        <v>29</v>
      </c>
      <c r="B39" s="1293" t="s">
        <v>30</v>
      </c>
      <c r="C39" s="1294">
        <v>3927</v>
      </c>
      <c r="D39" s="1294">
        <v>63998122.677459598</v>
      </c>
      <c r="E39" s="1294">
        <v>7131</v>
      </c>
      <c r="F39" s="1294">
        <v>28004200.161230501</v>
      </c>
    </row>
    <row r="40" spans="1:6">
      <c r="A40" s="1293" t="s">
        <v>29</v>
      </c>
      <c r="B40" s="1293" t="s">
        <v>28</v>
      </c>
      <c r="C40" s="1294">
        <v>0</v>
      </c>
      <c r="D40" s="1294">
        <v>0</v>
      </c>
      <c r="E40" s="1294">
        <v>0</v>
      </c>
      <c r="F40" s="1294">
        <v>0</v>
      </c>
    </row>
    <row r="41" spans="1:6">
      <c r="A41" s="1293" t="s">
        <v>31</v>
      </c>
      <c r="B41" s="1293" t="s">
        <v>32</v>
      </c>
      <c r="C41" s="1294">
        <v>41</v>
      </c>
      <c r="D41" s="1294">
        <v>1625426.44738813</v>
      </c>
      <c r="E41" s="1294">
        <v>158</v>
      </c>
      <c r="F41" s="1294">
        <v>1381786.0328949101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440970.59105330898</v>
      </c>
      <c r="E44" s="1294">
        <v>9</v>
      </c>
      <c r="F44" s="1294">
        <v>840881.89199242101</v>
      </c>
    </row>
    <row r="45" spans="1:6">
      <c r="A45" s="1293" t="s">
        <v>31</v>
      </c>
      <c r="B45" s="1293" t="s">
        <v>36</v>
      </c>
      <c r="C45" s="1294">
        <v>0</v>
      </c>
      <c r="D45" s="1294">
        <v>0</v>
      </c>
      <c r="E45" s="1294">
        <v>3</v>
      </c>
      <c r="F45" s="1294">
        <v>21276.4662798928</v>
      </c>
    </row>
    <row r="46" spans="1:6">
      <c r="A46" s="1293" t="s">
        <v>31</v>
      </c>
      <c r="B46" s="1293" t="s">
        <v>37</v>
      </c>
      <c r="C46" s="1294">
        <v>0</v>
      </c>
      <c r="D46" s="1294">
        <v>0</v>
      </c>
      <c r="E46" s="1294">
        <v>0</v>
      </c>
      <c r="F46" s="1294">
        <v>0</v>
      </c>
    </row>
    <row r="47" spans="1:6">
      <c r="A47" s="1293" t="s">
        <v>31</v>
      </c>
      <c r="B47" s="1293" t="s">
        <v>38</v>
      </c>
      <c r="C47" s="1294">
        <v>0</v>
      </c>
      <c r="D47" s="1294">
        <v>0</v>
      </c>
      <c r="E47" s="1294">
        <v>4</v>
      </c>
      <c r="F47" s="1294">
        <v>183724.61505619201</v>
      </c>
    </row>
    <row r="48" spans="1:6">
      <c r="A48" s="1293" t="s">
        <v>31</v>
      </c>
      <c r="B48" s="1293" t="s">
        <v>28</v>
      </c>
      <c r="C48" s="1294">
        <v>21</v>
      </c>
      <c r="D48" s="1294">
        <v>1029999.8546427001</v>
      </c>
      <c r="E48" s="1294">
        <v>32</v>
      </c>
      <c r="F48" s="1294">
        <v>1939538.8125229101</v>
      </c>
    </row>
    <row r="49" spans="1:6">
      <c r="A49" s="1293" t="s">
        <v>31</v>
      </c>
      <c r="B49" s="1293" t="s">
        <v>39</v>
      </c>
      <c r="C49" s="1294">
        <v>0</v>
      </c>
      <c r="D49" s="1294">
        <v>0</v>
      </c>
      <c r="E49" s="1294">
        <v>5</v>
      </c>
      <c r="F49" s="1294">
        <v>57523.636679698902</v>
      </c>
    </row>
    <row r="50" spans="1:6">
      <c r="A50" s="1293" t="s">
        <v>31</v>
      </c>
      <c r="B50" s="1293" t="s">
        <v>40</v>
      </c>
      <c r="C50" s="1294">
        <v>6</v>
      </c>
      <c r="D50" s="1294">
        <v>1133693.50470504</v>
      </c>
      <c r="E50" s="1294">
        <v>22</v>
      </c>
      <c r="F50" s="1294">
        <v>1474820.7502457099</v>
      </c>
    </row>
    <row r="51" spans="1:6">
      <c r="A51" s="1293" t="s">
        <v>41</v>
      </c>
      <c r="B51" s="1293" t="s">
        <v>42</v>
      </c>
      <c r="C51" s="1294">
        <v>15</v>
      </c>
      <c r="D51" s="1294">
        <v>162794519.13008001</v>
      </c>
      <c r="E51" s="1294">
        <v>88</v>
      </c>
      <c r="F51" s="1294">
        <v>2261331.3597329701</v>
      </c>
    </row>
    <row r="52" spans="1:6">
      <c r="A52" s="1293" t="s">
        <v>41</v>
      </c>
      <c r="B52" s="1293" t="s">
        <v>28</v>
      </c>
      <c r="C52" s="1294">
        <v>8</v>
      </c>
      <c r="D52" s="1294">
        <v>659521.61038103304</v>
      </c>
      <c r="E52" s="1294">
        <v>6</v>
      </c>
      <c r="F52" s="1294">
        <v>150813.37973636299</v>
      </c>
    </row>
    <row r="53" spans="1:6">
      <c r="A53" s="1293" t="s">
        <v>43</v>
      </c>
      <c r="B53" s="1293" t="s">
        <v>44</v>
      </c>
      <c r="C53" s="1294">
        <v>102</v>
      </c>
      <c r="D53" s="1294">
        <v>2573290.2597962599</v>
      </c>
      <c r="E53" s="1294">
        <v>297</v>
      </c>
      <c r="F53" s="1294">
        <v>1123176.31043791</v>
      </c>
    </row>
    <row r="54" spans="1:6">
      <c r="A54" s="1293" t="s">
        <v>45</v>
      </c>
      <c r="B54" s="1293" t="s">
        <v>46</v>
      </c>
      <c r="C54" s="1294">
        <v>0</v>
      </c>
      <c r="D54" s="1294">
        <v>0</v>
      </c>
      <c r="E54" s="1294">
        <v>1</v>
      </c>
      <c r="F54" s="1294">
        <v>997788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27</v>
      </c>
      <c r="D57" s="1294">
        <v>743781.33324425097</v>
      </c>
      <c r="E57" s="1294">
        <v>73</v>
      </c>
      <c r="F57" s="1294">
        <v>581356.95107943902</v>
      </c>
    </row>
    <row r="58" spans="1:6">
      <c r="A58" s="1293" t="s">
        <v>48</v>
      </c>
      <c r="B58" s="1293" t="s">
        <v>50</v>
      </c>
      <c r="C58" s="1294">
        <v>15</v>
      </c>
      <c r="D58" s="1294">
        <v>2404898.6681518899</v>
      </c>
      <c r="E58" s="1294">
        <v>25</v>
      </c>
      <c r="F58" s="1294">
        <v>679895.49853534403</v>
      </c>
    </row>
    <row r="59" spans="1:6">
      <c r="A59" s="1293" t="s">
        <v>48</v>
      </c>
      <c r="B59" s="1293" t="s">
        <v>51</v>
      </c>
      <c r="C59" s="1294">
        <v>64</v>
      </c>
      <c r="D59" s="1294">
        <v>2280583.1398486998</v>
      </c>
      <c r="E59" s="1294">
        <v>200</v>
      </c>
      <c r="F59" s="1294">
        <v>4983184.9397223396</v>
      </c>
    </row>
    <row r="60" spans="1:6">
      <c r="A60" s="1293" t="s">
        <v>48</v>
      </c>
      <c r="B60" s="1293" t="s">
        <v>52</v>
      </c>
      <c r="C60" s="1294">
        <v>43</v>
      </c>
      <c r="D60" s="1294">
        <v>1706715.8002214001</v>
      </c>
      <c r="E60" s="1294">
        <v>64</v>
      </c>
      <c r="F60" s="1294">
        <v>1322489.49812049</v>
      </c>
    </row>
    <row r="61" spans="1:6">
      <c r="A61" s="1293" t="s">
        <v>48</v>
      </c>
      <c r="B61" s="1293" t="s">
        <v>53</v>
      </c>
      <c r="C61" s="1294">
        <v>85</v>
      </c>
      <c r="D61" s="1294">
        <v>3582425.1844227901</v>
      </c>
      <c r="E61" s="1294">
        <v>252</v>
      </c>
      <c r="F61" s="1294">
        <v>2814630.3852590299</v>
      </c>
    </row>
    <row r="62" spans="1:6">
      <c r="A62" s="1293" t="s">
        <v>48</v>
      </c>
      <c r="B62" s="1293" t="s">
        <v>54</v>
      </c>
      <c r="C62" s="1294">
        <v>0</v>
      </c>
      <c r="D62" s="1294">
        <v>0</v>
      </c>
      <c r="E62" s="1294">
        <v>3</v>
      </c>
      <c r="F62" s="1294">
        <v>31103.786895575198</v>
      </c>
    </row>
    <row r="63" spans="1:6">
      <c r="A63" s="1293" t="s">
        <v>48</v>
      </c>
      <c r="B63" s="1293" t="s">
        <v>28</v>
      </c>
      <c r="C63" s="1294">
        <v>86</v>
      </c>
      <c r="D63" s="1294">
        <v>16015881.0330694</v>
      </c>
      <c r="E63" s="1294">
        <v>96</v>
      </c>
      <c r="F63" s="1294">
        <v>1569890.6017014</v>
      </c>
    </row>
    <row r="64" spans="1:6">
      <c r="A64" s="1293" t="s">
        <v>55</v>
      </c>
      <c r="B64" s="1293" t="s">
        <v>56</v>
      </c>
      <c r="C64" s="1294">
        <v>0</v>
      </c>
      <c r="D64" s="1294">
        <v>0</v>
      </c>
      <c r="E64" s="1294">
        <v>0</v>
      </c>
      <c r="F64" s="1294">
        <v>0</v>
      </c>
    </row>
    <row r="65" spans="1:6">
      <c r="A65" s="1293" t="s">
        <v>55</v>
      </c>
      <c r="B65" s="1293" t="s">
        <v>28</v>
      </c>
      <c r="C65" s="1294">
        <v>0</v>
      </c>
      <c r="D65" s="1294">
        <v>0</v>
      </c>
      <c r="E65" s="1294">
        <v>1</v>
      </c>
      <c r="F65" s="1294">
        <v>4654.8873165827999</v>
      </c>
    </row>
    <row r="66" spans="1:6">
      <c r="A66" s="1293" t="s">
        <v>55</v>
      </c>
      <c r="B66" s="1293" t="s">
        <v>57</v>
      </c>
      <c r="C66" s="1294">
        <v>0</v>
      </c>
      <c r="D66" s="1294">
        <v>0</v>
      </c>
      <c r="E66" s="1294">
        <v>4</v>
      </c>
      <c r="F66" s="1294">
        <v>27447.529640526802</v>
      </c>
    </row>
    <row r="67" spans="1:6">
      <c r="A67" s="1295" t="s">
        <v>55</v>
      </c>
      <c r="B67" s="1295" t="s">
        <v>58</v>
      </c>
      <c r="C67" s="1294">
        <v>0</v>
      </c>
      <c r="D67" s="1294">
        <v>0</v>
      </c>
      <c r="E67" s="1294">
        <v>0</v>
      </c>
      <c r="F67" s="1294">
        <v>0</v>
      </c>
    </row>
    <row r="68" spans="1:6">
      <c r="A68" s="1288" t="s">
        <v>55</v>
      </c>
      <c r="B68" s="1288" t="s">
        <v>59</v>
      </c>
      <c r="C68" s="1297">
        <v>3</v>
      </c>
      <c r="D68" s="1297">
        <v>83700.567759331694</v>
      </c>
      <c r="E68" s="1297">
        <v>9</v>
      </c>
      <c r="F68" s="1297">
        <v>123270.358538004</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102913700</v>
      </c>
      <c r="E73" s="449"/>
      <c r="F73" s="330"/>
    </row>
    <row r="74" spans="1:6">
      <c r="A74" s="1293" t="s">
        <v>63</v>
      </c>
      <c r="B74" s="1293" t="s">
        <v>656</v>
      </c>
      <c r="C74" s="1307" t="s">
        <v>658</v>
      </c>
      <c r="D74" s="1308">
        <v>6284324</v>
      </c>
      <c r="E74" s="449"/>
      <c r="F74" s="330"/>
    </row>
    <row r="75" spans="1:6">
      <c r="A75" s="1293" t="s">
        <v>64</v>
      </c>
      <c r="B75" s="1293" t="s">
        <v>655</v>
      </c>
      <c r="C75" s="1307" t="s">
        <v>659</v>
      </c>
      <c r="D75" s="1308">
        <v>21599078</v>
      </c>
      <c r="E75" s="449"/>
      <c r="F75" s="330"/>
    </row>
    <row r="76" spans="1:6">
      <c r="A76" s="1293" t="s">
        <v>64</v>
      </c>
      <c r="B76" s="1293" t="s">
        <v>656</v>
      </c>
      <c r="C76" s="1307" t="s">
        <v>660</v>
      </c>
      <c r="D76" s="1308">
        <v>152717</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423538</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3752.6212081211897</v>
      </c>
      <c r="C91" s="330"/>
      <c r="D91" s="330"/>
      <c r="E91" s="330"/>
      <c r="F91" s="330"/>
    </row>
    <row r="92" spans="1:6">
      <c r="A92" s="1288" t="s">
        <v>68</v>
      </c>
      <c r="B92" s="1289">
        <v>425.49889860309924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1455</v>
      </c>
      <c r="C97" s="330"/>
      <c r="D97" s="330"/>
      <c r="E97" s="330"/>
      <c r="F97" s="330"/>
    </row>
    <row r="98" spans="1:6">
      <c r="A98" s="1293" t="s">
        <v>71</v>
      </c>
      <c r="B98" s="1294">
        <v>17</v>
      </c>
      <c r="C98" s="330"/>
      <c r="D98" s="330"/>
      <c r="E98" s="330"/>
      <c r="F98" s="330"/>
    </row>
    <row r="99" spans="1:6">
      <c r="A99" s="1293" t="s">
        <v>72</v>
      </c>
      <c r="B99" s="1294">
        <v>84</v>
      </c>
      <c r="C99" s="330"/>
      <c r="D99" s="330"/>
      <c r="E99" s="330"/>
      <c r="F99" s="330"/>
    </row>
    <row r="100" spans="1:6">
      <c r="A100" s="1293" t="s">
        <v>73</v>
      </c>
      <c r="B100" s="1294">
        <v>402</v>
      </c>
      <c r="C100" s="330"/>
      <c r="D100" s="330"/>
      <c r="E100" s="330"/>
      <c r="F100" s="330"/>
    </row>
    <row r="101" spans="1:6">
      <c r="A101" s="1293" t="s">
        <v>74</v>
      </c>
      <c r="B101" s="1294">
        <v>55</v>
      </c>
      <c r="C101" s="330"/>
      <c r="D101" s="330"/>
      <c r="E101" s="330"/>
      <c r="F101" s="330"/>
    </row>
    <row r="102" spans="1:6">
      <c r="A102" s="1293" t="s">
        <v>75</v>
      </c>
      <c r="B102" s="1294">
        <v>81</v>
      </c>
      <c r="C102" s="330"/>
      <c r="D102" s="330"/>
      <c r="E102" s="330"/>
      <c r="F102" s="330"/>
    </row>
    <row r="103" spans="1:6">
      <c r="A103" s="1293" t="s">
        <v>76</v>
      </c>
      <c r="B103" s="1294">
        <v>190</v>
      </c>
      <c r="C103" s="330"/>
      <c r="D103" s="330"/>
      <c r="E103" s="330"/>
      <c r="F103" s="330"/>
    </row>
    <row r="104" spans="1:6">
      <c r="A104" s="1293" t="s">
        <v>77</v>
      </c>
      <c r="B104" s="1294">
        <v>3725</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2</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51</v>
      </c>
      <c r="C123" s="1294">
        <v>56</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138</v>
      </c>
      <c r="C129" s="330"/>
      <c r="D129" s="330"/>
      <c r="E129" s="330"/>
      <c r="F129" s="330"/>
    </row>
    <row r="130" spans="1:6">
      <c r="A130" s="1293" t="s">
        <v>294</v>
      </c>
      <c r="B130" s="1294">
        <v>2</v>
      </c>
      <c r="C130" s="330"/>
      <c r="D130" s="330"/>
      <c r="E130" s="330"/>
      <c r="F130" s="330"/>
    </row>
    <row r="131" spans="1:6">
      <c r="A131" s="1293" t="s">
        <v>295</v>
      </c>
      <c r="B131" s="1294">
        <v>2</v>
      </c>
      <c r="C131" s="330"/>
      <c r="D131" s="330"/>
      <c r="E131" s="330"/>
      <c r="F131" s="330"/>
    </row>
    <row r="132" spans="1:6">
      <c r="A132" s="1288" t="s">
        <v>296</v>
      </c>
      <c r="B132" s="1289">
        <v>34</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54222.175817456671</v>
      </c>
      <c r="C3" s="43" t="s">
        <v>169</v>
      </c>
      <c r="D3" s="43"/>
      <c r="E3" s="154"/>
      <c r="F3" s="43"/>
      <c r="G3" s="43"/>
      <c r="H3" s="43"/>
      <c r="I3" s="43"/>
      <c r="J3" s="43"/>
      <c r="K3" s="96"/>
    </row>
    <row r="4" spans="1:11">
      <c r="A4" s="358" t="s">
        <v>170</v>
      </c>
      <c r="B4" s="49">
        <f>IF(ISERROR('SEAP template'!B78+'SEAP template'!C78),0,'SEAP template'!B78+'SEAP template'!C78)</f>
        <v>52116.12010672428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10051.430859308217</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0.19395881874578333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13857.078699089469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66088.16674710426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0.20967564060470228</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997.78800000000001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997.78800000000001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0.19395881874578333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193.52978183871767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28004.200161230499</v>
      </c>
      <c r="C5" s="17">
        <f>IF(ISERROR('Eigen informatie GS &amp; warmtenet'!B57),0,'Eigen informatie GS &amp; warmtenet'!B57)</f>
        <v>0</v>
      </c>
      <c r="D5" s="30">
        <f>(SUM(HH_hh_gas_kWh,HH_rest_gas_kWh)/1000)*0.902</f>
        <v>57726.306655068562</v>
      </c>
      <c r="E5" s="17">
        <f>B46*B57</f>
        <v>14078.58247475035</v>
      </c>
      <c r="F5" s="17">
        <f>B51*B62</f>
        <v>31293.469207534316</v>
      </c>
      <c r="G5" s="18"/>
      <c r="H5" s="17"/>
      <c r="I5" s="17"/>
      <c r="J5" s="17">
        <f>B50*B61+C50*C61</f>
        <v>0</v>
      </c>
      <c r="K5" s="17"/>
      <c r="L5" s="17"/>
      <c r="M5" s="17"/>
      <c r="N5" s="17">
        <f>B48*B59+C48*C59</f>
        <v>12705.112660948309</v>
      </c>
      <c r="O5" s="17">
        <f>B69*B70*B71</f>
        <v>303.28666666666669</v>
      </c>
      <c r="P5" s="17">
        <f>B77*B78*B79/1000-B77*B78*B79/1000/B80</f>
        <v>1639.7333333333333</v>
      </c>
    </row>
    <row r="6" spans="1:16">
      <c r="A6" s="16" t="s">
        <v>620</v>
      </c>
      <c r="B6" s="762">
        <f>kWh_PV_kleiner_dan_10kW</f>
        <v>3752.6212081211897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31756.821369351688</v>
      </c>
      <c r="C8" s="21">
        <f>C5</f>
        <v>0</v>
      </c>
      <c r="D8" s="21">
        <f>D5</f>
        <v>57726.306655068562</v>
      </c>
      <c r="E8" s="21">
        <f>E5</f>
        <v>14078.58247475035</v>
      </c>
      <c r="F8" s="21">
        <f>F5</f>
        <v>31293.469207534316</v>
      </c>
      <c r="G8" s="21"/>
      <c r="H8" s="21"/>
      <c r="I8" s="21"/>
      <c r="J8" s="21">
        <f>J5</f>
        <v>0</v>
      </c>
      <c r="K8" s="21"/>
      <c r="L8" s="21">
        <f>L5</f>
        <v>0</v>
      </c>
      <c r="M8" s="21">
        <f>M5</f>
        <v>0</v>
      </c>
      <c r="N8" s="21">
        <f>N5</f>
        <v>12705.112660948309</v>
      </c>
      <c r="O8" s="21">
        <f>O5</f>
        <v>303.28666666666669</v>
      </c>
      <c r="P8" s="21">
        <f>P5</f>
        <v>1639.7333333333333</v>
      </c>
    </row>
    <row r="9" spans="1:16">
      <c r="B9" s="19"/>
      <c r="C9" s="19"/>
      <c r="D9" s="258"/>
      <c r="E9" s="19"/>
      <c r="F9" s="19"/>
      <c r="G9" s="19"/>
      <c r="H9" s="19"/>
      <c r="I9" s="19"/>
      <c r="J9" s="19"/>
      <c r="K9" s="19"/>
      <c r="L9" s="19"/>
      <c r="M9" s="19"/>
      <c r="N9" s="19"/>
      <c r="O9" s="19"/>
      <c r="P9" s="19"/>
    </row>
    <row r="10" spans="1:16">
      <c r="A10" s="24" t="s">
        <v>213</v>
      </c>
      <c r="B10" s="25">
        <f ca="1">'EF ele_warmte'!B12</f>
        <v>0.19395881874578333</v>
      </c>
      <c r="C10" s="25">
        <f ca="1">'EF ele_warmte'!B22</f>
        <v>0.20967564060470228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6159.5155599203026</v>
      </c>
      <c r="C12" s="23">
        <f ca="1">C10*C8</f>
        <v>0</v>
      </c>
      <c r="D12" s="23">
        <f>D8*D10</f>
        <v>11660.71394432385</v>
      </c>
      <c r="E12" s="23">
        <f>E10*E8</f>
        <v>3195.8382217683297</v>
      </c>
      <c r="F12" s="23">
        <f>F10*F8</f>
        <v>8355.3562784116621</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1455</v>
      </c>
      <c r="C18" s="166" t="s">
        <v>110</v>
      </c>
      <c r="D18" s="228"/>
      <c r="E18" s="15"/>
    </row>
    <row r="19" spans="1:7">
      <c r="A19" s="171" t="s">
        <v>71</v>
      </c>
      <c r="B19" s="37">
        <f>aantalw2001_ander</f>
        <v>17</v>
      </c>
      <c r="C19" s="166" t="s">
        <v>110</v>
      </c>
      <c r="D19" s="229"/>
      <c r="E19" s="15"/>
    </row>
    <row r="20" spans="1:7">
      <c r="A20" s="171" t="s">
        <v>72</v>
      </c>
      <c r="B20" s="37">
        <f>aantalw2001_propaan</f>
        <v>84</v>
      </c>
      <c r="C20" s="167">
        <f>IF(ISERROR(B20/SUM($B$20,$B$21,$B$22)*100),0,B20/SUM($B$20,$B$21,$B$22)*100)</f>
        <v>15.526802218114602</v>
      </c>
      <c r="D20" s="229"/>
      <c r="E20" s="15"/>
    </row>
    <row r="21" spans="1:7">
      <c r="A21" s="171" t="s">
        <v>73</v>
      </c>
      <c r="B21" s="37">
        <f>aantalw2001_elektriciteit</f>
        <v>402</v>
      </c>
      <c r="C21" s="167">
        <f>IF(ISERROR(B21/SUM($B$20,$B$21,$B$22)*100),0,B21/SUM($B$20,$B$21,$B$22)*100)</f>
        <v>74.306839186691306</v>
      </c>
      <c r="D21" s="229"/>
      <c r="E21" s="15"/>
    </row>
    <row r="22" spans="1:7">
      <c r="A22" s="171" t="s">
        <v>74</v>
      </c>
      <c r="B22" s="37">
        <f>aantalw2001_hout</f>
        <v>55</v>
      </c>
      <c r="C22" s="167">
        <f>IF(ISERROR(B22/SUM($B$20,$B$21,$B$22)*100),0,B22/SUM($B$20,$B$21,$B$22)*100)</f>
        <v>10.166358595194085</v>
      </c>
      <c r="D22" s="229"/>
      <c r="E22" s="15"/>
    </row>
    <row r="23" spans="1:7">
      <c r="A23" s="171" t="s">
        <v>75</v>
      </c>
      <c r="B23" s="37">
        <f>aantalw2001_niet_gespec</f>
        <v>81</v>
      </c>
      <c r="C23" s="166" t="s">
        <v>110</v>
      </c>
      <c r="D23" s="228"/>
      <c r="E23" s="15"/>
    </row>
    <row r="24" spans="1:7">
      <c r="A24" s="171" t="s">
        <v>76</v>
      </c>
      <c r="B24" s="37">
        <f>aantalw2001_steenkool</f>
        <v>190</v>
      </c>
      <c r="C24" s="166" t="s">
        <v>110</v>
      </c>
      <c r="D24" s="229"/>
      <c r="E24" s="15"/>
    </row>
    <row r="25" spans="1:7">
      <c r="A25" s="171" t="s">
        <v>77</v>
      </c>
      <c r="B25" s="37">
        <f>aantalw2001_stookolie</f>
        <v>3725</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7228</v>
      </c>
      <c r="C28" s="36"/>
      <c r="D28" s="228"/>
    </row>
    <row r="29" spans="1:7" s="15" customFormat="1">
      <c r="A29" s="230" t="s">
        <v>781</v>
      </c>
      <c r="B29" s="37">
        <f>SUM(HH_hh_gas_aantal,HH_rest_gas_aantal)</f>
        <v>3927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3927</v>
      </c>
      <c r="C32" s="167">
        <f>IF(ISERROR(B32/SUM($B$32,$B$34,$B$35,$B$36,$B$38,$B$39)*100),0,B32/SUM($B$32,$B$34,$B$35,$B$36,$B$38,$B$39)*100)</f>
        <v>54.984598151778208</v>
      </c>
      <c r="D32" s="233"/>
      <c r="G32" s="15"/>
    </row>
    <row r="33" spans="1:7">
      <c r="A33" s="171" t="s">
        <v>71</v>
      </c>
      <c r="B33" s="34" t="s">
        <v>110</v>
      </c>
      <c r="C33" s="167"/>
      <c r="D33" s="233"/>
      <c r="G33" s="15"/>
    </row>
    <row r="34" spans="1:7">
      <c r="A34" s="171" t="s">
        <v>72</v>
      </c>
      <c r="B34" s="33">
        <f>IF((($B$28-$B$32-$B$39-$B$77-$B$38)*C20/100)&lt;0,0,($B$28-$B$32-$B$39-$B$77-$B$38)*C20/100)</f>
        <v>266.25360443622924</v>
      </c>
      <c r="C34" s="167">
        <f>IF(ISERROR(B34/SUM($B$32,$B$34,$B$35,$B$36,$B$38,$B$39)*100),0,B34/SUM($B$32,$B$34,$B$35,$B$36,$B$38,$B$39)*100)</f>
        <v>3.7279978218458307</v>
      </c>
      <c r="D34" s="233"/>
      <c r="G34" s="15"/>
    </row>
    <row r="35" spans="1:7">
      <c r="A35" s="171" t="s">
        <v>73</v>
      </c>
      <c r="B35" s="33">
        <f>IF((($B$28-$B$32-$B$39-$B$77-$B$38)*C21/100)&lt;0,0,($B$28-$B$32-$B$39-$B$77-$B$38)*C21/100)</f>
        <v>1274.2136783733827</v>
      </c>
      <c r="C35" s="167">
        <f>IF(ISERROR(B35/SUM($B$32,$B$34,$B$35,$B$36,$B$38,$B$39)*100),0,B35/SUM($B$32,$B$34,$B$35,$B$36,$B$38,$B$39)*100)</f>
        <v>17.841132433119331</v>
      </c>
      <c r="D35" s="233"/>
      <c r="G35" s="15"/>
    </row>
    <row r="36" spans="1:7">
      <c r="A36" s="171" t="s">
        <v>74</v>
      </c>
      <c r="B36" s="33">
        <f>IF((($B$28-$B$32-$B$39-$B$77-$B$38)*C22/100)&lt;0,0,($B$28-$B$32-$B$39-$B$77-$B$38)*C22/100)</f>
        <v>174.33271719038817</v>
      </c>
      <c r="C36" s="167">
        <f>IF(ISERROR(B36/SUM($B$32,$B$34,$B$35,$B$36,$B$38,$B$39)*100),0,B36/SUM($B$32,$B$34,$B$35,$B$36,$B$38,$B$39)*100)</f>
        <v>2.4409509547800079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1500.1999999999998</v>
      </c>
      <c r="C39" s="167">
        <f>IF(ISERROR(B39/SUM($B$32,$B$34,$B$35,$B$36,$B$38,$B$39)*100),0,B39/SUM($B$32,$B$34,$B$35,$B$36,$B$38,$B$39)*100)</f>
        <v>21.005320638476615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3927</v>
      </c>
      <c r="C44" s="34" t="s">
        <v>110</v>
      </c>
      <c r="D44" s="174"/>
    </row>
    <row r="45" spans="1:7">
      <c r="A45" s="171" t="s">
        <v>71</v>
      </c>
      <c r="B45" s="33" t="str">
        <f t="shared" si="0"/>
        <v>-</v>
      </c>
      <c r="C45" s="34" t="s">
        <v>110</v>
      </c>
      <c r="D45" s="174"/>
    </row>
    <row r="46" spans="1:7">
      <c r="A46" s="171" t="s">
        <v>72</v>
      </c>
      <c r="B46" s="33">
        <f t="shared" si="0"/>
        <v>266.25360443622924</v>
      </c>
      <c r="C46" s="34" t="s">
        <v>110</v>
      </c>
      <c r="D46" s="174"/>
    </row>
    <row r="47" spans="1:7">
      <c r="A47" s="171" t="s">
        <v>73</v>
      </c>
      <c r="B47" s="33">
        <f t="shared" si="0"/>
        <v>1274.2136783733827</v>
      </c>
      <c r="C47" s="34" t="s">
        <v>110</v>
      </c>
      <c r="D47" s="174"/>
    </row>
    <row r="48" spans="1:7">
      <c r="A48" s="171" t="s">
        <v>74</v>
      </c>
      <c r="B48" s="33">
        <f t="shared" si="0"/>
        <v>174.33271719038817</v>
      </c>
      <c r="C48" s="33">
        <f>B48*10</f>
        <v>1743.3271719038817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1500.1999999999998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194</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11982.551661313617</v>
      </c>
      <c r="C5" s="17">
        <f>IF(ISERROR('Eigen informatie GS &amp; warmtenet'!B58),0,'Eigen informatie GS &amp; warmtenet'!B58)</f>
        <v>0</v>
      </c>
      <c r="D5" s="30">
        <f>SUM(D6:D12)</f>
        <v>24114.325213380504</v>
      </c>
      <c r="E5" s="17">
        <f>SUM(E6:E12)</f>
        <v>220.39467849380205</v>
      </c>
      <c r="F5" s="17">
        <f>SUM(F6:F12)</f>
        <v>2080.2750711399935</v>
      </c>
      <c r="G5" s="18"/>
      <c r="H5" s="17"/>
      <c r="I5" s="17"/>
      <c r="J5" s="17">
        <f>SUM(J6:J12)</f>
        <v>1.6420510262202655E-2</v>
      </c>
      <c r="K5" s="17"/>
      <c r="L5" s="17"/>
      <c r="M5" s="17"/>
      <c r="N5" s="17">
        <f>SUM(N6:N12)</f>
        <v>666.26667040776067</v>
      </c>
      <c r="O5" s="17">
        <f>B38*B39*B40</f>
        <v>3.1266666666666669</v>
      </c>
      <c r="P5" s="17">
        <f>B46*B47*B48/1000-B46*B47*B48/1000/B49</f>
        <v>38.133333333333333</v>
      </c>
      <c r="R5" s="32"/>
    </row>
    <row r="6" spans="1:18">
      <c r="A6" s="32" t="s">
        <v>53</v>
      </c>
      <c r="B6" s="37">
        <f>B26</f>
        <v>2814.6303852590299</v>
      </c>
      <c r="C6" s="33"/>
      <c r="D6" s="37">
        <f>IF(ISERROR(TER_kantoor_gas_kWh/1000),0,TER_kantoor_gas_kWh/1000)*0.902</f>
        <v>3231.3475163493567</v>
      </c>
      <c r="E6" s="33">
        <f>$C$26*'E Balans VL '!I12/100/3.6*1000000</f>
        <v>1.764116712340328E-2</v>
      </c>
      <c r="F6" s="33">
        <f>$C$26*('E Balans VL '!L12+'E Balans VL '!N12)/100/3.6*1000000</f>
        <v>422.96029863048625</v>
      </c>
      <c r="G6" s="34"/>
      <c r="H6" s="33"/>
      <c r="I6" s="33"/>
      <c r="J6" s="33">
        <f>$C$26*('E Balans VL '!D12+'E Balans VL '!E12)/100/3.6*1000000</f>
        <v>0</v>
      </c>
      <c r="K6" s="33"/>
      <c r="L6" s="33"/>
      <c r="M6" s="33"/>
      <c r="N6" s="33">
        <f>$C$26*'E Balans VL '!Y12/100/3.6*1000000</f>
        <v>2.6917766487477883</v>
      </c>
      <c r="O6" s="33"/>
      <c r="P6" s="33"/>
      <c r="R6" s="32"/>
    </row>
    <row r="7" spans="1:18">
      <c r="A7" s="32" t="s">
        <v>52</v>
      </c>
      <c r="B7" s="37">
        <f t="shared" ref="B7:B12" si="0">B27</f>
        <v>1322.48949812049</v>
      </c>
      <c r="C7" s="33"/>
      <c r="D7" s="37">
        <f>IF(ISERROR(TER_horeca_gas_kWh/1000),0,TER_horeca_gas_kWh/1000)*0.902</f>
        <v>1539.4576517997029</v>
      </c>
      <c r="E7" s="33">
        <f>$C$27*'E Balans VL '!I9/100/3.6*1000000</f>
        <v>18.937829328386957</v>
      </c>
      <c r="F7" s="33">
        <f>$C$27*('E Balans VL '!L9+'E Balans VL '!N9)/100/3.6*1000000</f>
        <v>167.47078784609946</v>
      </c>
      <c r="G7" s="34"/>
      <c r="H7" s="33"/>
      <c r="I7" s="33"/>
      <c r="J7" s="33">
        <f>$C$27*('E Balans VL '!D9+'E Balans VL '!E9)/100/3.6*1000000</f>
        <v>0</v>
      </c>
      <c r="K7" s="33"/>
      <c r="L7" s="33"/>
      <c r="M7" s="33"/>
      <c r="N7" s="33">
        <f>$C$27*'E Balans VL '!Y9/100/3.6*1000000</f>
        <v>0.3801865723191537</v>
      </c>
      <c r="O7" s="33"/>
      <c r="P7" s="33"/>
      <c r="R7" s="32"/>
    </row>
    <row r="8" spans="1:18">
      <c r="A8" s="6" t="s">
        <v>51</v>
      </c>
      <c r="B8" s="37">
        <f t="shared" si="0"/>
        <v>4983.1849397223395</v>
      </c>
      <c r="C8" s="33"/>
      <c r="D8" s="37">
        <f>IF(ISERROR(TER_handel_gas_kWh/1000),0,TER_handel_gas_kWh/1000)*0.902</f>
        <v>2057.0859921435272</v>
      </c>
      <c r="E8" s="33">
        <f>$C$28*'E Balans VL '!I13/100/3.6*1000000</f>
        <v>180.73950326489302</v>
      </c>
      <c r="F8" s="33">
        <f>$C$28*('E Balans VL '!L13+'E Balans VL '!N13)/100/3.6*1000000</f>
        <v>959.81187734605396</v>
      </c>
      <c r="G8" s="34"/>
      <c r="H8" s="33"/>
      <c r="I8" s="33"/>
      <c r="J8" s="33">
        <f>$C$28*('E Balans VL '!D13+'E Balans VL '!E13)/100/3.6*1000000</f>
        <v>0</v>
      </c>
      <c r="K8" s="33"/>
      <c r="L8" s="33"/>
      <c r="M8" s="33"/>
      <c r="N8" s="33">
        <f>$C$28*'E Balans VL '!Y13/100/3.6*1000000</f>
        <v>6.9028577212341471</v>
      </c>
      <c r="O8" s="33"/>
      <c r="P8" s="33"/>
      <c r="R8" s="32"/>
    </row>
    <row r="9" spans="1:18">
      <c r="A9" s="32" t="s">
        <v>50</v>
      </c>
      <c r="B9" s="37">
        <f t="shared" si="0"/>
        <v>679.89549853534402</v>
      </c>
      <c r="C9" s="33"/>
      <c r="D9" s="37">
        <f>IF(ISERROR(TER_gezond_gas_kWh/1000),0,TER_gezond_gas_kWh/1000)*0.902</f>
        <v>2169.2185986730046</v>
      </c>
      <c r="E9" s="33">
        <f>$C$29*'E Balans VL '!I10/100/3.6*1000000</f>
        <v>4.2568170963631198E-2</v>
      </c>
      <c r="F9" s="33">
        <f>$C$29*('E Balans VL '!L10+'E Balans VL '!N10)/100/3.6*1000000</f>
        <v>101.00054639207396</v>
      </c>
      <c r="G9" s="34"/>
      <c r="H9" s="33"/>
      <c r="I9" s="33"/>
      <c r="J9" s="33">
        <f>$C$29*('E Balans VL '!D10+'E Balans VL '!E10)/100/3.6*1000000</f>
        <v>0</v>
      </c>
      <c r="K9" s="33"/>
      <c r="L9" s="33"/>
      <c r="M9" s="33"/>
      <c r="N9" s="33">
        <f>$C$29*'E Balans VL '!Y10/100/3.6*1000000</f>
        <v>10.516689175652443</v>
      </c>
      <c r="O9" s="33"/>
      <c r="P9" s="33"/>
      <c r="R9" s="32"/>
    </row>
    <row r="10" spans="1:18">
      <c r="A10" s="32" t="s">
        <v>49</v>
      </c>
      <c r="B10" s="37">
        <f t="shared" si="0"/>
        <v>581.356951079439</v>
      </c>
      <c r="C10" s="33"/>
      <c r="D10" s="37">
        <f>IF(ISERROR(TER_ander_gas_kWh/1000),0,TER_ander_gas_kWh/1000)*0.902</f>
        <v>670.89076258631439</v>
      </c>
      <c r="E10" s="33">
        <f>$C$30*'E Balans VL '!I14/100/3.6*1000000</f>
        <v>0.69295671149948057</v>
      </c>
      <c r="F10" s="33">
        <f>$C$30*('E Balans VL '!L14+'E Balans VL '!N14)/100/3.6*1000000</f>
        <v>152.10882350247084</v>
      </c>
      <c r="G10" s="34"/>
      <c r="H10" s="33"/>
      <c r="I10" s="33"/>
      <c r="J10" s="33">
        <f>$C$30*('E Balans VL '!D14+'E Balans VL '!E14)/100/3.6*1000000</f>
        <v>1.2618980551610077E-2</v>
      </c>
      <c r="K10" s="33"/>
      <c r="L10" s="33"/>
      <c r="M10" s="33"/>
      <c r="N10" s="33">
        <f>$C$30*'E Balans VL '!Y14/100/3.6*1000000</f>
        <v>493.6740972523063</v>
      </c>
      <c r="O10" s="33"/>
      <c r="P10" s="33"/>
      <c r="R10" s="32"/>
    </row>
    <row r="11" spans="1:18">
      <c r="A11" s="32" t="s">
        <v>54</v>
      </c>
      <c r="B11" s="37">
        <f t="shared" si="0"/>
        <v>31.103786895575197</v>
      </c>
      <c r="C11" s="33"/>
      <c r="D11" s="37">
        <f>IF(ISERROR(TER_onderwijs_gas_kWh/1000),0,TER_onderwijs_gas_kWh/1000)*0.902</f>
        <v>0</v>
      </c>
      <c r="E11" s="33">
        <f>$C$31*'E Balans VL '!I11/100/3.6*1000000</f>
        <v>0.46930604684168675</v>
      </c>
      <c r="F11" s="33">
        <f>$C$31*('E Balans VL '!L11+'E Balans VL '!N11)/100/3.6*1000000</f>
        <v>5.4498803618829736</v>
      </c>
      <c r="G11" s="34"/>
      <c r="H11" s="33"/>
      <c r="I11" s="33"/>
      <c r="J11" s="33">
        <f>$C$31*('E Balans VL '!D11+'E Balans VL '!E11)/100/3.6*1000000</f>
        <v>0</v>
      </c>
      <c r="K11" s="33"/>
      <c r="L11" s="33"/>
      <c r="M11" s="33"/>
      <c r="N11" s="33">
        <f>$C$31*'E Balans VL '!Y11/100/3.6*1000000</f>
        <v>8.7528420924076811E-2</v>
      </c>
      <c r="O11" s="33"/>
      <c r="P11" s="33"/>
      <c r="R11" s="32"/>
    </row>
    <row r="12" spans="1:18">
      <c r="A12" s="32" t="s">
        <v>259</v>
      </c>
      <c r="B12" s="37">
        <f t="shared" si="0"/>
        <v>1569.8906017014001</v>
      </c>
      <c r="C12" s="33"/>
      <c r="D12" s="37">
        <f>IF(ISERROR(TER_rest_gas_kWh/1000),0,TER_rest_gas_kWh/1000)*0.902</f>
        <v>14446.324691828599</v>
      </c>
      <c r="E12" s="33">
        <f>$C$32*'E Balans VL '!I8/100/3.6*1000000</f>
        <v>19.494873804093896</v>
      </c>
      <c r="F12" s="33">
        <f>$C$32*('E Balans VL '!L8+'E Balans VL '!N8)/100/3.6*1000000</f>
        <v>271.47285706092572</v>
      </c>
      <c r="G12" s="34"/>
      <c r="H12" s="33"/>
      <c r="I12" s="33"/>
      <c r="J12" s="33">
        <f>$C$32*('E Balans VL '!D8+'E Balans VL '!E8)/100/3.6*1000000</f>
        <v>3.8015297105925784E-3</v>
      </c>
      <c r="K12" s="33"/>
      <c r="L12" s="33"/>
      <c r="M12" s="33"/>
      <c r="N12" s="33">
        <f>$C$32*'E Balans VL '!Y8/100/3.6*1000000</f>
        <v>152.01353461657675</v>
      </c>
      <c r="O12" s="33"/>
      <c r="P12" s="33"/>
      <c r="R12" s="32"/>
    </row>
    <row r="13" spans="1:18">
      <c r="A13" s="16" t="s">
        <v>487</v>
      </c>
      <c r="B13" s="247">
        <f ca="1">'lokale energieproductie'!N46+'lokale energieproductie'!N39</f>
        <v>0</v>
      </c>
      <c r="C13" s="247">
        <f ca="1">'lokale energieproductie'!O46+'lokale energieproductie'!O39</f>
        <v>0</v>
      </c>
      <c r="D13" s="308">
        <f ca="1">('lokale energieproductie'!P39+'lokale energieproductie'!P46)*(-1)</f>
        <v>0</v>
      </c>
      <c r="E13" s="248"/>
      <c r="F13" s="308">
        <f ca="1">('lokale energieproductie'!S39+'lokale energieproductie'!S46)*(-1)</f>
        <v>0</v>
      </c>
      <c r="G13" s="249"/>
      <c r="H13" s="248"/>
      <c r="I13" s="248"/>
      <c r="J13" s="248"/>
      <c r="K13" s="248"/>
      <c r="L13" s="308">
        <f ca="1">('lokale energieproductie'!U39+'lokale energieproductie'!T39+'lokale energieproductie'!U46+'lokale energieproductie'!T46)*(-1)</f>
        <v>0</v>
      </c>
      <c r="M13" s="248"/>
      <c r="N13" s="308">
        <f ca="1">('lokale energieproductie'!Q39+'lokale energieproductie'!R39+'lokale energieproductie'!V39+'lokale energieproductie'!Q46+'lokale energieproductie'!R46+'lokale energieproductie'!V46)*(-1)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11982.551661313617</v>
      </c>
      <c r="C16" s="21">
        <f t="shared" ca="1" si="1"/>
        <v>0</v>
      </c>
      <c r="D16" s="21">
        <f t="shared" ca="1" si="1"/>
        <v>24114.325213380504</v>
      </c>
      <c r="E16" s="21">
        <f t="shared" si="1"/>
        <v>220.39467849380205</v>
      </c>
      <c r="F16" s="21">
        <f t="shared" ca="1" si="1"/>
        <v>2080.2750711399935</v>
      </c>
      <c r="G16" s="21">
        <f t="shared" si="1"/>
        <v>0</v>
      </c>
      <c r="H16" s="21">
        <f t="shared" si="1"/>
        <v>0</v>
      </c>
      <c r="I16" s="21">
        <f t="shared" si="1"/>
        <v>0</v>
      </c>
      <c r="J16" s="21">
        <f t="shared" si="1"/>
        <v>1.6420510262202655E-2</v>
      </c>
      <c r="K16" s="21">
        <f t="shared" si="1"/>
        <v>0</v>
      </c>
      <c r="L16" s="21">
        <f t="shared" ca="1" si="1"/>
        <v>0</v>
      </c>
      <c r="M16" s="21">
        <f t="shared" si="1"/>
        <v>0</v>
      </c>
      <c r="N16" s="21">
        <f t="shared" ca="1" si="1"/>
        <v>666.26667040776067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0.19395881874578333</v>
      </c>
      <c r="C18" s="25">
        <f ca="1">'EF ele_warmte'!B22</f>
        <v>0.20967564060470228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2324.1215657887128</v>
      </c>
      <c r="C20" s="23">
        <f t="shared" ref="C20:P20" ca="1" si="2">C16*C18</f>
        <v>0</v>
      </c>
      <c r="D20" s="23">
        <f t="shared" ca="1" si="2"/>
        <v>4871.0936931028618</v>
      </c>
      <c r="E20" s="23">
        <f t="shared" si="2"/>
        <v>50.029592018093069</v>
      </c>
      <c r="F20" s="23">
        <f t="shared" ca="1" si="2"/>
        <v>555.43344399437831</v>
      </c>
      <c r="G20" s="23">
        <f t="shared" si="2"/>
        <v>0</v>
      </c>
      <c r="H20" s="23">
        <f t="shared" si="2"/>
        <v>0</v>
      </c>
      <c r="I20" s="23">
        <f t="shared" si="2"/>
        <v>0</v>
      </c>
      <c r="J20" s="23">
        <f t="shared" si="2"/>
        <v>5.8128606328197397E-3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2814.6303852590299</v>
      </c>
      <c r="C26" s="39">
        <f>IF(ISERROR(B26*3.6/1000000/'E Balans VL '!Z12*100),0,B26*3.6/1000000/'E Balans VL '!Z12*100)</f>
        <v>5.9496827609691036E-2</v>
      </c>
      <c r="D26" s="237" t="s">
        <v>744</v>
      </c>
      <c r="F26" s="6"/>
    </row>
    <row r="27" spans="1:18">
      <c r="A27" s="231" t="s">
        <v>52</v>
      </c>
      <c r="B27" s="33">
        <f>IF(ISERROR(TER_horeca_ele_kWh/1000),0,TER_horeca_ele_kWh/1000)</f>
        <v>1322.48949812049</v>
      </c>
      <c r="C27" s="39">
        <f>IF(ISERROR(B27*3.6/1000000/'E Balans VL '!Z9*100),0,B27*3.6/1000000/'E Balans VL '!Z9*100)</f>
        <v>0.10425135421983794</v>
      </c>
      <c r="D27" s="237" t="s">
        <v>744</v>
      </c>
      <c r="F27" s="6"/>
    </row>
    <row r="28" spans="1:18">
      <c r="A28" s="171" t="s">
        <v>51</v>
      </c>
      <c r="B28" s="33">
        <f>IF(ISERROR(TER_handel_ele_kWh/1000),0,TER_handel_ele_kWh/1000)</f>
        <v>4983.1849397223395</v>
      </c>
      <c r="C28" s="39">
        <f>IF(ISERROR(B28*3.6/1000000/'E Balans VL '!Z13*100),0,B28*3.6/1000000/'E Balans VL '!Z13*100)</f>
        <v>0.14463216127407261</v>
      </c>
      <c r="D28" s="237" t="s">
        <v>744</v>
      </c>
      <c r="F28" s="6"/>
    </row>
    <row r="29" spans="1:18">
      <c r="A29" s="231" t="s">
        <v>50</v>
      </c>
      <c r="B29" s="33">
        <f>IF(ISERROR(TER_gezond_ele_kWh/1000),0,TER_gezond_ele_kWh/1000)</f>
        <v>679.89549853534402</v>
      </c>
      <c r="C29" s="39">
        <f>IF(ISERROR(B29*3.6/1000000/'E Balans VL '!Z10*100),0,B29*3.6/1000000/'E Balans VL '!Z10*100)</f>
        <v>7.1604160174548834E-2</v>
      </c>
      <c r="D29" s="237" t="s">
        <v>744</v>
      </c>
      <c r="F29" s="6"/>
    </row>
    <row r="30" spans="1:18">
      <c r="A30" s="231" t="s">
        <v>49</v>
      </c>
      <c r="B30" s="33">
        <f>IF(ISERROR(TER_ander_ele_kWh/1000),0,TER_ander_ele_kWh/1000)</f>
        <v>581.356951079439</v>
      </c>
      <c r="C30" s="39">
        <f>IF(ISERROR(B30*3.6/1000000/'E Balans VL '!Z14*100),0,B30*3.6/1000000/'E Balans VL '!Z14*100)</f>
        <v>4.2881014981721081E-2</v>
      </c>
      <c r="D30" s="237" t="s">
        <v>744</v>
      </c>
      <c r="F30" s="6"/>
    </row>
    <row r="31" spans="1:18">
      <c r="A31" s="231" t="s">
        <v>54</v>
      </c>
      <c r="B31" s="33">
        <f>IF(ISERROR(TER_onderwijs_ele_kWh/1000),0,TER_onderwijs_ele_kWh/1000)</f>
        <v>31.103786895575197</v>
      </c>
      <c r="C31" s="39">
        <f>IF(ISERROR(B31*3.6/1000000/'E Balans VL '!Z11*100),0,B31*3.6/1000000/'E Balans VL '!Z11*100)</f>
        <v>7.7245272733544867E-3</v>
      </c>
      <c r="D31" s="237" t="s">
        <v>744</v>
      </c>
    </row>
    <row r="32" spans="1:18">
      <c r="A32" s="231" t="s">
        <v>259</v>
      </c>
      <c r="B32" s="33">
        <f>IF(ISERROR(TER_rest_ele_kWh/1000),0,TER_rest_ele_kWh/1000)</f>
        <v>1569.8906017014001</v>
      </c>
      <c r="C32" s="39">
        <f>IF(ISERROR(B32*3.6/1000000/'E Balans VL '!Z8*100),0,B32*3.6/1000000/'E Balans VL '!Z8*100)</f>
        <v>1.2918115834054358E-2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5899.5522056717346</v>
      </c>
      <c r="C5" s="17">
        <f>IF(ISERROR('Eigen informatie GS &amp; warmtenet'!B59),0,'Eigen informatie GS &amp; warmtenet'!B59)</f>
        <v>0</v>
      </c>
      <c r="D5" s="30">
        <f>SUM(D6:D15)</f>
        <v>3815.5415388058395</v>
      </c>
      <c r="E5" s="17">
        <f>SUM(E6:E15)</f>
        <v>522.91574239818601</v>
      </c>
      <c r="F5" s="17">
        <f>SUM(F6:F15)</f>
        <v>1684.7635566630647</v>
      </c>
      <c r="G5" s="18"/>
      <c r="H5" s="17"/>
      <c r="I5" s="17"/>
      <c r="J5" s="17">
        <f>SUM(J6:J15)</f>
        <v>7.006890449579501</v>
      </c>
      <c r="K5" s="17"/>
      <c r="L5" s="17"/>
      <c r="M5" s="17"/>
      <c r="N5" s="17">
        <f>SUM(N6:N15)</f>
        <v>441.20190943251782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840.88189199242106</v>
      </c>
      <c r="C8" s="33"/>
      <c r="D8" s="37">
        <f>IF( ISERROR(IND_metaal_Gas_kWH/1000),0,IND_metaal_Gas_kWH/1000)*0.902</f>
        <v>397.75547313008468</v>
      </c>
      <c r="E8" s="33">
        <f>C30*'E Balans VL '!I18/100/3.6*1000000</f>
        <v>7.7310968654156325</v>
      </c>
      <c r="F8" s="33">
        <f>C30*'E Balans VL '!L18/100/3.6*1000000+C30*'E Balans VL '!N18/100/3.6*1000000</f>
        <v>78.846725676842254</v>
      </c>
      <c r="G8" s="34"/>
      <c r="H8" s="33"/>
      <c r="I8" s="33"/>
      <c r="J8" s="40">
        <f>C30*'E Balans VL '!D18/100/3.6*1000000+C30*'E Balans VL '!E18/100/3.6*1000000</f>
        <v>0</v>
      </c>
      <c r="K8" s="33"/>
      <c r="L8" s="33"/>
      <c r="M8" s="33"/>
      <c r="N8" s="33">
        <f>C30*'E Balans VL '!Y18/100/3.6*1000000</f>
        <v>11.996569805116582</v>
      </c>
      <c r="O8" s="33"/>
      <c r="P8" s="33"/>
      <c r="R8" s="32"/>
    </row>
    <row r="9" spans="1:18">
      <c r="A9" s="6" t="s">
        <v>32</v>
      </c>
      <c r="B9" s="37">
        <f t="shared" si="0"/>
        <v>1381.78603289491</v>
      </c>
      <c r="C9" s="33"/>
      <c r="D9" s="37">
        <f>IF( ISERROR(IND_andere_gas_kWh/1000),0,IND_andere_gas_kWh/1000)*0.902</f>
        <v>1466.1346555440934</v>
      </c>
      <c r="E9" s="33">
        <f>C31*'E Balans VL '!I19/100/3.6*1000000</f>
        <v>403.9229576163824</v>
      </c>
      <c r="F9" s="33">
        <f>C31*'E Balans VL '!L19/100/3.6*1000000+C31*'E Balans VL '!N19/100/3.6*1000000</f>
        <v>1110.3696690232557</v>
      </c>
      <c r="G9" s="34"/>
      <c r="H9" s="33"/>
      <c r="I9" s="33"/>
      <c r="J9" s="40">
        <f>C31*'E Balans VL '!D19/100/3.6*1000000+C31*'E Balans VL '!E19/100/3.6*1000000</f>
        <v>0</v>
      </c>
      <c r="K9" s="33"/>
      <c r="L9" s="33"/>
      <c r="M9" s="33"/>
      <c r="N9" s="33">
        <f>C31*'E Balans VL '!Y19/100/3.6*1000000</f>
        <v>108.38541972150168</v>
      </c>
      <c r="O9" s="33"/>
      <c r="P9" s="33"/>
      <c r="R9" s="32"/>
    </row>
    <row r="10" spans="1:18">
      <c r="A10" s="6" t="s">
        <v>40</v>
      </c>
      <c r="B10" s="37">
        <f t="shared" si="0"/>
        <v>1474.8207502457099</v>
      </c>
      <c r="C10" s="33"/>
      <c r="D10" s="37">
        <f>IF( ISERROR(IND_voed_gas_kWh/1000),0,IND_voed_gas_kWh/1000)*0.902</f>
        <v>1022.591541243946</v>
      </c>
      <c r="E10" s="33">
        <f>C32*'E Balans VL '!I20/100/3.6*1000000</f>
        <v>3.1200061645113695</v>
      </c>
      <c r="F10" s="33">
        <f>C32*'E Balans VL '!L20/100/3.6*1000000+C32*'E Balans VL '!N20/100/3.6*1000000</f>
        <v>93.7706097858416</v>
      </c>
      <c r="G10" s="34"/>
      <c r="H10" s="33"/>
      <c r="I10" s="33"/>
      <c r="J10" s="40">
        <f>C32*'E Balans VL '!D20/100/3.6*1000000+C32*'E Balans VL '!E20/100/3.6*1000000</f>
        <v>0</v>
      </c>
      <c r="K10" s="33"/>
      <c r="L10" s="33"/>
      <c r="M10" s="33"/>
      <c r="N10" s="33">
        <f>C32*'E Balans VL '!Y20/100/3.6*1000000</f>
        <v>101.77718565373553</v>
      </c>
      <c r="O10" s="33"/>
      <c r="P10" s="33"/>
      <c r="R10" s="32"/>
    </row>
    <row r="11" spans="1:18">
      <c r="A11" s="6" t="s">
        <v>39</v>
      </c>
      <c r="B11" s="37">
        <f t="shared" si="0"/>
        <v>57.523636679698903</v>
      </c>
      <c r="C11" s="33"/>
      <c r="D11" s="37">
        <f>IF( ISERROR(IND_textiel_gas_kWh/1000),0,IND_textiel_gas_kWh/1000)*0.902</f>
        <v>0</v>
      </c>
      <c r="E11" s="33">
        <f>C33*'E Balans VL '!I21/100/3.6*1000000</f>
        <v>0.17084024144779864</v>
      </c>
      <c r="F11" s="33">
        <f>C33*'E Balans VL '!L21/100/3.6*1000000+C33*'E Balans VL '!N21/100/3.6*1000000</f>
        <v>5.8114665652789927</v>
      </c>
      <c r="G11" s="34"/>
      <c r="H11" s="33"/>
      <c r="I11" s="33"/>
      <c r="J11" s="40">
        <f>C33*'E Balans VL '!D21/100/3.6*1000000+C33*'E Balans VL '!E21/100/3.6*1000000</f>
        <v>0</v>
      </c>
      <c r="K11" s="33"/>
      <c r="L11" s="33"/>
      <c r="M11" s="33"/>
      <c r="N11" s="33">
        <f>C33*'E Balans VL '!Y21/100/3.6*1000000</f>
        <v>3.1726121411878605</v>
      </c>
      <c r="O11" s="33"/>
      <c r="P11" s="33"/>
      <c r="R11" s="32"/>
    </row>
    <row r="12" spans="1:18">
      <c r="A12" s="6" t="s">
        <v>36</v>
      </c>
      <c r="B12" s="37">
        <f t="shared" si="0"/>
        <v>21.276466279892801</v>
      </c>
      <c r="C12" s="33"/>
      <c r="D12" s="37">
        <f>IF( ISERROR(IND_min_gas_kWh/1000),0,IND_min_gas_kWh/1000)*0.902</f>
        <v>0</v>
      </c>
      <c r="E12" s="33">
        <f>C34*'E Balans VL '!I22/100/3.6*1000000</f>
        <v>0.61671714811205669</v>
      </c>
      <c r="F12" s="33">
        <f>C34*'E Balans VL '!L22/100/3.6*1000000+C34*'E Balans VL '!N22/100/3.6*1000000</f>
        <v>7.3150895364545825</v>
      </c>
      <c r="G12" s="34"/>
      <c r="H12" s="33"/>
      <c r="I12" s="33"/>
      <c r="J12" s="40">
        <f>C34*'E Balans VL '!D22/100/3.6*1000000+C34*'E Balans VL '!E22/100/3.6*1000000</f>
        <v>3.4963645665340368E-2</v>
      </c>
      <c r="K12" s="33"/>
      <c r="L12" s="33"/>
      <c r="M12" s="33"/>
      <c r="N12" s="33">
        <f>C34*'E Balans VL '!Y22/100/3.6*1000000</f>
        <v>4.6577681110364191</v>
      </c>
      <c r="O12" s="33"/>
      <c r="P12" s="33"/>
      <c r="R12" s="32"/>
    </row>
    <row r="13" spans="1:18">
      <c r="A13" s="6" t="s">
        <v>38</v>
      </c>
      <c r="B13" s="37">
        <f t="shared" si="0"/>
        <v>183.72461505619202</v>
      </c>
      <c r="C13" s="33"/>
      <c r="D13" s="37">
        <f>IF( ISERROR(IND_papier_gas_kWh/1000),0,IND_papier_gas_kWh/1000)*0.902</f>
        <v>0</v>
      </c>
      <c r="E13" s="33">
        <f>C35*'E Balans VL '!I23/100/3.6*1000000</f>
        <v>0.26066321127145414</v>
      </c>
      <c r="F13" s="33">
        <f>C35*'E Balans VL '!L23/100/3.6*1000000+C35*'E Balans VL '!N23/100/3.6*1000000</f>
        <v>4.4854087026163469</v>
      </c>
      <c r="G13" s="34"/>
      <c r="H13" s="33"/>
      <c r="I13" s="33"/>
      <c r="J13" s="40">
        <f>C35*'E Balans VL '!D23/100/3.6*1000000+C35*'E Balans VL '!E23/100/3.6*1000000</f>
        <v>2.8414736630237983E-2</v>
      </c>
      <c r="K13" s="33"/>
      <c r="L13" s="33"/>
      <c r="M13" s="33"/>
      <c r="N13" s="33">
        <f>C35*'E Balans VL '!Y23/100/3.6*1000000</f>
        <v>75.067213883694151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1939.5388125229101</v>
      </c>
      <c r="C15" s="33"/>
      <c r="D15" s="37">
        <f>IF( ISERROR(IND_rest_gas_kWh/1000),0,IND_rest_gas_kWh/1000)*0.902</f>
        <v>929.05986888771542</v>
      </c>
      <c r="E15" s="33">
        <f>C37*'E Balans VL '!I15/100/3.6*1000000</f>
        <v>107.09346115104523</v>
      </c>
      <c r="F15" s="33">
        <f>C37*'E Balans VL '!L15/100/3.6*1000000+C37*'E Balans VL '!N15/100/3.6*1000000</f>
        <v>384.16458737277543</v>
      </c>
      <c r="G15" s="34"/>
      <c r="H15" s="33"/>
      <c r="I15" s="33"/>
      <c r="J15" s="40">
        <f>C37*'E Balans VL '!D15/100/3.6*1000000+C37*'E Balans VL '!E15/100/3.6*1000000</f>
        <v>6.9435120672839226</v>
      </c>
      <c r="K15" s="33"/>
      <c r="L15" s="33"/>
      <c r="M15" s="33"/>
      <c r="N15" s="33">
        <f>C37*'E Balans VL '!Y15/100/3.6*1000000</f>
        <v>136.14514011624564</v>
      </c>
      <c r="O15" s="33"/>
      <c r="P15" s="33"/>
      <c r="R15" s="32"/>
    </row>
    <row r="16" spans="1:18">
      <c r="A16" s="16" t="s">
        <v>487</v>
      </c>
      <c r="B16" s="247">
        <f>'lokale energieproductie'!N45+'lokale energieproductie'!N38</f>
        <v>8.5</v>
      </c>
      <c r="C16" s="247">
        <f>'lokale energieproductie'!O45+'lokale energieproductie'!O38</f>
        <v>12.175675675675675</v>
      </c>
      <c r="D16" s="308">
        <f>('lokale energieproductie'!P38+'lokale energieproductie'!P45)*(-1)</f>
        <v>-22.972972972972972</v>
      </c>
      <c r="E16" s="248"/>
      <c r="F16" s="308">
        <f>('lokale energieproductie'!S38+'lokale energieproductie'!S45)*(-1)</f>
        <v>0</v>
      </c>
      <c r="G16" s="249"/>
      <c r="H16" s="248"/>
      <c r="I16" s="248"/>
      <c r="J16" s="248"/>
      <c r="K16" s="248"/>
      <c r="L16" s="308">
        <f>('lokale energieproductie'!T38+'lokale energieproductie'!U38+'lokale energieproductie'!T45+'lokale energieproductie'!U45)*(-1)</f>
        <v>0</v>
      </c>
      <c r="M16" s="248"/>
      <c r="N16" s="308">
        <f>('lokale energieproductie'!Q38+'lokale energieproductie'!R38+'lokale energieproductie'!V38+'lokale energieproductie'!Q45+'lokale energieproductie'!R45+'lokale energieproductie'!V45)*(-1)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5908.0522056717346</v>
      </c>
      <c r="C18" s="21">
        <f>C5+C16</f>
        <v>12.175675675675675</v>
      </c>
      <c r="D18" s="21">
        <f>MAX((D5+D16),0)</f>
        <v>3792.5685658328666</v>
      </c>
      <c r="E18" s="21">
        <f>MAX((E5+E16),0)</f>
        <v>522.91574239818601</v>
      </c>
      <c r="F18" s="21">
        <f>MAX((F5+F16),0)</f>
        <v>1684.7635566630647</v>
      </c>
      <c r="G18" s="21"/>
      <c r="H18" s="21"/>
      <c r="I18" s="21"/>
      <c r="J18" s="21">
        <f>MAX((J5+J16),0)</f>
        <v>7.006890449579501</v>
      </c>
      <c r="K18" s="21"/>
      <c r="L18" s="21">
        <f>MAX((L5+L16),0)</f>
        <v>0</v>
      </c>
      <c r="M18" s="21"/>
      <c r="N18" s="21">
        <f>MAX((N5+N16),0)</f>
        <v>441.20190943251782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0.19395881874578333</v>
      </c>
      <c r="C20" s="25">
        <f ca="1">'EF ele_warmte'!B22</f>
        <v>0.20967564060470228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1145.9188269005094</v>
      </c>
      <c r="C22" s="23">
        <f ca="1">C18*C20</f>
        <v>2.5529425970923887</v>
      </c>
      <c r="D22" s="23">
        <f>D18*D20</f>
        <v>766.09885029823909</v>
      </c>
      <c r="E22" s="23">
        <f>E18*E20</f>
        <v>118.70187352438823</v>
      </c>
      <c r="F22" s="23">
        <f>F18*F20</f>
        <v>449.83186962903829</v>
      </c>
      <c r="G22" s="23"/>
      <c r="H22" s="23"/>
      <c r="I22" s="23"/>
      <c r="J22" s="23">
        <f>J18*J20</f>
        <v>2.4804392191511431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840.88189199242106</v>
      </c>
      <c r="C30" s="39">
        <f>IF(ISERROR(B30*3.6/1000000/'E Balans VL '!Z18*100),0,B30*3.6/1000000/'E Balans VL '!Z18*100)</f>
        <v>4.7654932981405017E-2</v>
      </c>
      <c r="D30" s="237" t="s">
        <v>744</v>
      </c>
    </row>
    <row r="31" spans="1:18">
      <c r="A31" s="6" t="s">
        <v>32</v>
      </c>
      <c r="B31" s="37">
        <f>IF( ISERROR(IND_ander_ele_kWh/1000),0,IND_ander_ele_kWh/1000)</f>
        <v>1381.78603289491</v>
      </c>
      <c r="C31" s="39">
        <f>IF(ISERROR(B31*3.6/1000000/'E Balans VL '!Z19*100),0,B31*3.6/1000000/'E Balans VL '!Z19*100)</f>
        <v>6.26720607952128E-2</v>
      </c>
      <c r="D31" s="237" t="s">
        <v>744</v>
      </c>
    </row>
    <row r="32" spans="1:18">
      <c r="A32" s="171" t="s">
        <v>40</v>
      </c>
      <c r="B32" s="37">
        <f>IF( ISERROR(IND_voed_ele_kWh/1000),0,IND_voed_ele_kWh/1000)</f>
        <v>1474.8207502457099</v>
      </c>
      <c r="C32" s="39">
        <f>IF(ISERROR(B32*3.6/1000000/'E Balans VL '!Z20*100),0,B32*3.6/1000000/'E Balans VL '!Z20*100)</f>
        <v>4.5622900926000076E-2</v>
      </c>
      <c r="D32" s="237" t="s">
        <v>744</v>
      </c>
    </row>
    <row r="33" spans="1:5">
      <c r="A33" s="171" t="s">
        <v>39</v>
      </c>
      <c r="B33" s="37">
        <f>IF( ISERROR(IND_textiel_ele_kWh/1000),0,IND_textiel_ele_kWh/1000)</f>
        <v>57.523636679698903</v>
      </c>
      <c r="C33" s="39">
        <f>IF(ISERROR(B33*3.6/1000000/'E Balans VL '!Z21*100),0,B33*3.6/1000000/'E Balans VL '!Z21*100)</f>
        <v>7.5004428152523105E-3</v>
      </c>
      <c r="D33" s="237" t="s">
        <v>744</v>
      </c>
    </row>
    <row r="34" spans="1:5">
      <c r="A34" s="171" t="s">
        <v>36</v>
      </c>
      <c r="B34" s="37">
        <f>IF( ISERROR(IND_min_ele_kWh/1000),0,IND_min_ele_kWh/1000)</f>
        <v>21.276466279892801</v>
      </c>
      <c r="C34" s="39">
        <f>IF(ISERROR(B34*3.6/1000000/'E Balans VL '!Z22*100),0,B34*3.6/1000000/'E Balans VL '!Z22*100)</f>
        <v>3.8269724656499198E-3</v>
      </c>
      <c r="D34" s="237" t="s">
        <v>744</v>
      </c>
    </row>
    <row r="35" spans="1:5">
      <c r="A35" s="171" t="s">
        <v>38</v>
      </c>
      <c r="B35" s="37">
        <f>IF( ISERROR(IND_papier_ele_kWh/1000),0,IND_papier_ele_kWh/1000)</f>
        <v>183.72461505619202</v>
      </c>
      <c r="C35" s="39">
        <f>IF(ISERROR(B35*3.6/1000000/'E Balans VL '!Z22*100),0,B35*3.6/1000000/'E Balans VL '!Z22*100)</f>
        <v>3.3046326106635798E-2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1939.5388125229101</v>
      </c>
      <c r="C37" s="39">
        <f>IF(ISERROR(B37*3.6/1000000/'E Balans VL '!Z15*100),0,B37*3.6/1000000/'E Balans VL '!Z15*100)</f>
        <v>1.5373227069443622E-2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2412.1447394693332</v>
      </c>
      <c r="C5" s="17">
        <f>'Eigen informatie GS &amp; warmtenet'!B60</f>
        <v>0</v>
      </c>
      <c r="D5" s="30">
        <f>IF(ISERROR(SUM(LB_lb_gas_kWh,LB_rest_gas_kWh)/1000),0,SUM(LB_lb_gas_kWh,LB_rest_gas_kWh)/1000)*0.902</f>
        <v>147435.54474789588</v>
      </c>
      <c r="E5" s="17">
        <f>B17*'E Balans VL '!I25/3.6*1000000/100</f>
        <v>70.90030143341059</v>
      </c>
      <c r="F5" s="17">
        <f>B17*('E Balans VL '!L25/3.6*1000000+'E Balans VL '!N25/3.6*1000000)/100</f>
        <v>10048.864639169049</v>
      </c>
      <c r="G5" s="18"/>
      <c r="H5" s="17"/>
      <c r="I5" s="17"/>
      <c r="J5" s="17">
        <f>('E Balans VL '!D25+'E Balans VL '!E25)/3.6*1000000*landbouw!B17/100</f>
        <v>349.46797134786146</v>
      </c>
      <c r="K5" s="17"/>
      <c r="L5" s="17">
        <f>L6*(-1)</f>
        <v>16745.625</v>
      </c>
      <c r="M5" s="17"/>
      <c r="N5" s="17">
        <f>N6*(-1)</f>
        <v>0</v>
      </c>
      <c r="O5" s="17"/>
      <c r="P5" s="17"/>
      <c r="R5" s="32"/>
    </row>
    <row r="6" spans="1:18">
      <c r="A6" s="16" t="s">
        <v>487</v>
      </c>
      <c r="B6" s="17" t="s">
        <v>210</v>
      </c>
      <c r="C6" s="17">
        <f>'lokale energieproductie'!O47+'lokale energieproductie'!O40</f>
        <v>66075.99107142858</v>
      </c>
      <c r="D6" s="308">
        <f>('lokale energieproductie'!P40+'lokale energieproductie'!P47)*(-1)</f>
        <v>-114402.85714285716</v>
      </c>
      <c r="E6" s="248"/>
      <c r="F6" s="308">
        <f>('lokale energieproductie'!S40+'lokale energieproductie'!S47)*(-1)</f>
        <v>-2975.625</v>
      </c>
      <c r="G6" s="249"/>
      <c r="H6" s="248"/>
      <c r="I6" s="248"/>
      <c r="J6" s="248"/>
      <c r="K6" s="248"/>
      <c r="L6" s="308">
        <f>('lokale energieproductie'!T40+'lokale energieproductie'!U40+'lokale energieproductie'!T47+'lokale energieproductie'!U47)*(-1)</f>
        <v>-16745.625</v>
      </c>
      <c r="M6" s="248"/>
      <c r="N6" s="308">
        <f>('lokale energieproductie'!V40+'lokale energieproductie'!R40+'lokale energieproductie'!Q40+'lokale energieproductie'!Q47+'lokale energieproductie'!R47+'lokale energieproductie'!V47)*(-1)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2412.1447394693332</v>
      </c>
      <c r="C8" s="21">
        <f>C5+C6</f>
        <v>66075.99107142858</v>
      </c>
      <c r="D8" s="21">
        <f>MAX((D5+D6),0)</f>
        <v>33032.687605038722</v>
      </c>
      <c r="E8" s="21">
        <f>MAX((E5+E6),0)</f>
        <v>70.90030143341059</v>
      </c>
      <c r="F8" s="21">
        <f>MAX((F5+F6),0)</f>
        <v>7073.239639169049</v>
      </c>
      <c r="G8" s="21"/>
      <c r="H8" s="21"/>
      <c r="I8" s="21"/>
      <c r="J8" s="21">
        <f>MAX((J5+J6),0)</f>
        <v>349.46797134786146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0.19395881874578333</v>
      </c>
      <c r="C10" s="31">
        <f ca="1">'EF ele_warmte'!B22</f>
        <v>0.20967564060470228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467.85674431132713</v>
      </c>
      <c r="C12" s="23">
        <f ca="1">C8*C10</f>
        <v>13854.525756492376</v>
      </c>
      <c r="D12" s="23">
        <f>D8*D10</f>
        <v>6672.6028962178225</v>
      </c>
      <c r="E12" s="23">
        <f>E8*E10</f>
        <v>16.094368425384204</v>
      </c>
      <c r="F12" s="23">
        <f>F8*F10</f>
        <v>1888.5549836581363</v>
      </c>
      <c r="G12" s="23"/>
      <c r="H12" s="23"/>
      <c r="I12" s="23"/>
      <c r="J12" s="23">
        <f>J8*J10</f>
        <v>123.71166185714296</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0.34229090640402182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136.47233294839626</v>
      </c>
      <c r="C26" s="247">
        <f>B26*'GWP N2O_CH4'!B5</f>
        <v>2865.9189919163214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27.769861930141786</v>
      </c>
      <c r="C27" s="247">
        <f>B27*'GWP N2O_CH4'!B5</f>
        <v>583.16710053297754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1.9189343792832469</v>
      </c>
      <c r="C28" s="247">
        <f>B28*'GWP N2O_CH4'!B4</f>
        <v>594.86965757780661</v>
      </c>
      <c r="D28" s="50"/>
    </row>
    <row r="29" spans="1:4">
      <c r="A29" s="41" t="s">
        <v>276</v>
      </c>
      <c r="B29" s="247">
        <f>B34*'ha_N2O bodem landbouw'!B4</f>
        <v>9.6436145610793833</v>
      </c>
      <c r="C29" s="247">
        <f>B29*'GWP N2O_CH4'!B4</f>
        <v>2989.520513934609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2.200639609464082E-3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1.4990951236460418E-4</v>
      </c>
      <c r="C5" s="437" t="s">
        <v>210</v>
      </c>
      <c r="D5" s="422">
        <f>SUM(D6:D11)</f>
        <v>4.1599395455470646E-4</v>
      </c>
      <c r="E5" s="422">
        <f>SUM(E6:E11)</f>
        <v>7.0474354284805825E-4</v>
      </c>
      <c r="F5" s="435" t="s">
        <v>210</v>
      </c>
      <c r="G5" s="422">
        <f>SUM(G6:G11)</f>
        <v>0.27359959573822801</v>
      </c>
      <c r="H5" s="422">
        <f>SUM(H6:H11)</f>
        <v>7.0273078388331328E-2</v>
      </c>
      <c r="I5" s="437" t="s">
        <v>210</v>
      </c>
      <c r="J5" s="437" t="s">
        <v>210</v>
      </c>
      <c r="K5" s="437" t="s">
        <v>210</v>
      </c>
      <c r="L5" s="437" t="s">
        <v>210</v>
      </c>
      <c r="M5" s="422">
        <f>SUM(M6:M11)</f>
        <v>1.8054056710488323E-2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1.2390489418392998E-4</v>
      </c>
      <c r="C6" s="423"/>
      <c r="D6" s="865">
        <f>vkm_GW_PW*SUMIFS(TableVerdeelsleutelVkm[CNG],TableVerdeelsleutelVkm[Voertuigtype],"Lichte voertuigen")*SUMIFS(TableECFTransport[EnergieConsumptieFactor (PJ per km)],TableECFTransport[Index],CONCATENATE($A6,"_CNG_CNG"))</f>
        <v>3.0706658145667327E-4</v>
      </c>
      <c r="E6" s="865">
        <f>vkm_GW_PW*SUMIFS(TableVerdeelsleutelVkm[LPG],TableVerdeelsleutelVkm[Voertuigtype],"Lichte voertuigen")*SUMIFS(TableECFTransport[EnergieConsumptieFactor (PJ per km)],TableECFTransport[Index],CONCATENATE($A6,"_LPG_LPG"))</f>
        <v>5.2715664159330461E-4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0.16152845033085847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5.2171894935637488E-2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1.0973357111988278E-2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5.9040456475052759E-2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9.8763944366079064E-7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3.4494714970712804E-3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2.6004618180674199E-5</v>
      </c>
      <c r="C8" s="423"/>
      <c r="D8" s="425">
        <f>vkm_NGW_PW*SUMIFS(TableVerdeelsleutelVkm[CNG],TableVerdeelsleutelVkm[Voertuigtype],"Lichte voertuigen")*SUMIFS(TableECFTransport[EnergieConsumptieFactor (PJ per km)],TableECFTransport[Index],CONCATENATE($A8,"_CNG_CNG"))</f>
        <v>1.0892737309803319E-4</v>
      </c>
      <c r="E8" s="425">
        <f>vkm_NGW_PW*SUMIFS(TableVerdeelsleutelVkm[LPG],TableVerdeelsleutelVkm[Voertuigtype],"Lichte voertuigen")*SUMIFS(TableECFTransport[EnergieConsumptieFactor (PJ per km)],TableECFTransport[Index],CONCATENATE($A8,"_LPG_LPG"))</f>
        <v>1.7758690125475366E-4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5.1184759786398359E-2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1.8100157774295671E-2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3.5233784539073065E-3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1.8459291459184386E-3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3.8038954512247231E-8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1.0784964752145729E-4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41.641531212390056</v>
      </c>
      <c r="C14" s="21"/>
      <c r="D14" s="21">
        <f t="shared" ref="D14:M14" si="0">((D5)*10^9/3600)+D12</f>
        <v>115.55387626519624</v>
      </c>
      <c r="E14" s="21">
        <f t="shared" si="0"/>
        <v>195.76209523557173</v>
      </c>
      <c r="F14" s="21"/>
      <c r="G14" s="21">
        <f t="shared" si="0"/>
        <v>75999.887705063345</v>
      </c>
      <c r="H14" s="21">
        <f t="shared" si="0"/>
        <v>19520.299552314256</v>
      </c>
      <c r="I14" s="21"/>
      <c r="J14" s="21"/>
      <c r="K14" s="21"/>
      <c r="L14" s="21"/>
      <c r="M14" s="21">
        <f t="shared" si="0"/>
        <v>5015.0157529134231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0.19395881874578333</v>
      </c>
      <c r="C16" s="56">
        <f ca="1">'EF ele_warmte'!B22</f>
        <v>0.20967564060470228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8.0767422047208424</v>
      </c>
      <c r="C18" s="23"/>
      <c r="D18" s="23">
        <f t="shared" ref="D18:M18" si="1">D14*D16</f>
        <v>23.341883005569642</v>
      </c>
      <c r="E18" s="23">
        <f t="shared" si="1"/>
        <v>44.437995618474787</v>
      </c>
      <c r="F18" s="23"/>
      <c r="G18" s="23">
        <f t="shared" si="1"/>
        <v>20291.970017251915</v>
      </c>
      <c r="H18" s="23">
        <f t="shared" si="1"/>
        <v>4860.55458852625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5.2901748440061158E-3</v>
      </c>
      <c r="H50" s="319">
        <f t="shared" si="2"/>
        <v>0</v>
      </c>
      <c r="I50" s="319">
        <f t="shared" si="2"/>
        <v>0</v>
      </c>
      <c r="J50" s="319">
        <f t="shared" si="2"/>
        <v>0</v>
      </c>
      <c r="K50" s="319">
        <f t="shared" si="2"/>
        <v>0</v>
      </c>
      <c r="L50" s="319">
        <f t="shared" si="2"/>
        <v>0</v>
      </c>
      <c r="M50" s="319">
        <f t="shared" si="2"/>
        <v>3.0043588087446467E-4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5.2901748440061158E-3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3.0043588087446467E-4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1469.4930122239209</v>
      </c>
      <c r="H54" s="21">
        <f t="shared" si="3"/>
        <v>0</v>
      </c>
      <c r="I54" s="21">
        <f t="shared" si="3"/>
        <v>0</v>
      </c>
      <c r="J54" s="21">
        <f t="shared" si="3"/>
        <v>0</v>
      </c>
      <c r="K54" s="21">
        <f t="shared" si="3"/>
        <v>0</v>
      </c>
      <c r="L54" s="21">
        <f t="shared" si="3"/>
        <v>0</v>
      </c>
      <c r="M54" s="21">
        <f t="shared" si="3"/>
        <v>83.454411354017978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0.19395881874578333</v>
      </c>
      <c r="C56" s="56">
        <f ca="1">'EF ele_warmte'!B22</f>
        <v>0.20967564060470228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392.35463426378692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12980.339661313617</v>
      </c>
      <c r="D10" s="979">
        <f ca="1">tertiair!C16</f>
        <v>0</v>
      </c>
      <c r="E10" s="979">
        <f ca="1">tertiair!D16</f>
        <v>24114.325213380504</v>
      </c>
      <c r="F10" s="979">
        <f>tertiair!E16</f>
        <v>220.39467849380205</v>
      </c>
      <c r="G10" s="979">
        <f ca="1">tertiair!F16</f>
        <v>2080.2750711399935</v>
      </c>
      <c r="H10" s="979">
        <f>tertiair!G16</f>
        <v>0</v>
      </c>
      <c r="I10" s="979">
        <f>tertiair!H16</f>
        <v>0</v>
      </c>
      <c r="J10" s="979">
        <f>tertiair!I16</f>
        <v>0</v>
      </c>
      <c r="K10" s="979">
        <f>tertiair!J16</f>
        <v>1.6420510262202655E-2</v>
      </c>
      <c r="L10" s="979">
        <f>tertiair!K16</f>
        <v>0</v>
      </c>
      <c r="M10" s="979">
        <f ca="1">tertiair!L16</f>
        <v>0</v>
      </c>
      <c r="N10" s="979">
        <f>tertiair!M16</f>
        <v>0</v>
      </c>
      <c r="O10" s="979">
        <f ca="1">tertiair!N16</f>
        <v>666.26667040776067</v>
      </c>
      <c r="P10" s="979">
        <f>tertiair!O16</f>
        <v>3.1266666666666669</v>
      </c>
      <c r="Q10" s="980">
        <f>tertiair!P16</f>
        <v>38.133333333333333</v>
      </c>
      <c r="R10" s="674">
        <f ca="1">SUM(C10:Q10)</f>
        <v>40102.877715245937</v>
      </c>
      <c r="S10" s="67"/>
    </row>
    <row r="11" spans="1:19" s="447" customFormat="1">
      <c r="A11" s="783" t="s">
        <v>224</v>
      </c>
      <c r="B11" s="788"/>
      <c r="C11" s="979">
        <f>huishoudens!B8</f>
        <v>31756.821369351688</v>
      </c>
      <c r="D11" s="979">
        <f>huishoudens!C8</f>
        <v>0</v>
      </c>
      <c r="E11" s="979">
        <f>huishoudens!D8</f>
        <v>57726.306655068562</v>
      </c>
      <c r="F11" s="979">
        <f>huishoudens!E8</f>
        <v>14078.58247475035</v>
      </c>
      <c r="G11" s="979">
        <f>huishoudens!F8</f>
        <v>31293.469207534316</v>
      </c>
      <c r="H11" s="979">
        <f>huishoudens!G8</f>
        <v>0</v>
      </c>
      <c r="I11" s="979">
        <f>huishoudens!H8</f>
        <v>0</v>
      </c>
      <c r="J11" s="979">
        <f>huishoudens!I8</f>
        <v>0</v>
      </c>
      <c r="K11" s="979">
        <f>huishoudens!J8</f>
        <v>0</v>
      </c>
      <c r="L11" s="979">
        <f>huishoudens!K8</f>
        <v>0</v>
      </c>
      <c r="M11" s="979">
        <f>huishoudens!L8</f>
        <v>0</v>
      </c>
      <c r="N11" s="979">
        <f>huishoudens!M8</f>
        <v>0</v>
      </c>
      <c r="O11" s="979">
        <f>huishoudens!N8</f>
        <v>12705.112660948309</v>
      </c>
      <c r="P11" s="979">
        <f>huishoudens!O8</f>
        <v>303.28666666666669</v>
      </c>
      <c r="Q11" s="980">
        <f>huishoudens!P8</f>
        <v>1639.7333333333333</v>
      </c>
      <c r="R11" s="674">
        <f>SUM(C11:Q11)</f>
        <v>149503.31236765321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5908.0522056717346</v>
      </c>
      <c r="D13" s="979">
        <f>industrie!C18</f>
        <v>12.175675675675675</v>
      </c>
      <c r="E13" s="979">
        <f>industrie!D18</f>
        <v>3792.5685658328666</v>
      </c>
      <c r="F13" s="979">
        <f>industrie!E18</f>
        <v>522.91574239818601</v>
      </c>
      <c r="G13" s="979">
        <f>industrie!F18</f>
        <v>1684.7635566630647</v>
      </c>
      <c r="H13" s="979">
        <f>industrie!G18</f>
        <v>0</v>
      </c>
      <c r="I13" s="979">
        <f>industrie!H18</f>
        <v>0</v>
      </c>
      <c r="J13" s="979">
        <f>industrie!I18</f>
        <v>0</v>
      </c>
      <c r="K13" s="979">
        <f>industrie!J18</f>
        <v>7.006890449579501</v>
      </c>
      <c r="L13" s="979">
        <f>industrie!K18</f>
        <v>0</v>
      </c>
      <c r="M13" s="979">
        <f>industrie!L18</f>
        <v>0</v>
      </c>
      <c r="N13" s="979">
        <f>industrie!M18</f>
        <v>0</v>
      </c>
      <c r="O13" s="979">
        <f>industrie!N18</f>
        <v>441.20190943251782</v>
      </c>
      <c r="P13" s="979">
        <f>industrie!O18</f>
        <v>0</v>
      </c>
      <c r="Q13" s="980">
        <f>industrie!P18</f>
        <v>0</v>
      </c>
      <c r="R13" s="674">
        <f>SUM(C13:Q13)</f>
        <v>12368.684546123626</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50645.213236337033</v>
      </c>
      <c r="D16" s="706">
        <f t="shared" ref="D16:R16" ca="1" si="0">SUM(D9:D15)</f>
        <v>12.175675675675675</v>
      </c>
      <c r="E16" s="706">
        <f t="shared" ca="1" si="0"/>
        <v>85633.200434281942</v>
      </c>
      <c r="F16" s="706">
        <f t="shared" si="0"/>
        <v>14821.892895642337</v>
      </c>
      <c r="G16" s="706">
        <f t="shared" ca="1" si="0"/>
        <v>35058.507835337376</v>
      </c>
      <c r="H16" s="706">
        <f t="shared" si="0"/>
        <v>0</v>
      </c>
      <c r="I16" s="706">
        <f t="shared" si="0"/>
        <v>0</v>
      </c>
      <c r="J16" s="706">
        <f t="shared" si="0"/>
        <v>0</v>
      </c>
      <c r="K16" s="706">
        <f t="shared" si="0"/>
        <v>7.0233109598417034</v>
      </c>
      <c r="L16" s="706">
        <f t="shared" si="0"/>
        <v>0</v>
      </c>
      <c r="M16" s="706">
        <f t="shared" ca="1" si="0"/>
        <v>0</v>
      </c>
      <c r="N16" s="706">
        <f t="shared" si="0"/>
        <v>0</v>
      </c>
      <c r="O16" s="706">
        <f t="shared" ca="1" si="0"/>
        <v>13812.581240788586</v>
      </c>
      <c r="P16" s="706">
        <f t="shared" si="0"/>
        <v>306.41333333333336</v>
      </c>
      <c r="Q16" s="706">
        <f t="shared" si="0"/>
        <v>1677.8666666666668</v>
      </c>
      <c r="R16" s="706">
        <f t="shared" ca="1" si="0"/>
        <v>201974.87462902279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1469.4930122239209</v>
      </c>
      <c r="I19" s="979">
        <f>transport!H54</f>
        <v>0</v>
      </c>
      <c r="J19" s="979">
        <f>transport!I54</f>
        <v>0</v>
      </c>
      <c r="K19" s="979">
        <f>transport!J54</f>
        <v>0</v>
      </c>
      <c r="L19" s="979">
        <f>transport!K54</f>
        <v>0</v>
      </c>
      <c r="M19" s="979">
        <f>transport!L54</f>
        <v>0</v>
      </c>
      <c r="N19" s="979">
        <f>transport!M54</f>
        <v>83.454411354017978</v>
      </c>
      <c r="O19" s="979">
        <f>transport!N54</f>
        <v>0</v>
      </c>
      <c r="P19" s="979">
        <f>transport!O54</f>
        <v>0</v>
      </c>
      <c r="Q19" s="980">
        <f>transport!P54</f>
        <v>0</v>
      </c>
      <c r="R19" s="674">
        <f>SUM(C19:Q19)</f>
        <v>1552.9474235779389</v>
      </c>
      <c r="S19" s="67"/>
    </row>
    <row r="20" spans="1:19" s="447" customFormat="1">
      <c r="A20" s="783" t="s">
        <v>306</v>
      </c>
      <c r="B20" s="788"/>
      <c r="C20" s="979">
        <f>transport!B14</f>
        <v>41.641531212390056</v>
      </c>
      <c r="D20" s="979">
        <f>transport!C14</f>
        <v>0</v>
      </c>
      <c r="E20" s="979">
        <f>transport!D14</f>
        <v>115.55387626519624</v>
      </c>
      <c r="F20" s="979">
        <f>transport!E14</f>
        <v>195.76209523557173</v>
      </c>
      <c r="G20" s="979">
        <f>transport!F14</f>
        <v>0</v>
      </c>
      <c r="H20" s="979">
        <f>transport!G14</f>
        <v>75999.887705063345</v>
      </c>
      <c r="I20" s="979">
        <f>transport!H14</f>
        <v>19520.299552314256</v>
      </c>
      <c r="J20" s="979">
        <f>transport!I14</f>
        <v>0</v>
      </c>
      <c r="K20" s="979">
        <f>transport!J14</f>
        <v>0</v>
      </c>
      <c r="L20" s="979">
        <f>transport!K14</f>
        <v>0</v>
      </c>
      <c r="M20" s="979">
        <f>transport!L14</f>
        <v>0</v>
      </c>
      <c r="N20" s="979">
        <f>transport!M14</f>
        <v>5015.0157529134231</v>
      </c>
      <c r="O20" s="979">
        <f>transport!N14</f>
        <v>0</v>
      </c>
      <c r="P20" s="979">
        <f>transport!O14</f>
        <v>0</v>
      </c>
      <c r="Q20" s="980">
        <f>transport!P14</f>
        <v>0</v>
      </c>
      <c r="R20" s="674">
        <f>SUM(C20:Q20)</f>
        <v>100888.1605130042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41.641531212390056</v>
      </c>
      <c r="D22" s="786">
        <f t="shared" ref="D22:R22" si="1">SUM(D18:D21)</f>
        <v>0</v>
      </c>
      <c r="E22" s="786">
        <f t="shared" si="1"/>
        <v>115.55387626519624</v>
      </c>
      <c r="F22" s="786">
        <f t="shared" si="1"/>
        <v>195.76209523557173</v>
      </c>
      <c r="G22" s="786">
        <f t="shared" si="1"/>
        <v>0</v>
      </c>
      <c r="H22" s="786">
        <f t="shared" si="1"/>
        <v>77469.380717287262</v>
      </c>
      <c r="I22" s="786">
        <f t="shared" si="1"/>
        <v>19520.299552314256</v>
      </c>
      <c r="J22" s="786">
        <f t="shared" si="1"/>
        <v>0</v>
      </c>
      <c r="K22" s="786">
        <f t="shared" si="1"/>
        <v>0</v>
      </c>
      <c r="L22" s="786">
        <f t="shared" si="1"/>
        <v>0</v>
      </c>
      <c r="M22" s="786">
        <f t="shared" si="1"/>
        <v>0</v>
      </c>
      <c r="N22" s="786">
        <f t="shared" si="1"/>
        <v>5098.4701642674409</v>
      </c>
      <c r="O22" s="786">
        <f t="shared" si="1"/>
        <v>0</v>
      </c>
      <c r="P22" s="786">
        <f t="shared" si="1"/>
        <v>0</v>
      </c>
      <c r="Q22" s="786">
        <f t="shared" si="1"/>
        <v>0</v>
      </c>
      <c r="R22" s="786">
        <f t="shared" si="1"/>
        <v>102441.10793658214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2412.1447394693332</v>
      </c>
      <c r="D24" s="979">
        <f>+landbouw!C8</f>
        <v>66075.99107142858</v>
      </c>
      <c r="E24" s="979">
        <f>+landbouw!D8</f>
        <v>33032.687605038722</v>
      </c>
      <c r="F24" s="979">
        <f>+landbouw!E8</f>
        <v>70.90030143341059</v>
      </c>
      <c r="G24" s="979">
        <f>+landbouw!F8</f>
        <v>7073.239639169049</v>
      </c>
      <c r="H24" s="979">
        <f>+landbouw!G8</f>
        <v>0</v>
      </c>
      <c r="I24" s="979">
        <f>+landbouw!H8</f>
        <v>0</v>
      </c>
      <c r="J24" s="979">
        <f>+landbouw!I8</f>
        <v>0</v>
      </c>
      <c r="K24" s="979">
        <f>+landbouw!J8</f>
        <v>349.46797134786146</v>
      </c>
      <c r="L24" s="979">
        <f>+landbouw!K8</f>
        <v>0</v>
      </c>
      <c r="M24" s="979">
        <f>+landbouw!L8</f>
        <v>0</v>
      </c>
      <c r="N24" s="979">
        <f>+landbouw!M8</f>
        <v>0</v>
      </c>
      <c r="O24" s="979">
        <f>+landbouw!N8</f>
        <v>0</v>
      </c>
      <c r="P24" s="979">
        <f>+landbouw!O8</f>
        <v>0</v>
      </c>
      <c r="Q24" s="980">
        <f>+landbouw!P8</f>
        <v>0</v>
      </c>
      <c r="R24" s="674">
        <f>SUM(C24:Q24)</f>
        <v>109014.43132788697</v>
      </c>
      <c r="S24" s="67"/>
    </row>
    <row r="25" spans="1:19" s="447" customFormat="1" ht="15" thickBot="1">
      <c r="A25" s="805" t="s">
        <v>823</v>
      </c>
      <c r="B25" s="982"/>
      <c r="C25" s="983">
        <f>IF(Onbekend_ele_kWh="---",0,Onbekend_ele_kWh)/1000+IF(REST_rest_ele_kWh="---",0,REST_rest_ele_kWh)/1000</f>
        <v>1123.1763104379099</v>
      </c>
      <c r="D25" s="983"/>
      <c r="E25" s="983">
        <f>IF(onbekend_gas_kWh="---",0,onbekend_gas_kWh)/1000+IF(REST_rest_gas_kWh="---",0,REST_rest_gas_kWh)/1000</f>
        <v>2573.2902597962598</v>
      </c>
      <c r="F25" s="983"/>
      <c r="G25" s="983"/>
      <c r="H25" s="983"/>
      <c r="I25" s="983"/>
      <c r="J25" s="983"/>
      <c r="K25" s="983"/>
      <c r="L25" s="983"/>
      <c r="M25" s="983"/>
      <c r="N25" s="983"/>
      <c r="O25" s="983"/>
      <c r="P25" s="983"/>
      <c r="Q25" s="984"/>
      <c r="R25" s="674">
        <f>SUM(C25:Q25)</f>
        <v>3696.4665702341699</v>
      </c>
      <c r="S25" s="67"/>
    </row>
    <row r="26" spans="1:19" s="447" customFormat="1" ht="15.75" thickBot="1">
      <c r="A26" s="679" t="s">
        <v>824</v>
      </c>
      <c r="B26" s="791"/>
      <c r="C26" s="786">
        <f>SUM(C24:C25)</f>
        <v>3535.3210499072429</v>
      </c>
      <c r="D26" s="786">
        <f t="shared" ref="D26:R26" si="2">SUM(D24:D25)</f>
        <v>66075.99107142858</v>
      </c>
      <c r="E26" s="786">
        <f t="shared" si="2"/>
        <v>35605.977864834982</v>
      </c>
      <c r="F26" s="786">
        <f t="shared" si="2"/>
        <v>70.90030143341059</v>
      </c>
      <c r="G26" s="786">
        <f t="shared" si="2"/>
        <v>7073.239639169049</v>
      </c>
      <c r="H26" s="786">
        <f t="shared" si="2"/>
        <v>0</v>
      </c>
      <c r="I26" s="786">
        <f t="shared" si="2"/>
        <v>0</v>
      </c>
      <c r="J26" s="786">
        <f t="shared" si="2"/>
        <v>0</v>
      </c>
      <c r="K26" s="786">
        <f t="shared" si="2"/>
        <v>349.46797134786146</v>
      </c>
      <c r="L26" s="786">
        <f t="shared" si="2"/>
        <v>0</v>
      </c>
      <c r="M26" s="786">
        <f t="shared" si="2"/>
        <v>0</v>
      </c>
      <c r="N26" s="786">
        <f t="shared" si="2"/>
        <v>0</v>
      </c>
      <c r="O26" s="786">
        <f t="shared" si="2"/>
        <v>0</v>
      </c>
      <c r="P26" s="786">
        <f t="shared" si="2"/>
        <v>0</v>
      </c>
      <c r="Q26" s="786">
        <f t="shared" si="2"/>
        <v>0</v>
      </c>
      <c r="R26" s="786">
        <f t="shared" si="2"/>
        <v>112710.89789812114</v>
      </c>
      <c r="S26" s="67"/>
    </row>
    <row r="27" spans="1:19" s="447" customFormat="1" ht="17.25" thickTop="1" thickBot="1">
      <c r="A27" s="680" t="s">
        <v>115</v>
      </c>
      <c r="B27" s="779"/>
      <c r="C27" s="681">
        <f ca="1">C22+C16+C26</f>
        <v>54222.175817456671</v>
      </c>
      <c r="D27" s="681">
        <f t="shared" ref="D27:R27" ca="1" si="3">D22+D16+D26</f>
        <v>66088.16674710426</v>
      </c>
      <c r="E27" s="681">
        <f t="shared" ca="1" si="3"/>
        <v>121354.73217538212</v>
      </c>
      <c r="F27" s="681">
        <f t="shared" si="3"/>
        <v>15088.555292311319</v>
      </c>
      <c r="G27" s="681">
        <f t="shared" ca="1" si="3"/>
        <v>42131.747474506425</v>
      </c>
      <c r="H27" s="681">
        <f t="shared" si="3"/>
        <v>77469.380717287262</v>
      </c>
      <c r="I27" s="681">
        <f t="shared" si="3"/>
        <v>19520.299552314256</v>
      </c>
      <c r="J27" s="681">
        <f t="shared" si="3"/>
        <v>0</v>
      </c>
      <c r="K27" s="681">
        <f t="shared" si="3"/>
        <v>356.49128230770316</v>
      </c>
      <c r="L27" s="681">
        <f t="shared" si="3"/>
        <v>0</v>
      </c>
      <c r="M27" s="681">
        <f t="shared" ca="1" si="3"/>
        <v>0</v>
      </c>
      <c r="N27" s="681">
        <f t="shared" si="3"/>
        <v>5098.4701642674409</v>
      </c>
      <c r="O27" s="681">
        <f t="shared" ca="1" si="3"/>
        <v>13812.581240788586</v>
      </c>
      <c r="P27" s="681">
        <f t="shared" si="3"/>
        <v>306.41333333333336</v>
      </c>
      <c r="Q27" s="681">
        <f t="shared" si="3"/>
        <v>1677.8666666666668</v>
      </c>
      <c r="R27" s="681">
        <f t="shared" ca="1" si="3"/>
        <v>417126.88046372606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2517.6513476274304</v>
      </c>
      <c r="D40" s="979">
        <f ca="1">tertiair!C20</f>
        <v>0</v>
      </c>
      <c r="E40" s="979">
        <f ca="1">tertiair!D20</f>
        <v>4871.0936931028618</v>
      </c>
      <c r="F40" s="979">
        <f>tertiair!E20</f>
        <v>50.029592018093069</v>
      </c>
      <c r="G40" s="979">
        <f ca="1">tertiair!F20</f>
        <v>555.43344399437831</v>
      </c>
      <c r="H40" s="979">
        <f>tertiair!G20</f>
        <v>0</v>
      </c>
      <c r="I40" s="979">
        <f>tertiair!H20</f>
        <v>0</v>
      </c>
      <c r="J40" s="979">
        <f>tertiair!I20</f>
        <v>0</v>
      </c>
      <c r="K40" s="979">
        <f>tertiair!J20</f>
        <v>5.8128606328197397E-3</v>
      </c>
      <c r="L40" s="979">
        <f>tertiair!K20</f>
        <v>0</v>
      </c>
      <c r="M40" s="979">
        <f ca="1">tertiair!L20</f>
        <v>0</v>
      </c>
      <c r="N40" s="979">
        <f>tertiair!M20</f>
        <v>0</v>
      </c>
      <c r="O40" s="979">
        <f ca="1">tertiair!N20</f>
        <v>0</v>
      </c>
      <c r="P40" s="979">
        <f>tertiair!O20</f>
        <v>0</v>
      </c>
      <c r="Q40" s="748">
        <f>tertiair!P20</f>
        <v>0</v>
      </c>
      <c r="R40" s="824">
        <f t="shared" ca="1" si="4"/>
        <v>7994.2138896033966</v>
      </c>
    </row>
    <row r="41" spans="1:18">
      <c r="A41" s="796" t="s">
        <v>224</v>
      </c>
      <c r="B41" s="803"/>
      <c r="C41" s="979">
        <f ca="1">huishoudens!B12</f>
        <v>6159.5155599203026</v>
      </c>
      <c r="D41" s="979">
        <f ca="1">huishoudens!C12</f>
        <v>0</v>
      </c>
      <c r="E41" s="979">
        <f>huishoudens!D12</f>
        <v>11660.71394432385</v>
      </c>
      <c r="F41" s="979">
        <f>huishoudens!E12</f>
        <v>3195.8382217683297</v>
      </c>
      <c r="G41" s="979">
        <f>huishoudens!F12</f>
        <v>8355.3562784116621</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29371.424004424145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1145.9188269005094</v>
      </c>
      <c r="D43" s="979">
        <f ca="1">industrie!C22</f>
        <v>2.5529425970923887</v>
      </c>
      <c r="E43" s="979">
        <f>industrie!D22</f>
        <v>766.09885029823909</v>
      </c>
      <c r="F43" s="979">
        <f>industrie!E22</f>
        <v>118.70187352438823</v>
      </c>
      <c r="G43" s="979">
        <f>industrie!F22</f>
        <v>449.83186962903829</v>
      </c>
      <c r="H43" s="979">
        <f>industrie!G22</f>
        <v>0</v>
      </c>
      <c r="I43" s="979">
        <f>industrie!H22</f>
        <v>0</v>
      </c>
      <c r="J43" s="979">
        <f>industrie!I22</f>
        <v>0</v>
      </c>
      <c r="K43" s="979">
        <f>industrie!J22</f>
        <v>2.4804392191511431</v>
      </c>
      <c r="L43" s="979">
        <f>industrie!K22</f>
        <v>0</v>
      </c>
      <c r="M43" s="979">
        <f>industrie!L22</f>
        <v>0</v>
      </c>
      <c r="N43" s="979">
        <f>industrie!M22</f>
        <v>0</v>
      </c>
      <c r="O43" s="979">
        <f>industrie!N22</f>
        <v>0</v>
      </c>
      <c r="P43" s="979">
        <f>industrie!O22</f>
        <v>0</v>
      </c>
      <c r="Q43" s="748">
        <f>industrie!P22</f>
        <v>0</v>
      </c>
      <c r="R43" s="823">
        <f t="shared" ca="1" si="4"/>
        <v>2485.5848021684187</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9823.0857344482429</v>
      </c>
      <c r="D46" s="706">
        <f t="shared" ref="D46:Q46" ca="1" si="5">SUM(D39:D45)</f>
        <v>2.5529425970923887</v>
      </c>
      <c r="E46" s="706">
        <f t="shared" ca="1" si="5"/>
        <v>17297.906487724951</v>
      </c>
      <c r="F46" s="706">
        <f t="shared" si="5"/>
        <v>3364.5696873108109</v>
      </c>
      <c r="G46" s="706">
        <f t="shared" ca="1" si="5"/>
        <v>9360.6215920350787</v>
      </c>
      <c r="H46" s="706">
        <f t="shared" si="5"/>
        <v>0</v>
      </c>
      <c r="I46" s="706">
        <f t="shared" si="5"/>
        <v>0</v>
      </c>
      <c r="J46" s="706">
        <f t="shared" si="5"/>
        <v>0</v>
      </c>
      <c r="K46" s="706">
        <f t="shared" si="5"/>
        <v>2.4862520797839629</v>
      </c>
      <c r="L46" s="706">
        <f t="shared" si="5"/>
        <v>0</v>
      </c>
      <c r="M46" s="706">
        <f t="shared" ca="1" si="5"/>
        <v>0</v>
      </c>
      <c r="N46" s="706">
        <f t="shared" si="5"/>
        <v>0</v>
      </c>
      <c r="O46" s="706">
        <f t="shared" ca="1" si="5"/>
        <v>0</v>
      </c>
      <c r="P46" s="706">
        <f t="shared" si="5"/>
        <v>0</v>
      </c>
      <c r="Q46" s="706">
        <f t="shared" si="5"/>
        <v>0</v>
      </c>
      <c r="R46" s="706">
        <f ca="1">SUM(R39:R45)</f>
        <v>39851.22269619596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392.35463426378692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392.35463426378692</v>
      </c>
    </row>
    <row r="50" spans="1:18">
      <c r="A50" s="799" t="s">
        <v>306</v>
      </c>
      <c r="B50" s="809"/>
      <c r="C50" s="677">
        <f ca="1">transport!B18</f>
        <v>8.0767422047208424</v>
      </c>
      <c r="D50" s="677">
        <f>transport!C18</f>
        <v>0</v>
      </c>
      <c r="E50" s="677">
        <f>transport!D18</f>
        <v>23.341883005569642</v>
      </c>
      <c r="F50" s="677">
        <f>transport!E18</f>
        <v>44.437995618474787</v>
      </c>
      <c r="G50" s="677">
        <f>transport!F18</f>
        <v>0</v>
      </c>
      <c r="H50" s="677">
        <f>transport!G18</f>
        <v>20291.970017251915</v>
      </c>
      <c r="I50" s="677">
        <f>transport!H18</f>
        <v>4860.55458852625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25228.381226606933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8.0767422047208424</v>
      </c>
      <c r="D52" s="706">
        <f t="shared" ref="D52:Q52" ca="1" si="6">SUM(D48:D51)</f>
        <v>0</v>
      </c>
      <c r="E52" s="706">
        <f t="shared" si="6"/>
        <v>23.341883005569642</v>
      </c>
      <c r="F52" s="706">
        <f t="shared" si="6"/>
        <v>44.437995618474787</v>
      </c>
      <c r="G52" s="706">
        <f t="shared" si="6"/>
        <v>0</v>
      </c>
      <c r="H52" s="706">
        <f t="shared" si="6"/>
        <v>20684.324651515701</v>
      </c>
      <c r="I52" s="706">
        <f t="shared" si="6"/>
        <v>4860.55458852625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25620.735860870718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467.85674431132713</v>
      </c>
      <c r="D54" s="677">
        <f ca="1">+landbouw!C12</f>
        <v>13854.525756492376</v>
      </c>
      <c r="E54" s="677">
        <f>+landbouw!D12</f>
        <v>6672.6028962178225</v>
      </c>
      <c r="F54" s="677">
        <f>+landbouw!E12</f>
        <v>16.094368425384204</v>
      </c>
      <c r="G54" s="677">
        <f>+landbouw!F12</f>
        <v>1888.5549836581363</v>
      </c>
      <c r="H54" s="677">
        <f>+landbouw!G12</f>
        <v>0</v>
      </c>
      <c r="I54" s="677">
        <f>+landbouw!H12</f>
        <v>0</v>
      </c>
      <c r="J54" s="677">
        <f>+landbouw!I12</f>
        <v>0</v>
      </c>
      <c r="K54" s="677">
        <f>+landbouw!J12</f>
        <v>123.71166185714296</v>
      </c>
      <c r="L54" s="677">
        <f>+landbouw!K12</f>
        <v>0</v>
      </c>
      <c r="M54" s="677">
        <f>+landbouw!L12</f>
        <v>0</v>
      </c>
      <c r="N54" s="677">
        <f>+landbouw!M12</f>
        <v>0</v>
      </c>
      <c r="O54" s="677">
        <f>+landbouw!N12</f>
        <v>0</v>
      </c>
      <c r="P54" s="677">
        <f>+landbouw!O12</f>
        <v>0</v>
      </c>
      <c r="Q54" s="678">
        <f>+landbouw!P12</f>
        <v>0</v>
      </c>
      <c r="R54" s="705">
        <f ca="1">SUM(C54:Q54)</f>
        <v>23023.346410962189</v>
      </c>
    </row>
    <row r="55" spans="1:18" ht="15" thickBot="1">
      <c r="A55" s="799" t="s">
        <v>823</v>
      </c>
      <c r="B55" s="809"/>
      <c r="C55" s="677">
        <f ca="1">C25*'EF ele_warmte'!B12</f>
        <v>217.84995041578424</v>
      </c>
      <c r="D55" s="677"/>
      <c r="E55" s="677">
        <f>E25*EF_CO2_aardgas</f>
        <v>519.8046324788445</v>
      </c>
      <c r="F55" s="677"/>
      <c r="G55" s="677"/>
      <c r="H55" s="677"/>
      <c r="I55" s="677"/>
      <c r="J55" s="677"/>
      <c r="K55" s="677"/>
      <c r="L55" s="677"/>
      <c r="M55" s="677"/>
      <c r="N55" s="677"/>
      <c r="O55" s="677"/>
      <c r="P55" s="677"/>
      <c r="Q55" s="678"/>
      <c r="R55" s="705">
        <f ca="1">SUM(C55:Q55)</f>
        <v>737.65458289462867</v>
      </c>
    </row>
    <row r="56" spans="1:18" ht="15.75" thickBot="1">
      <c r="A56" s="797" t="s">
        <v>824</v>
      </c>
      <c r="B56" s="810"/>
      <c r="C56" s="706">
        <f ca="1">SUM(C54:C55)</f>
        <v>685.70669472711143</v>
      </c>
      <c r="D56" s="706">
        <f t="shared" ref="D56:Q56" ca="1" si="7">SUM(D54:D55)</f>
        <v>13854.525756492376</v>
      </c>
      <c r="E56" s="706">
        <f t="shared" si="7"/>
        <v>7192.4075286966672</v>
      </c>
      <c r="F56" s="706">
        <f t="shared" si="7"/>
        <v>16.094368425384204</v>
      </c>
      <c r="G56" s="706">
        <f t="shared" si="7"/>
        <v>1888.5549836581363</v>
      </c>
      <c r="H56" s="706">
        <f t="shared" si="7"/>
        <v>0</v>
      </c>
      <c r="I56" s="706">
        <f t="shared" si="7"/>
        <v>0</v>
      </c>
      <c r="J56" s="706">
        <f t="shared" si="7"/>
        <v>0</v>
      </c>
      <c r="K56" s="706">
        <f t="shared" si="7"/>
        <v>123.71166185714296</v>
      </c>
      <c r="L56" s="706">
        <f t="shared" si="7"/>
        <v>0</v>
      </c>
      <c r="M56" s="706">
        <f t="shared" si="7"/>
        <v>0</v>
      </c>
      <c r="N56" s="706">
        <f t="shared" si="7"/>
        <v>0</v>
      </c>
      <c r="O56" s="706">
        <f t="shared" si="7"/>
        <v>0</v>
      </c>
      <c r="P56" s="706">
        <f t="shared" si="7"/>
        <v>0</v>
      </c>
      <c r="Q56" s="707">
        <f t="shared" si="7"/>
        <v>0</v>
      </c>
      <c r="R56" s="708">
        <f ca="1">SUM(R54:R55)</f>
        <v>23761.000993856818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10516.869171380076</v>
      </c>
      <c r="D61" s="714">
        <f t="shared" ref="D61:Q61" ca="1" si="8">D46+D52+D56</f>
        <v>13857.078699089469</v>
      </c>
      <c r="E61" s="714">
        <f t="shared" ca="1" si="8"/>
        <v>24513.655899427191</v>
      </c>
      <c r="F61" s="714">
        <f t="shared" si="8"/>
        <v>3425.10205135467</v>
      </c>
      <c r="G61" s="714">
        <f t="shared" ca="1" si="8"/>
        <v>11249.176575693215</v>
      </c>
      <c r="H61" s="714">
        <f t="shared" si="8"/>
        <v>20684.324651515701</v>
      </c>
      <c r="I61" s="714">
        <f t="shared" si="8"/>
        <v>4860.55458852625</v>
      </c>
      <c r="J61" s="714">
        <f t="shared" si="8"/>
        <v>0</v>
      </c>
      <c r="K61" s="714">
        <f t="shared" si="8"/>
        <v>126.19791393692692</v>
      </c>
      <c r="L61" s="714">
        <f t="shared" si="8"/>
        <v>0</v>
      </c>
      <c r="M61" s="714">
        <f t="shared" ca="1" si="8"/>
        <v>0</v>
      </c>
      <c r="N61" s="714">
        <f t="shared" si="8"/>
        <v>0</v>
      </c>
      <c r="O61" s="714">
        <f t="shared" ca="1" si="8"/>
        <v>0</v>
      </c>
      <c r="P61" s="714">
        <f t="shared" si="8"/>
        <v>0</v>
      </c>
      <c r="Q61" s="714">
        <f t="shared" si="8"/>
        <v>0</v>
      </c>
      <c r="R61" s="714">
        <f ca="1">R46+R52+R56</f>
        <v>89232.959550923493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0.19395881874578336</v>
      </c>
      <c r="D63" s="755">
        <f t="shared" ca="1" si="9"/>
        <v>0.20967564060470228</v>
      </c>
      <c r="E63" s="990">
        <f t="shared" ca="1" si="9"/>
        <v>0.20200000000000004</v>
      </c>
      <c r="F63" s="755">
        <f t="shared" si="9"/>
        <v>0.22700000000000004</v>
      </c>
      <c r="G63" s="755">
        <f t="shared" ca="1" si="9"/>
        <v>0.26699999999999996</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4178.1201067242891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5984.1166170509196</v>
      </c>
      <c r="C76" s="724">
        <f>'lokale energieproductie'!B8*IFERROR(SUM(D76:H76)/SUM(D76:O76),0)</f>
        <v>41953.883382949076</v>
      </c>
      <c r="D76" s="1000">
        <f>'lokale energieproductie'!C8</f>
        <v>48106.023385478467</v>
      </c>
      <c r="E76" s="1001">
        <f>'lokale energieproductie'!D8</f>
        <v>0</v>
      </c>
      <c r="F76" s="1001">
        <f>'lokale energieproductie'!E8</f>
        <v>1250.9892713167308</v>
      </c>
      <c r="G76" s="1001">
        <f>'lokale energieproductie'!F8</f>
        <v>0</v>
      </c>
      <c r="H76" s="1001">
        <f>'lokale energieproductie'!G8</f>
        <v>0</v>
      </c>
      <c r="I76" s="1001">
        <f>'lokale energieproductie'!I8</f>
        <v>7040.0662773344193</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10051.430859308217</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10162.236723775208</v>
      </c>
      <c r="C78" s="729">
        <f>SUM(C72:C77)</f>
        <v>41953.883382949076</v>
      </c>
      <c r="D78" s="730">
        <f t="shared" ref="D78:H78" si="10">SUM(D76:D77)</f>
        <v>48106.023385478467</v>
      </c>
      <c r="E78" s="730">
        <f t="shared" si="10"/>
        <v>0</v>
      </c>
      <c r="F78" s="730">
        <f t="shared" si="10"/>
        <v>1250.9892713167308</v>
      </c>
      <c r="G78" s="730">
        <f t="shared" si="10"/>
        <v>0</v>
      </c>
      <c r="H78" s="730">
        <f t="shared" si="10"/>
        <v>0</v>
      </c>
      <c r="I78" s="730">
        <f>SUM(I76:I77)</f>
        <v>7040.0662773344193</v>
      </c>
      <c r="J78" s="730">
        <f>SUM(J76:J77)</f>
        <v>0</v>
      </c>
      <c r="K78" s="730">
        <f t="shared" ref="K78:L78" si="11">SUM(K76:K77)</f>
        <v>0</v>
      </c>
      <c r="L78" s="730">
        <f t="shared" si="11"/>
        <v>0</v>
      </c>
      <c r="M78" s="730">
        <f>SUM(M76:M77)</f>
        <v>0</v>
      </c>
      <c r="N78" s="730">
        <f>SUM(N76:N77)</f>
        <v>0</v>
      </c>
      <c r="O78" s="834">
        <f>SUM(O76:O77)</f>
        <v>0</v>
      </c>
      <c r="P78" s="731">
        <v>0</v>
      </c>
      <c r="Q78" s="731">
        <f>SUM(Q76:Q77)</f>
        <v>10051.430859308217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8249.8080191451172</v>
      </c>
      <c r="C87" s="740">
        <f>'lokale energieproductie'!B17*IFERROR(SUM(D87:H87)/SUM(D87:O87),0)</f>
        <v>57838.358727959145</v>
      </c>
      <c r="D87" s="751">
        <f>'lokale energieproductie'!C17</f>
        <v>66319.806730351658</v>
      </c>
      <c r="E87" s="751">
        <f>'lokale energieproductie'!D17</f>
        <v>0</v>
      </c>
      <c r="F87" s="751">
        <f>'lokale energieproductie'!E17</f>
        <v>1724.6357286832692</v>
      </c>
      <c r="G87" s="751">
        <f>'lokale energieproductie'!F17</f>
        <v>0</v>
      </c>
      <c r="H87" s="751">
        <f>'lokale energieproductie'!G17</f>
        <v>0</v>
      </c>
      <c r="I87" s="751">
        <f>'lokale energieproductie'!I17</f>
        <v>9705.5587226655807</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13857.078699089469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8249.8080191451172</v>
      </c>
      <c r="C90" s="729">
        <f>SUM(C87:C89)</f>
        <v>57838.358727959145</v>
      </c>
      <c r="D90" s="729">
        <f t="shared" ref="D90:H90" si="12">SUM(D87:D89)</f>
        <v>66319.806730351658</v>
      </c>
      <c r="E90" s="729">
        <f t="shared" si="12"/>
        <v>0</v>
      </c>
      <c r="F90" s="729">
        <f t="shared" si="12"/>
        <v>1724.6357286832692</v>
      </c>
      <c r="G90" s="729">
        <f t="shared" si="12"/>
        <v>0</v>
      </c>
      <c r="H90" s="729">
        <f t="shared" si="12"/>
        <v>0</v>
      </c>
      <c r="I90" s="729">
        <f>SUM(I87:I89)</f>
        <v>9705.5587226655807</v>
      </c>
      <c r="J90" s="729">
        <f>SUM(J87:J89)</f>
        <v>0</v>
      </c>
      <c r="K90" s="729">
        <f t="shared" ref="K90:L90" si="13">SUM(K87:K89)</f>
        <v>0</v>
      </c>
      <c r="L90" s="729">
        <f t="shared" si="13"/>
        <v>0</v>
      </c>
      <c r="M90" s="729">
        <f>SUM(M87:M89)</f>
        <v>0</v>
      </c>
      <c r="N90" s="729">
        <f>SUM(N87:N89)</f>
        <v>0</v>
      </c>
      <c r="O90" s="729">
        <f>SUM(O87:O89)</f>
        <v>0</v>
      </c>
      <c r="P90" s="729">
        <v>0</v>
      </c>
      <c r="Q90" s="729">
        <f>SUM(Q87:Q89)</f>
        <v>13857.078699089469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9"/>
  <sheetViews>
    <sheetView showGridLines="0" topLeftCell="A316" zoomScaleNormal="100" workbookViewId="0">
      <selection activeCell="M36" sqref="M36"/>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4178.1201067242891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N37</f>
        <v>47938</v>
      </c>
      <c r="C8" s="544">
        <f>B56</f>
        <v>48106.023385478467</v>
      </c>
      <c r="D8" s="1010"/>
      <c r="E8" s="1010">
        <f>E56</f>
        <v>1250.9892713167308</v>
      </c>
      <c r="F8" s="1011"/>
      <c r="G8" s="545"/>
      <c r="H8" s="1010">
        <f>I56</f>
        <v>0</v>
      </c>
      <c r="I8" s="1010">
        <f>G56+F56</f>
        <v>7040.0662773344193</v>
      </c>
      <c r="J8" s="1010">
        <f>H56+D56+C56</f>
        <v>0</v>
      </c>
      <c r="K8" s="1010"/>
      <c r="L8" s="1010"/>
      <c r="M8" s="1010"/>
      <c r="N8" s="546"/>
      <c r="O8" s="547">
        <f>C8*$C$12+D8*$D$12+E8*$E$12+F8*$F$12+G8*$G$12+H8*$H$12+I8*$I$12+J8*$J$12</f>
        <v>10051.430859308217</v>
      </c>
      <c r="P8" s="1250"/>
      <c r="Q8" s="1251"/>
      <c r="S8" s="973"/>
      <c r="T8" s="1225"/>
      <c r="U8" s="1225"/>
    </row>
    <row r="9" spans="1:21" s="533" customFormat="1" ht="17.45" customHeight="1" thickBot="1">
      <c r="A9" s="548" t="s">
        <v>247</v>
      </c>
      <c r="B9" s="549">
        <f>N44+'Eigen informatie GS &amp; warmtenet'!B12</f>
        <v>0</v>
      </c>
      <c r="C9" s="550">
        <f>P44+IF(ISERROR(('Eigen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S44+IF(ISERROR('Eigen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W44+IF(ISERROR('Eigen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(T44+U44)+IF(ISERROR('Eigen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V44+Q44+R44+IF(ISERROR('Eigen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52116.120106724287</v>
      </c>
      <c r="C10" s="557">
        <f t="shared" ref="C10:L10" si="0">SUM(C8:C9)</f>
        <v>48106.023385478467</v>
      </c>
      <c r="D10" s="557">
        <f t="shared" si="0"/>
        <v>0</v>
      </c>
      <c r="E10" s="557">
        <f t="shared" si="0"/>
        <v>1250.9892713167308</v>
      </c>
      <c r="F10" s="557">
        <f t="shared" si="0"/>
        <v>0</v>
      </c>
      <c r="G10" s="557">
        <f t="shared" si="0"/>
        <v>0</v>
      </c>
      <c r="H10" s="557">
        <f t="shared" si="0"/>
        <v>0</v>
      </c>
      <c r="I10" s="557">
        <f t="shared" si="0"/>
        <v>7040.0662773344193</v>
      </c>
      <c r="J10" s="557">
        <f t="shared" si="0"/>
        <v>0</v>
      </c>
      <c r="K10" s="557">
        <f t="shared" si="0"/>
        <v>0</v>
      </c>
      <c r="L10" s="557">
        <f t="shared" si="0"/>
        <v>0</v>
      </c>
      <c r="M10" s="1013"/>
      <c r="N10" s="1013"/>
      <c r="O10" s="558">
        <f>SUM(O4:O9)</f>
        <v>10051.430859308217</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O37</f>
        <v>66088.16674710426</v>
      </c>
      <c r="C17" s="569">
        <f>B57</f>
        <v>66319.806730351658</v>
      </c>
      <c r="D17" s="570"/>
      <c r="E17" s="570">
        <f>E57</f>
        <v>1724.6357286832692</v>
      </c>
      <c r="F17" s="1016"/>
      <c r="G17" s="571"/>
      <c r="H17" s="569">
        <f>I57</f>
        <v>0</v>
      </c>
      <c r="I17" s="570">
        <f>G57+F57</f>
        <v>9705.5587226655807</v>
      </c>
      <c r="J17" s="570">
        <f>H57+D57+C57</f>
        <v>0</v>
      </c>
      <c r="K17" s="570"/>
      <c r="L17" s="570"/>
      <c r="M17" s="570"/>
      <c r="N17" s="1017"/>
      <c r="O17" s="572">
        <f>C17*$C$22+E17*$E$22+H17*$H$22+I17*$I$22+J17*$J$22+D17*$D$22+F17*$F$22+G17*$G$22+K17*$K$22+L17*$L$22</f>
        <v>13857.078699089469</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66088.16674710426</v>
      </c>
      <c r="C20" s="556">
        <f>SUM(C17:C19)</f>
        <v>66319.806730351658</v>
      </c>
      <c r="D20" s="556">
        <f t="shared" ref="D20:L20" si="1">SUM(D17:D19)</f>
        <v>0</v>
      </c>
      <c r="E20" s="556">
        <f t="shared" si="1"/>
        <v>1724.6357286832692</v>
      </c>
      <c r="F20" s="556">
        <f t="shared" si="1"/>
        <v>0</v>
      </c>
      <c r="G20" s="556">
        <f t="shared" si="1"/>
        <v>0</v>
      </c>
      <c r="H20" s="556">
        <f t="shared" si="1"/>
        <v>0</v>
      </c>
      <c r="I20" s="556">
        <f t="shared" si="1"/>
        <v>9705.5587226655807</v>
      </c>
      <c r="J20" s="556">
        <f t="shared" si="1"/>
        <v>0</v>
      </c>
      <c r="K20" s="556">
        <f t="shared" si="1"/>
        <v>0</v>
      </c>
      <c r="L20" s="556">
        <f t="shared" si="1"/>
        <v>0</v>
      </c>
      <c r="M20" s="556"/>
      <c r="N20" s="556"/>
      <c r="O20" s="575">
        <f>SUM(O17:O19)</f>
        <v>13857.078699089469</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12029</v>
      </c>
      <c r="C28" s="770">
        <v>2580</v>
      </c>
      <c r="D28" s="627" t="s">
        <v>887</v>
      </c>
      <c r="E28" s="626" t="s">
        <v>888</v>
      </c>
      <c r="F28" s="626" t="s">
        <v>889</v>
      </c>
      <c r="G28" s="626" t="s">
        <v>890</v>
      </c>
      <c r="H28" s="626" t="s">
        <v>891</v>
      </c>
      <c r="I28" s="626" t="s">
        <v>888</v>
      </c>
      <c r="J28" s="769">
        <v>39174</v>
      </c>
      <c r="K28" s="769">
        <v>39218</v>
      </c>
      <c r="L28" s="626" t="s">
        <v>892</v>
      </c>
      <c r="M28" s="626">
        <v>1147</v>
      </c>
      <c r="N28" s="626">
        <v>5161.5</v>
      </c>
      <c r="O28" s="626">
        <v>7373.5714285714284</v>
      </c>
      <c r="P28" s="626">
        <v>14747.142857142859</v>
      </c>
      <c r="Q28" s="626">
        <v>0</v>
      </c>
      <c r="R28" s="626">
        <v>0</v>
      </c>
      <c r="S28" s="626">
        <v>0</v>
      </c>
      <c r="T28" s="626">
        <v>0</v>
      </c>
      <c r="U28" s="626">
        <v>0</v>
      </c>
      <c r="V28" s="626">
        <v>0</v>
      </c>
      <c r="W28" s="626">
        <v>0</v>
      </c>
      <c r="X28" s="626">
        <v>10</v>
      </c>
      <c r="Y28" s="626" t="s">
        <v>111</v>
      </c>
      <c r="Z28" s="628" t="s">
        <v>111</v>
      </c>
    </row>
    <row r="29" spans="1:26" s="580" customFormat="1" ht="25.5">
      <c r="A29" s="579"/>
      <c r="B29" s="770">
        <v>12029</v>
      </c>
      <c r="C29" s="770">
        <v>2580</v>
      </c>
      <c r="D29" s="627" t="s">
        <v>893</v>
      </c>
      <c r="E29" s="626" t="s">
        <v>894</v>
      </c>
      <c r="F29" s="626" t="s">
        <v>895</v>
      </c>
      <c r="G29" s="626" t="s">
        <v>890</v>
      </c>
      <c r="H29" s="626" t="s">
        <v>891</v>
      </c>
      <c r="I29" s="626" t="s">
        <v>894</v>
      </c>
      <c r="J29" s="769">
        <v>40970</v>
      </c>
      <c r="K29" s="769">
        <v>39303</v>
      </c>
      <c r="L29" s="626" t="s">
        <v>892</v>
      </c>
      <c r="M29" s="626">
        <v>3602</v>
      </c>
      <c r="N29" s="626">
        <v>16209</v>
      </c>
      <c r="O29" s="626">
        <v>23155.714285714286</v>
      </c>
      <c r="P29" s="626">
        <v>46311.428571428572</v>
      </c>
      <c r="Q29" s="626">
        <v>0</v>
      </c>
      <c r="R29" s="626">
        <v>0</v>
      </c>
      <c r="S29" s="626">
        <v>0</v>
      </c>
      <c r="T29" s="626">
        <v>0</v>
      </c>
      <c r="U29" s="626">
        <v>0</v>
      </c>
      <c r="V29" s="626">
        <v>0</v>
      </c>
      <c r="W29" s="626">
        <v>0</v>
      </c>
      <c r="X29" s="626">
        <v>10</v>
      </c>
      <c r="Y29" s="626" t="s">
        <v>111</v>
      </c>
      <c r="Z29" s="628" t="s">
        <v>111</v>
      </c>
    </row>
    <row r="30" spans="1:26" s="580" customFormat="1" ht="25.5">
      <c r="A30" s="579"/>
      <c r="B30" s="770">
        <v>12029</v>
      </c>
      <c r="C30" s="770">
        <v>2580</v>
      </c>
      <c r="D30" s="627" t="s">
        <v>896</v>
      </c>
      <c r="E30" s="626" t="s">
        <v>897</v>
      </c>
      <c r="F30" s="626" t="s">
        <v>898</v>
      </c>
      <c r="G30" s="626" t="s">
        <v>890</v>
      </c>
      <c r="H30" s="626" t="s">
        <v>891</v>
      </c>
      <c r="I30" s="626" t="s">
        <v>899</v>
      </c>
      <c r="J30" s="769">
        <v>39706</v>
      </c>
      <c r="K30" s="769">
        <v>39735</v>
      </c>
      <c r="L30" s="626" t="s">
        <v>892</v>
      </c>
      <c r="M30" s="626">
        <v>1464</v>
      </c>
      <c r="N30" s="626">
        <v>6588</v>
      </c>
      <c r="O30" s="626">
        <v>9411.4285714285725</v>
      </c>
      <c r="P30" s="626">
        <v>18822.857142857145</v>
      </c>
      <c r="Q30" s="626">
        <v>0</v>
      </c>
      <c r="R30" s="626">
        <v>0</v>
      </c>
      <c r="S30" s="626">
        <v>0</v>
      </c>
      <c r="T30" s="626">
        <v>0</v>
      </c>
      <c r="U30" s="626">
        <v>0</v>
      </c>
      <c r="V30" s="626">
        <v>0</v>
      </c>
      <c r="W30" s="626">
        <v>0</v>
      </c>
      <c r="X30" s="626">
        <v>10</v>
      </c>
      <c r="Y30" s="626" t="s">
        <v>111</v>
      </c>
      <c r="Z30" s="628" t="s">
        <v>111</v>
      </c>
    </row>
    <row r="31" spans="1:26" s="580" customFormat="1" ht="25.5">
      <c r="A31" s="579"/>
      <c r="B31" s="770">
        <v>12029</v>
      </c>
      <c r="C31" s="770">
        <v>2580</v>
      </c>
      <c r="D31" s="627" t="s">
        <v>900</v>
      </c>
      <c r="E31" s="626" t="s">
        <v>901</v>
      </c>
      <c r="F31" s="626" t="s">
        <v>902</v>
      </c>
      <c r="G31" s="626" t="s">
        <v>890</v>
      </c>
      <c r="H31" s="626" t="s">
        <v>891</v>
      </c>
      <c r="I31" s="626" t="s">
        <v>901</v>
      </c>
      <c r="J31" s="769">
        <v>39805</v>
      </c>
      <c r="K31" s="769">
        <v>39833</v>
      </c>
      <c r="L31" s="626" t="s">
        <v>892</v>
      </c>
      <c r="M31" s="626">
        <v>485</v>
      </c>
      <c r="N31" s="626">
        <v>2182.5</v>
      </c>
      <c r="O31" s="626">
        <v>3117.8571428571431</v>
      </c>
      <c r="P31" s="626">
        <v>6235.7142857142862</v>
      </c>
      <c r="Q31" s="626">
        <v>0</v>
      </c>
      <c r="R31" s="626">
        <v>0</v>
      </c>
      <c r="S31" s="626">
        <v>0</v>
      </c>
      <c r="T31" s="626">
        <v>0</v>
      </c>
      <c r="U31" s="626">
        <v>0</v>
      </c>
      <c r="V31" s="626">
        <v>0</v>
      </c>
      <c r="W31" s="626">
        <v>0</v>
      </c>
      <c r="X31" s="626">
        <v>10</v>
      </c>
      <c r="Y31" s="626" t="s">
        <v>111</v>
      </c>
      <c r="Z31" s="628" t="s">
        <v>111</v>
      </c>
    </row>
    <row r="32" spans="1:26" s="580" customFormat="1" ht="38.25">
      <c r="A32" s="579"/>
      <c r="B32" s="770">
        <v>12029</v>
      </c>
      <c r="C32" s="770">
        <v>2580</v>
      </c>
      <c r="D32" s="627" t="s">
        <v>903</v>
      </c>
      <c r="E32" s="626" t="s">
        <v>904</v>
      </c>
      <c r="F32" s="626" t="s">
        <v>905</v>
      </c>
      <c r="G32" s="626" t="s">
        <v>890</v>
      </c>
      <c r="H32" s="626" t="s">
        <v>906</v>
      </c>
      <c r="I32" s="626" t="s">
        <v>904</v>
      </c>
      <c r="J32" s="769">
        <v>40093</v>
      </c>
      <c r="K32" s="769">
        <v>40093</v>
      </c>
      <c r="L32" s="626" t="s">
        <v>892</v>
      </c>
      <c r="M32" s="626">
        <v>1058</v>
      </c>
      <c r="N32" s="626">
        <v>4761</v>
      </c>
      <c r="O32" s="626">
        <v>5356.125</v>
      </c>
      <c r="P32" s="626">
        <v>0</v>
      </c>
      <c r="Q32" s="626">
        <v>0</v>
      </c>
      <c r="R32" s="626">
        <v>0</v>
      </c>
      <c r="S32" s="626">
        <v>2975.625</v>
      </c>
      <c r="T32" s="626">
        <v>8926.875</v>
      </c>
      <c r="U32" s="626">
        <v>0</v>
      </c>
      <c r="V32" s="626">
        <v>0</v>
      </c>
      <c r="W32" s="626">
        <v>0</v>
      </c>
      <c r="X32" s="626">
        <v>10</v>
      </c>
      <c r="Y32" s="626" t="s">
        <v>111</v>
      </c>
      <c r="Z32" s="628" t="s">
        <v>111</v>
      </c>
    </row>
    <row r="33" spans="1:26" s="580" customFormat="1" ht="38.25">
      <c r="A33" s="579"/>
      <c r="B33" s="770">
        <v>12029</v>
      </c>
      <c r="C33" s="770">
        <v>2580</v>
      </c>
      <c r="D33" s="627" t="s">
        <v>907</v>
      </c>
      <c r="E33" s="626" t="s">
        <v>908</v>
      </c>
      <c r="F33" s="626" t="s">
        <v>909</v>
      </c>
      <c r="G33" s="626" t="s">
        <v>890</v>
      </c>
      <c r="H33" s="626" t="s">
        <v>906</v>
      </c>
      <c r="I33" s="626" t="s">
        <v>908</v>
      </c>
      <c r="J33" s="769">
        <v>40142</v>
      </c>
      <c r="K33" s="769">
        <v>40175</v>
      </c>
      <c r="L33" s="626" t="s">
        <v>892</v>
      </c>
      <c r="M33" s="626">
        <v>695</v>
      </c>
      <c r="N33" s="626">
        <v>3127.5</v>
      </c>
      <c r="O33" s="626">
        <v>3518.4375</v>
      </c>
      <c r="P33" s="626">
        <v>0</v>
      </c>
      <c r="Q33" s="626">
        <v>0</v>
      </c>
      <c r="R33" s="626">
        <v>0</v>
      </c>
      <c r="S33" s="626">
        <v>0</v>
      </c>
      <c r="T33" s="626">
        <v>7818.75</v>
      </c>
      <c r="U33" s="626">
        <v>0</v>
      </c>
      <c r="V33" s="626">
        <v>0</v>
      </c>
      <c r="W33" s="626">
        <v>0</v>
      </c>
      <c r="X33" s="626">
        <v>10</v>
      </c>
      <c r="Y33" s="626" t="s">
        <v>111</v>
      </c>
      <c r="Z33" s="628" t="s">
        <v>111</v>
      </c>
    </row>
    <row r="34" spans="1:26" s="580" customFormat="1" ht="25.5">
      <c r="A34" s="579"/>
      <c r="B34" s="770">
        <v>12029</v>
      </c>
      <c r="C34" s="770">
        <v>2580</v>
      </c>
      <c r="D34" s="627" t="s">
        <v>910</v>
      </c>
      <c r="E34" s="626" t="s">
        <v>911</v>
      </c>
      <c r="F34" s="626" t="s">
        <v>912</v>
      </c>
      <c r="G34" s="626" t="s">
        <v>890</v>
      </c>
      <c r="H34" s="626" t="s">
        <v>891</v>
      </c>
      <c r="I34" s="626" t="s">
        <v>913</v>
      </c>
      <c r="J34" s="769">
        <v>40315</v>
      </c>
      <c r="K34" s="769">
        <v>40343</v>
      </c>
      <c r="L34" s="626" t="s">
        <v>892</v>
      </c>
      <c r="M34" s="626">
        <v>1400</v>
      </c>
      <c r="N34" s="626">
        <v>6300</v>
      </c>
      <c r="O34" s="626">
        <v>9000</v>
      </c>
      <c r="P34" s="626">
        <v>18000</v>
      </c>
      <c r="Q34" s="626">
        <v>0</v>
      </c>
      <c r="R34" s="626">
        <v>0</v>
      </c>
      <c r="S34" s="626">
        <v>0</v>
      </c>
      <c r="T34" s="626">
        <v>0</v>
      </c>
      <c r="U34" s="626">
        <v>0</v>
      </c>
      <c r="V34" s="626">
        <v>0</v>
      </c>
      <c r="W34" s="626">
        <v>0</v>
      </c>
      <c r="X34" s="626">
        <v>10</v>
      </c>
      <c r="Y34" s="626" t="s">
        <v>111</v>
      </c>
      <c r="Z34" s="628" t="s">
        <v>111</v>
      </c>
    </row>
    <row r="35" spans="1:26" s="580" customFormat="1" ht="25.5">
      <c r="A35" s="579"/>
      <c r="B35" s="770">
        <v>12029</v>
      </c>
      <c r="C35" s="770">
        <v>2580</v>
      </c>
      <c r="D35" s="627" t="s">
        <v>914</v>
      </c>
      <c r="E35" s="626" t="s">
        <v>915</v>
      </c>
      <c r="F35" s="626" t="s">
        <v>916</v>
      </c>
      <c r="G35" s="626" t="s">
        <v>890</v>
      </c>
      <c r="H35" s="626" t="s">
        <v>891</v>
      </c>
      <c r="I35" s="626" t="s">
        <v>915</v>
      </c>
      <c r="J35" s="769">
        <v>40445</v>
      </c>
      <c r="K35" s="769">
        <v>40445</v>
      </c>
      <c r="L35" s="626" t="s">
        <v>892</v>
      </c>
      <c r="M35" s="626">
        <v>800</v>
      </c>
      <c r="N35" s="626">
        <v>3600</v>
      </c>
      <c r="O35" s="626">
        <v>5142.8571428571431</v>
      </c>
      <c r="P35" s="626">
        <v>10285.714285714286</v>
      </c>
      <c r="Q35" s="626">
        <v>0</v>
      </c>
      <c r="R35" s="626">
        <v>0</v>
      </c>
      <c r="S35" s="626">
        <v>0</v>
      </c>
      <c r="T35" s="626">
        <v>0</v>
      </c>
      <c r="U35" s="626">
        <v>0</v>
      </c>
      <c r="V35" s="626">
        <v>0</v>
      </c>
      <c r="W35" s="626">
        <v>0</v>
      </c>
      <c r="X35" s="626">
        <v>10</v>
      </c>
      <c r="Y35" s="626" t="s">
        <v>111</v>
      </c>
      <c r="Z35" s="628" t="s">
        <v>111</v>
      </c>
    </row>
    <row r="36" spans="1:26" s="580" customFormat="1" ht="25.5">
      <c r="A36" s="579"/>
      <c r="B36" s="770">
        <v>12029</v>
      </c>
      <c r="C36" s="770">
        <v>2580</v>
      </c>
      <c r="D36" s="627"/>
      <c r="E36" s="626"/>
      <c r="F36" s="626" t="s">
        <v>917</v>
      </c>
      <c r="G36" s="626" t="s">
        <v>918</v>
      </c>
      <c r="H36" s="626" t="s">
        <v>918</v>
      </c>
      <c r="I36" s="626" t="s">
        <v>919</v>
      </c>
      <c r="J36" s="769">
        <v>41338</v>
      </c>
      <c r="K36" s="769">
        <v>42352</v>
      </c>
      <c r="L36" s="626" t="s">
        <v>892</v>
      </c>
      <c r="M36" s="626">
        <v>1.7</v>
      </c>
      <c r="N36" s="626">
        <v>8.5</v>
      </c>
      <c r="O36" s="626">
        <v>12.175675675675675</v>
      </c>
      <c r="P36" s="626">
        <v>22.972972972972972</v>
      </c>
      <c r="Q36" s="626">
        <v>0</v>
      </c>
      <c r="R36" s="626">
        <v>0</v>
      </c>
      <c r="S36" s="626">
        <v>0</v>
      </c>
      <c r="T36" s="626">
        <v>0</v>
      </c>
      <c r="U36" s="626">
        <v>0</v>
      </c>
      <c r="V36" s="626">
        <v>0</v>
      </c>
      <c r="W36" s="626">
        <v>0</v>
      </c>
      <c r="X36" s="626">
        <v>16000</v>
      </c>
      <c r="Y36" s="626" t="s">
        <v>920</v>
      </c>
      <c r="Z36" s="628" t="s">
        <v>388</v>
      </c>
    </row>
    <row r="37" spans="1:26" s="564" customFormat="1">
      <c r="A37" s="582" t="s">
        <v>279</v>
      </c>
      <c r="B37" s="583"/>
      <c r="C37" s="583"/>
      <c r="D37" s="583"/>
      <c r="E37" s="583"/>
      <c r="F37" s="583"/>
      <c r="G37" s="583"/>
      <c r="H37" s="583"/>
      <c r="I37" s="583"/>
      <c r="J37" s="583"/>
      <c r="K37" s="583"/>
      <c r="L37" s="584"/>
      <c r="M37" s="584">
        <f>SUM(M28:M36)</f>
        <v>10652.7</v>
      </c>
      <c r="N37" s="584">
        <f>SUM(N28:N36)</f>
        <v>47938</v>
      </c>
      <c r="O37" s="584">
        <f>SUM(O28:O36)</f>
        <v>66088.16674710426</v>
      </c>
      <c r="P37" s="584">
        <f>SUM(P28:P36)</f>
        <v>114425.83011583013</v>
      </c>
      <c r="Q37" s="584">
        <f>SUM(Q28:Q36)</f>
        <v>0</v>
      </c>
      <c r="R37" s="584">
        <f>SUM(R28:R36)</f>
        <v>0</v>
      </c>
      <c r="S37" s="584">
        <f>SUM(S28:S36)</f>
        <v>2975.625</v>
      </c>
      <c r="T37" s="584">
        <f>SUM(T28:T36)</f>
        <v>16745.625</v>
      </c>
      <c r="U37" s="584">
        <f>SUM(U28:U36)</f>
        <v>0</v>
      </c>
      <c r="V37" s="584">
        <f>SUM(V28:V36)</f>
        <v>0</v>
      </c>
      <c r="W37" s="584">
        <f>SUM(W28:W36)</f>
        <v>0</v>
      </c>
      <c r="X37" s="585"/>
      <c r="Y37" s="585"/>
      <c r="Z37" s="586"/>
    </row>
    <row r="38" spans="1:26" s="564" customFormat="1">
      <c r="A38" s="582" t="s">
        <v>286</v>
      </c>
      <c r="B38" s="583"/>
      <c r="C38" s="583"/>
      <c r="D38" s="583"/>
      <c r="E38" s="583"/>
      <c r="F38" s="583"/>
      <c r="G38" s="583"/>
      <c r="H38" s="583"/>
      <c r="I38" s="583"/>
      <c r="J38" s="583"/>
      <c r="K38" s="583"/>
      <c r="L38" s="584"/>
      <c r="M38" s="584">
        <f>SUMIF($Z$28:$Z$36,"industrie",M28:M36)</f>
        <v>1.7</v>
      </c>
      <c r="N38" s="584">
        <f>SUMIF($Z$28:$Z$36,"industrie",N28:N36)</f>
        <v>8.5</v>
      </c>
      <c r="O38" s="584">
        <f>SUMIF($Z$28:$Z$36,"industrie",O28:O36)</f>
        <v>12.175675675675675</v>
      </c>
      <c r="P38" s="584">
        <f>SUMIF($Z$28:$Z$36,"industrie",P28:P36)</f>
        <v>22.972972972972972</v>
      </c>
      <c r="Q38" s="584">
        <f>SUMIF($Z$28:$Z$36,"industrie",Q28:Q36)</f>
        <v>0</v>
      </c>
      <c r="R38" s="584">
        <f>SUMIF($Z$28:$Z$36,"industrie",R28:R36)</f>
        <v>0</v>
      </c>
      <c r="S38" s="584">
        <f>SUMIF($Z$28:$Z$36,"industrie",S28:S36)</f>
        <v>0</v>
      </c>
      <c r="T38" s="584">
        <f>SUMIF($Z$28:$Z$36,"industrie",T28:T36)</f>
        <v>0</v>
      </c>
      <c r="U38" s="584">
        <f>SUMIF($Z$28:$Z$36,"industrie",U28:U36)</f>
        <v>0</v>
      </c>
      <c r="V38" s="584">
        <f>SUMIF($Z$28:$Z$36,"industrie",V28:V36)</f>
        <v>0</v>
      </c>
      <c r="W38" s="584">
        <f>SUMIF($Z$28:$Z$36,"industrie",W28:W36)</f>
        <v>0</v>
      </c>
      <c r="X38" s="585"/>
      <c r="Y38" s="585"/>
      <c r="Z38" s="586"/>
    </row>
    <row r="39" spans="1:26" s="564" customFormat="1">
      <c r="A39" s="582" t="s">
        <v>287</v>
      </c>
      <c r="B39" s="583"/>
      <c r="C39" s="583"/>
      <c r="D39" s="583"/>
      <c r="E39" s="583"/>
      <c r="F39" s="583"/>
      <c r="G39" s="583"/>
      <c r="H39" s="583"/>
      <c r="I39" s="583"/>
      <c r="J39" s="583"/>
      <c r="K39" s="583"/>
      <c r="L39" s="584"/>
      <c r="M39" s="584">
        <f ca="1">SUMIF($Z$28:AC36,"tertiair",M28:M36)</f>
        <v>0</v>
      </c>
      <c r="N39" s="584">
        <f ca="1">SUMIF($Z$28:AD36,"tertiair",N28:N36)</f>
        <v>0</v>
      </c>
      <c r="O39" s="584">
        <f ca="1">SUMIF($Z$28:AE36,"tertiair",O28:O36)</f>
        <v>0</v>
      </c>
      <c r="P39" s="584">
        <f ca="1">SUMIF($Z$28:AF36,"tertiair",P28:P36)</f>
        <v>0</v>
      </c>
      <c r="Q39" s="584">
        <f ca="1">SUMIF($Z$28:AG36,"tertiair",Q28:Q36)</f>
        <v>0</v>
      </c>
      <c r="R39" s="584">
        <f ca="1">SUMIF($Z$28:AH36,"tertiair",R28:R36)</f>
        <v>0</v>
      </c>
      <c r="S39" s="584">
        <f ca="1">SUMIF($Z$28:AI36,"tertiair",S28:S36)</f>
        <v>0</v>
      </c>
      <c r="T39" s="584">
        <f ca="1">SUMIF($Z$28:AJ36,"tertiair",T28:T36)</f>
        <v>0</v>
      </c>
      <c r="U39" s="584">
        <f ca="1">SUMIF($Z$28:AK36,"tertiair",U28:U36)</f>
        <v>0</v>
      </c>
      <c r="V39" s="584">
        <f ca="1">SUMIF($Z$28:AL36,"tertiair",V28:V36)</f>
        <v>0</v>
      </c>
      <c r="W39" s="584">
        <f ca="1">SUMIF($Z$28:AM36,"tertiair",W28:W36)</f>
        <v>0</v>
      </c>
      <c r="X39" s="585"/>
      <c r="Y39" s="585"/>
      <c r="Z39" s="586"/>
    </row>
    <row r="40" spans="1:26" s="564" customFormat="1" ht="15.75" thickBot="1">
      <c r="A40" s="587" t="s">
        <v>288</v>
      </c>
      <c r="B40" s="588"/>
      <c r="C40" s="588"/>
      <c r="D40" s="588"/>
      <c r="E40" s="588"/>
      <c r="F40" s="588"/>
      <c r="G40" s="588"/>
      <c r="H40" s="588"/>
      <c r="I40" s="588"/>
      <c r="J40" s="588"/>
      <c r="K40" s="588"/>
      <c r="L40" s="589"/>
      <c r="M40" s="589">
        <f>SUMIF($Z$28:$Z$36,"landbouw",M28:M36)</f>
        <v>10651</v>
      </c>
      <c r="N40" s="589">
        <f>SUMIF($Z$28:$Z$36,"landbouw",N28:N36)</f>
        <v>47929.5</v>
      </c>
      <c r="O40" s="589">
        <f>SUMIF($Z$28:$Z$36,"landbouw",O28:O36)</f>
        <v>66075.99107142858</v>
      </c>
      <c r="P40" s="589">
        <f>SUMIF($Z$28:$Z$36,"landbouw",P28:P36)</f>
        <v>114402.85714285716</v>
      </c>
      <c r="Q40" s="589">
        <f>SUMIF($Z$28:$Z$36,"landbouw",Q28:Q36)</f>
        <v>0</v>
      </c>
      <c r="R40" s="589">
        <f>SUMIF($Z$28:$Z$36,"landbouw",R28:R36)</f>
        <v>0</v>
      </c>
      <c r="S40" s="589">
        <f>SUMIF($Z$28:$Z$36,"landbouw",S28:S36)</f>
        <v>2975.625</v>
      </c>
      <c r="T40" s="589">
        <f>SUMIF($Z$28:$Z$36,"landbouw",T28:T36)</f>
        <v>16745.625</v>
      </c>
      <c r="U40" s="589">
        <f>SUMIF($Z$28:$Z$36,"landbouw",U28:U36)</f>
        <v>0</v>
      </c>
      <c r="V40" s="589">
        <f>SUMIF($Z$28:$Z$36,"landbouw",V28:V36)</f>
        <v>0</v>
      </c>
      <c r="W40" s="589">
        <f>SUMIF($Z$28:$Z$36,"landbouw",W28:W36)</f>
        <v>0</v>
      </c>
      <c r="X40" s="590"/>
      <c r="Y40" s="590"/>
      <c r="Z40" s="591"/>
    </row>
    <row r="41" spans="1:26" s="533" customFormat="1" ht="15.75" thickBot="1">
      <c r="A41" s="592"/>
      <c r="B41" s="593"/>
      <c r="C41" s="593"/>
      <c r="D41" s="593"/>
      <c r="E41" s="593"/>
      <c r="F41" s="593"/>
      <c r="G41" s="593"/>
      <c r="H41" s="593"/>
      <c r="I41" s="593"/>
      <c r="J41" s="593"/>
      <c r="K41" s="593"/>
      <c r="L41" s="576"/>
      <c r="M41" s="576"/>
      <c r="N41" s="576"/>
      <c r="O41" s="577"/>
      <c r="P41" s="577"/>
    </row>
    <row r="42" spans="1:26" s="533" customFormat="1" ht="45">
      <c r="A42" s="594" t="s">
        <v>280</v>
      </c>
      <c r="B42" s="623" t="s">
        <v>89</v>
      </c>
      <c r="C42" s="623" t="s">
        <v>90</v>
      </c>
      <c r="D42" s="623" t="s">
        <v>91</v>
      </c>
      <c r="E42" s="623" t="s">
        <v>92</v>
      </c>
      <c r="F42" s="623" t="s">
        <v>93</v>
      </c>
      <c r="G42" s="623" t="s">
        <v>94</v>
      </c>
      <c r="H42" s="623" t="s">
        <v>95</v>
      </c>
      <c r="I42" s="623" t="s">
        <v>96</v>
      </c>
      <c r="J42" s="623" t="s">
        <v>97</v>
      </c>
      <c r="K42" s="623" t="s">
        <v>98</v>
      </c>
      <c r="L42" s="623" t="s">
        <v>99</v>
      </c>
      <c r="M42" s="624" t="s">
        <v>297</v>
      </c>
      <c r="N42" s="624" t="s">
        <v>100</v>
      </c>
      <c r="O42" s="624" t="s">
        <v>101</v>
      </c>
      <c r="P42" s="624" t="s">
        <v>533</v>
      </c>
      <c r="Q42" s="624" t="s">
        <v>102</v>
      </c>
      <c r="R42" s="624" t="s">
        <v>103</v>
      </c>
      <c r="S42" s="624" t="s">
        <v>104</v>
      </c>
      <c r="T42" s="624" t="s">
        <v>105</v>
      </c>
      <c r="U42" s="624" t="s">
        <v>106</v>
      </c>
      <c r="V42" s="624" t="s">
        <v>107</v>
      </c>
      <c r="W42" s="623" t="s">
        <v>108</v>
      </c>
      <c r="X42" s="623" t="s">
        <v>298</v>
      </c>
      <c r="Y42" s="623" t="s">
        <v>109</v>
      </c>
      <c r="Z42" s="625" t="s">
        <v>299</v>
      </c>
    </row>
    <row r="43" spans="1:26" s="595" customFormat="1" ht="12.75">
      <c r="A43" s="581"/>
      <c r="B43" s="770"/>
      <c r="C43" s="770"/>
      <c r="D43" s="629"/>
      <c r="E43" s="629"/>
      <c r="F43" s="629"/>
      <c r="G43" s="629"/>
      <c r="H43" s="629"/>
      <c r="I43" s="629"/>
      <c r="J43" s="769"/>
      <c r="K43" s="769"/>
      <c r="L43" s="629"/>
      <c r="M43" s="629"/>
      <c r="N43" s="629"/>
      <c r="O43" s="629"/>
      <c r="P43" s="629"/>
      <c r="Q43" s="629"/>
      <c r="R43" s="629"/>
      <c r="S43" s="629"/>
      <c r="T43" s="629"/>
      <c r="U43" s="629"/>
      <c r="V43" s="629"/>
      <c r="W43" s="629"/>
      <c r="X43" s="629"/>
      <c r="Y43" s="629"/>
      <c r="Z43" s="630"/>
    </row>
    <row r="44" spans="1:26" s="564" customFormat="1">
      <c r="A44" s="582" t="s">
        <v>279</v>
      </c>
      <c r="B44" s="583"/>
      <c r="C44" s="583"/>
      <c r="D44" s="583"/>
      <c r="E44" s="583"/>
      <c r="F44" s="583"/>
      <c r="G44" s="583"/>
      <c r="H44" s="583"/>
      <c r="I44" s="583"/>
      <c r="J44" s="583"/>
      <c r="K44" s="583"/>
      <c r="L44" s="584"/>
      <c r="M44" s="584">
        <f>SUM(M43:M43)</f>
        <v>0</v>
      </c>
      <c r="N44" s="584">
        <f>SUM(N43:N43)</f>
        <v>0</v>
      </c>
      <c r="O44" s="584">
        <f>SUM(O43:O43)</f>
        <v>0</v>
      </c>
      <c r="P44" s="584">
        <f>SUM(P43:P43)</f>
        <v>0</v>
      </c>
      <c r="Q44" s="584">
        <f>SUM(Q43:Q43)</f>
        <v>0</v>
      </c>
      <c r="R44" s="584">
        <f>SUM(R43:R43)</f>
        <v>0</v>
      </c>
      <c r="S44" s="584">
        <f>SUM(S43:S43)</f>
        <v>0</v>
      </c>
      <c r="T44" s="584">
        <f>SUM(T43:T43)</f>
        <v>0</v>
      </c>
      <c r="U44" s="584">
        <f>SUM(U43:U43)</f>
        <v>0</v>
      </c>
      <c r="V44" s="584">
        <f>SUM(V43:V43)</f>
        <v>0</v>
      </c>
      <c r="W44" s="584">
        <f>SUM(W43:W43)</f>
        <v>0</v>
      </c>
      <c r="X44" s="585"/>
      <c r="Y44" s="585"/>
      <c r="Z44" s="586"/>
    </row>
    <row r="45" spans="1:26" s="564" customFormat="1">
      <c r="A45" s="582" t="s">
        <v>286</v>
      </c>
      <c r="B45" s="583"/>
      <c r="C45" s="583"/>
      <c r="D45" s="583"/>
      <c r="E45" s="583"/>
      <c r="F45" s="583"/>
      <c r="G45" s="583"/>
      <c r="H45" s="583"/>
      <c r="I45" s="583"/>
      <c r="J45" s="583"/>
      <c r="K45" s="583"/>
      <c r="L45" s="584"/>
      <c r="M45" s="584">
        <f>SUMIF($Z$43:$Z$43,"industrie",M43:M43)</f>
        <v>0</v>
      </c>
      <c r="N45" s="584">
        <f>SUMIF($Z$43:$Z$43,"industrie",N43:N43)</f>
        <v>0</v>
      </c>
      <c r="O45" s="584">
        <f>SUMIF($Z$43:$Z$43,"industrie",O43:O43)</f>
        <v>0</v>
      </c>
      <c r="P45" s="584">
        <f>SUMIF($Z$43:$Z$43,"industrie",P43:P43)</f>
        <v>0</v>
      </c>
      <c r="Q45" s="584">
        <f>SUMIF($Z$43:$Z$43,"industrie",Q43:Q43)</f>
        <v>0</v>
      </c>
      <c r="R45" s="584">
        <f>SUMIF($Z$43:$Z$43,"industrie",R43:R43)</f>
        <v>0</v>
      </c>
      <c r="S45" s="584">
        <f>SUMIF($Z$43:$Z$43,"industrie",S43:S43)</f>
        <v>0</v>
      </c>
      <c r="T45" s="584">
        <f>SUMIF($Z$43:$Z$43,"industrie",T43:T43)</f>
        <v>0</v>
      </c>
      <c r="U45" s="584">
        <f>SUMIF($Z$43:$Z$43,"industrie",U43:U43)</f>
        <v>0</v>
      </c>
      <c r="V45" s="584">
        <f>SUMIF($Z$43:$Z$43,"industrie",V43:V43)</f>
        <v>0</v>
      </c>
      <c r="W45" s="584">
        <f>SUMIF($Z$43:$Z$43,"industrie",W43:W43)</f>
        <v>0</v>
      </c>
      <c r="X45" s="585"/>
      <c r="Y45" s="585"/>
      <c r="Z45" s="586"/>
    </row>
    <row r="46" spans="1:26" s="564" customFormat="1">
      <c r="A46" s="582" t="s">
        <v>287</v>
      </c>
      <c r="B46" s="583"/>
      <c r="C46" s="583"/>
      <c r="D46" s="583"/>
      <c r="E46" s="583"/>
      <c r="F46" s="583"/>
      <c r="G46" s="583"/>
      <c r="H46" s="583"/>
      <c r="I46" s="583"/>
      <c r="J46" s="583"/>
      <c r="K46" s="583"/>
      <c r="L46" s="584"/>
      <c r="M46" s="584">
        <f>SUMIF($Z$43:$Z$44,"tertiair",M43:M44)</f>
        <v>0</v>
      </c>
      <c r="N46" s="584">
        <f>SUMIF($Z$43:$Z$44,"tertiair",N43:N44)</f>
        <v>0</v>
      </c>
      <c r="O46" s="584">
        <f>SUMIF($Z$43:$Z$44,"tertiair",O43:O44)</f>
        <v>0</v>
      </c>
      <c r="P46" s="584">
        <f>SUMIF($Z$43:$Z$44,"tertiair",P43:P44)</f>
        <v>0</v>
      </c>
      <c r="Q46" s="584">
        <f>SUMIF($Z$43:$Z$44,"tertiair",Q43:Q44)</f>
        <v>0</v>
      </c>
      <c r="R46" s="584">
        <f>SUMIF($Z$43:$Z$44,"tertiair",R43:R44)</f>
        <v>0</v>
      </c>
      <c r="S46" s="584">
        <f>SUMIF($Z$43:$Z$44,"tertiair",S43:S44)</f>
        <v>0</v>
      </c>
      <c r="T46" s="584">
        <f>SUMIF($Z$43:$Z$44,"tertiair",T43:T44)</f>
        <v>0</v>
      </c>
      <c r="U46" s="584">
        <f>SUMIF($Z$43:$Z$44,"tertiair",U43:U44)</f>
        <v>0</v>
      </c>
      <c r="V46" s="584">
        <f>SUMIF($Z$43:$Z$44,"tertiair",V43:V44)</f>
        <v>0</v>
      </c>
      <c r="W46" s="584">
        <f>SUMIF($Z$43:$Z$44,"tertiair",W43:W44)</f>
        <v>0</v>
      </c>
      <c r="X46" s="585"/>
      <c r="Y46" s="585"/>
      <c r="Z46" s="586"/>
    </row>
    <row r="47" spans="1:26" s="564" customFormat="1" ht="15.75" thickBot="1">
      <c r="A47" s="587" t="s">
        <v>288</v>
      </c>
      <c r="B47" s="588"/>
      <c r="C47" s="588"/>
      <c r="D47" s="588"/>
      <c r="E47" s="588"/>
      <c r="F47" s="588"/>
      <c r="G47" s="588"/>
      <c r="H47" s="588"/>
      <c r="I47" s="588"/>
      <c r="J47" s="588"/>
      <c r="K47" s="588"/>
      <c r="L47" s="589"/>
      <c r="M47" s="589">
        <f>SUMIF($Z$43:$Z$45,"landbouw",M43:M45)</f>
        <v>0</v>
      </c>
      <c r="N47" s="589">
        <f>SUMIF($Z$43:$Z$45,"landbouw",N43:N45)</f>
        <v>0</v>
      </c>
      <c r="O47" s="589">
        <f>SUMIF($Z$43:$Z$45,"landbouw",O43:O45)</f>
        <v>0</v>
      </c>
      <c r="P47" s="589">
        <f>SUMIF($Z$43:$Z$45,"landbouw",P43:P45)</f>
        <v>0</v>
      </c>
      <c r="Q47" s="589">
        <f>SUMIF($Z$43:$Z$45,"landbouw",Q43:Q45)</f>
        <v>0</v>
      </c>
      <c r="R47" s="589">
        <f>SUMIF($Z$43:$Z$45,"landbouw",R43:R45)</f>
        <v>0</v>
      </c>
      <c r="S47" s="589">
        <f>SUMIF($Z$43:$Z$45,"landbouw",S43:S45)</f>
        <v>0</v>
      </c>
      <c r="T47" s="589">
        <f>SUMIF($Z$43:$Z$45,"landbouw",T43:T45)</f>
        <v>0</v>
      </c>
      <c r="U47" s="589">
        <f>SUMIF($Z$43:$Z$45,"landbouw",U43:U45)</f>
        <v>0</v>
      </c>
      <c r="V47" s="589">
        <f>SUMIF($Z$43:$Z$45,"landbouw",V43:V45)</f>
        <v>0</v>
      </c>
      <c r="W47" s="589">
        <f>SUMIF($Z$43:$Z$45,"landbouw",W43:W45)</f>
        <v>0</v>
      </c>
      <c r="X47" s="590"/>
      <c r="Y47" s="590"/>
      <c r="Z47" s="591"/>
    </row>
    <row r="48" spans="1:26" s="596" customFormat="1">
      <c r="A48" s="592"/>
      <c r="B48" s="576"/>
      <c r="C48" s="576"/>
      <c r="D48" s="576"/>
      <c r="E48" s="576"/>
      <c r="F48" s="576"/>
      <c r="G48" s="576"/>
      <c r="H48" s="576"/>
      <c r="I48" s="576"/>
      <c r="J48" s="576"/>
      <c r="K48" s="576"/>
      <c r="L48" s="576"/>
      <c r="M48" s="576"/>
      <c r="N48" s="576"/>
      <c r="O48" s="576"/>
      <c r="P48" s="576"/>
      <c r="Q48" s="576"/>
      <c r="R48" s="576"/>
      <c r="S48" s="576"/>
      <c r="T48" s="576"/>
      <c r="U48" s="576"/>
      <c r="V48" s="576"/>
      <c r="W48" s="576"/>
      <c r="X48" s="576"/>
      <c r="Y48" s="576"/>
    </row>
    <row r="49" spans="1:27" s="596" customFormat="1" ht="15.75" thickBot="1">
      <c r="A49" s="592"/>
      <c r="B49" s="576"/>
      <c r="C49" s="576"/>
      <c r="D49" s="576"/>
      <c r="E49" s="576"/>
      <c r="F49" s="576"/>
      <c r="G49" s="576"/>
      <c r="H49" s="576"/>
      <c r="I49" s="576"/>
      <c r="J49" s="576"/>
      <c r="K49" s="576"/>
      <c r="L49" s="576"/>
      <c r="M49" s="576"/>
      <c r="N49" s="576"/>
      <c r="O49" s="576"/>
      <c r="P49" s="576"/>
      <c r="Q49" s="576"/>
      <c r="R49" s="576"/>
      <c r="S49" s="576"/>
      <c r="T49" s="576"/>
      <c r="U49" s="576"/>
      <c r="V49" s="576"/>
      <c r="W49" s="576"/>
      <c r="X49" s="576"/>
      <c r="Y49" s="576"/>
      <c r="Z49" s="576"/>
      <c r="AA49" s="576"/>
    </row>
    <row r="50" spans="1:27">
      <c r="A50" s="597" t="s">
        <v>281</v>
      </c>
      <c r="B50" s="598"/>
      <c r="C50" s="598"/>
      <c r="D50" s="598"/>
      <c r="E50" s="598"/>
      <c r="F50" s="598"/>
      <c r="G50" s="598"/>
      <c r="H50" s="598"/>
      <c r="I50" s="599"/>
      <c r="J50" s="600"/>
      <c r="K50" s="600"/>
      <c r="L50" s="601"/>
      <c r="M50" s="601"/>
      <c r="N50" s="601"/>
      <c r="O50" s="601"/>
      <c r="P50" s="601"/>
    </row>
    <row r="51" spans="1:27">
      <c r="A51" s="603"/>
      <c r="B51" s="593"/>
      <c r="C51" s="593"/>
      <c r="D51" s="593"/>
      <c r="E51" s="593"/>
      <c r="F51" s="593"/>
      <c r="G51" s="593"/>
      <c r="H51" s="593"/>
      <c r="I51" s="604"/>
      <c r="J51" s="593"/>
      <c r="K51" s="593"/>
      <c r="L51" s="601"/>
      <c r="M51" s="601"/>
      <c r="N51" s="601"/>
      <c r="O51" s="601"/>
      <c r="P51" s="601"/>
    </row>
    <row r="52" spans="1:27">
      <c r="A52" s="605"/>
      <c r="B52" s="606" t="s">
        <v>282</v>
      </c>
      <c r="C52" s="606" t="s">
        <v>283</v>
      </c>
      <c r="D52" s="606"/>
      <c r="E52" s="606"/>
      <c r="F52" s="606"/>
      <c r="G52" s="606"/>
      <c r="H52" s="606"/>
      <c r="I52" s="607"/>
      <c r="J52" s="606"/>
      <c r="K52" s="606"/>
      <c r="L52" s="606"/>
      <c r="M52" s="606"/>
      <c r="N52" s="606"/>
      <c r="O52" s="606"/>
      <c r="P52" s="601"/>
    </row>
    <row r="53" spans="1:27">
      <c r="A53" s="603" t="s">
        <v>279</v>
      </c>
      <c r="B53" s="608">
        <f>IF(ISERROR(O37/(O37+N37)),0,O37/(O37+N37))</f>
        <v>0.57958772650561452</v>
      </c>
      <c r="C53" s="609">
        <f>IF(ISERROR(N37/(O37+N37)),0,N37/(N37+O37))</f>
        <v>0.42041227349438548</v>
      </c>
      <c r="D53" s="576"/>
      <c r="E53" s="576"/>
      <c r="F53" s="576"/>
      <c r="G53" s="576"/>
      <c r="H53" s="576"/>
      <c r="I53" s="610"/>
      <c r="J53" s="576"/>
      <c r="K53" s="576"/>
      <c r="L53" s="611"/>
      <c r="M53" s="611"/>
      <c r="N53" s="611"/>
      <c r="O53" s="611"/>
      <c r="P53" s="601"/>
    </row>
    <row r="54" spans="1:27">
      <c r="A54" s="603"/>
      <c r="B54" s="612"/>
      <c r="C54" s="612"/>
      <c r="D54" s="612"/>
      <c r="E54" s="612"/>
      <c r="F54" s="612"/>
      <c r="G54" s="612"/>
      <c r="H54" s="612"/>
      <c r="I54" s="613"/>
      <c r="J54" s="612"/>
      <c r="K54" s="612"/>
      <c r="L54" s="614"/>
      <c r="M54" s="614"/>
      <c r="N54" s="614"/>
      <c r="O54" s="614"/>
      <c r="P54" s="601"/>
    </row>
    <row r="55" spans="1:27" ht="30">
      <c r="A55" s="615"/>
      <c r="B55" s="616" t="s">
        <v>533</v>
      </c>
      <c r="C55" s="616" t="s">
        <v>102</v>
      </c>
      <c r="D55" s="616" t="s">
        <v>103</v>
      </c>
      <c r="E55" s="616" t="s">
        <v>104</v>
      </c>
      <c r="F55" s="616" t="s">
        <v>105</v>
      </c>
      <c r="G55" s="616" t="s">
        <v>106</v>
      </c>
      <c r="H55" s="616" t="s">
        <v>107</v>
      </c>
      <c r="I55" s="617" t="s">
        <v>108</v>
      </c>
      <c r="J55" s="606"/>
      <c r="K55" s="606"/>
      <c r="L55" s="614"/>
      <c r="M55" s="614"/>
      <c r="N55" s="614"/>
      <c r="O55" s="601"/>
      <c r="P55" s="601"/>
    </row>
    <row r="56" spans="1:27">
      <c r="A56" s="605" t="s">
        <v>284</v>
      </c>
      <c r="B56" s="618">
        <f t="shared" ref="B56:I56" si="2">$C$53*P37</f>
        <v>48106.023385478467</v>
      </c>
      <c r="C56" s="618">
        <f t="shared" si="2"/>
        <v>0</v>
      </c>
      <c r="D56" s="618">
        <f t="shared" si="2"/>
        <v>0</v>
      </c>
      <c r="E56" s="618">
        <f t="shared" si="2"/>
        <v>1250.9892713167308</v>
      </c>
      <c r="F56" s="618">
        <f t="shared" si="2"/>
        <v>7040.0662773344193</v>
      </c>
      <c r="G56" s="618">
        <f t="shared" si="2"/>
        <v>0</v>
      </c>
      <c r="H56" s="618">
        <f t="shared" si="2"/>
        <v>0</v>
      </c>
      <c r="I56" s="619">
        <f t="shared" si="2"/>
        <v>0</v>
      </c>
      <c r="J56" s="576"/>
      <c r="K56" s="576"/>
      <c r="L56" s="614"/>
      <c r="M56" s="614"/>
      <c r="N56" s="614"/>
      <c r="O56" s="601"/>
      <c r="P56" s="601"/>
    </row>
    <row r="57" spans="1:27" ht="15.75" thickBot="1">
      <c r="A57" s="620" t="s">
        <v>285</v>
      </c>
      <c r="B57" s="621">
        <f t="shared" ref="B57:I57" si="3">$B$53*P37</f>
        <v>66319.806730351658</v>
      </c>
      <c r="C57" s="621">
        <f t="shared" si="3"/>
        <v>0</v>
      </c>
      <c r="D57" s="621">
        <f t="shared" si="3"/>
        <v>0</v>
      </c>
      <c r="E57" s="621">
        <f t="shared" si="3"/>
        <v>1724.6357286832692</v>
      </c>
      <c r="F57" s="621">
        <f t="shared" si="3"/>
        <v>9705.5587226655807</v>
      </c>
      <c r="G57" s="621">
        <f t="shared" si="3"/>
        <v>0</v>
      </c>
      <c r="H57" s="621">
        <f t="shared" si="3"/>
        <v>0</v>
      </c>
      <c r="I57" s="622">
        <f t="shared" si="3"/>
        <v>0</v>
      </c>
      <c r="J57" s="576"/>
      <c r="K57" s="576"/>
      <c r="L57" s="614"/>
      <c r="M57" s="614"/>
      <c r="N57" s="614"/>
      <c r="O57" s="601"/>
      <c r="P57" s="601"/>
    </row>
    <row r="58" spans="1:27">
      <c r="J58" s="562"/>
      <c r="K58" s="562"/>
      <c r="L58" s="562"/>
      <c r="M58" s="562"/>
      <c r="N58" s="562"/>
    </row>
    <row r="59" spans="1:27">
      <c r="J59" s="562"/>
      <c r="K59" s="562"/>
      <c r="L59" s="562"/>
      <c r="M59" s="562"/>
      <c r="N59"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31756.821369351688</v>
      </c>
      <c r="C4" s="451">
        <f>huishoudens!C8</f>
        <v>0</v>
      </c>
      <c r="D4" s="451">
        <f>huishoudens!D8</f>
        <v>57726.306655068562</v>
      </c>
      <c r="E4" s="451">
        <f>huishoudens!E8</f>
        <v>14078.58247475035</v>
      </c>
      <c r="F4" s="451">
        <f>huishoudens!F8</f>
        <v>31293.469207534316</v>
      </c>
      <c r="G4" s="451">
        <f>huishoudens!G8</f>
        <v>0</v>
      </c>
      <c r="H4" s="451">
        <f>huishoudens!H8</f>
        <v>0</v>
      </c>
      <c r="I4" s="451">
        <f>huishoudens!I8</f>
        <v>0</v>
      </c>
      <c r="J4" s="451">
        <f>huishoudens!J8</f>
        <v>0</v>
      </c>
      <c r="K4" s="451">
        <f>huishoudens!K8</f>
        <v>0</v>
      </c>
      <c r="L4" s="451">
        <f>huishoudens!L8</f>
        <v>0</v>
      </c>
      <c r="M4" s="451">
        <f>huishoudens!M8</f>
        <v>0</v>
      </c>
      <c r="N4" s="451">
        <f>huishoudens!N8</f>
        <v>12705.112660948309</v>
      </c>
      <c r="O4" s="451">
        <f>huishoudens!O8</f>
        <v>303.28666666666669</v>
      </c>
      <c r="P4" s="452">
        <f>huishoudens!P8</f>
        <v>1639.7333333333333</v>
      </c>
      <c r="Q4" s="453">
        <f>SUM(B4:P4)</f>
        <v>149503.31236765321</v>
      </c>
    </row>
    <row r="5" spans="1:17">
      <c r="A5" s="450" t="s">
        <v>155</v>
      </c>
      <c r="B5" s="451">
        <f ca="1">tertiair!B16</f>
        <v>11982.551661313617</v>
      </c>
      <c r="C5" s="451">
        <f ca="1">tertiair!C16</f>
        <v>0</v>
      </c>
      <c r="D5" s="451">
        <f ca="1">tertiair!D16</f>
        <v>24114.325213380504</v>
      </c>
      <c r="E5" s="451">
        <f>tertiair!E16</f>
        <v>220.39467849380205</v>
      </c>
      <c r="F5" s="451">
        <f ca="1">tertiair!F16</f>
        <v>2080.2750711399935</v>
      </c>
      <c r="G5" s="451">
        <f>tertiair!G16</f>
        <v>0</v>
      </c>
      <c r="H5" s="451">
        <f>tertiair!H16</f>
        <v>0</v>
      </c>
      <c r="I5" s="451">
        <f>tertiair!I16</f>
        <v>0</v>
      </c>
      <c r="J5" s="451">
        <f>tertiair!J16</f>
        <v>1.6420510262202655E-2</v>
      </c>
      <c r="K5" s="451">
        <f>tertiair!K16</f>
        <v>0</v>
      </c>
      <c r="L5" s="451">
        <f ca="1">tertiair!L16</f>
        <v>0</v>
      </c>
      <c r="M5" s="451">
        <f>tertiair!M16</f>
        <v>0</v>
      </c>
      <c r="N5" s="451">
        <f ca="1">tertiair!N16</f>
        <v>666.26667040776067</v>
      </c>
      <c r="O5" s="451">
        <f>tertiair!O16</f>
        <v>3.1266666666666669</v>
      </c>
      <c r="P5" s="452">
        <f>tertiair!P16</f>
        <v>38.133333333333333</v>
      </c>
      <c r="Q5" s="450">
        <f t="shared" ref="Q5:Q14" ca="1" si="0">SUM(B5:P5)</f>
        <v>39105.089715245937</v>
      </c>
    </row>
    <row r="6" spans="1:17">
      <c r="A6" s="450" t="s">
        <v>193</v>
      </c>
      <c r="B6" s="451">
        <f>'openbare verlichting'!B8</f>
        <v>997.78800000000001</v>
      </c>
      <c r="C6" s="451"/>
      <c r="D6" s="451"/>
      <c r="E6" s="451"/>
      <c r="F6" s="451"/>
      <c r="G6" s="451"/>
      <c r="H6" s="451"/>
      <c r="I6" s="451"/>
      <c r="J6" s="451"/>
      <c r="K6" s="451"/>
      <c r="L6" s="451"/>
      <c r="M6" s="451"/>
      <c r="N6" s="451"/>
      <c r="O6" s="451"/>
      <c r="P6" s="452"/>
      <c r="Q6" s="450">
        <f t="shared" si="0"/>
        <v>997.78800000000001</v>
      </c>
    </row>
    <row r="7" spans="1:17">
      <c r="A7" s="450" t="s">
        <v>111</v>
      </c>
      <c r="B7" s="451">
        <f>landbouw!B8</f>
        <v>2412.1447394693332</v>
      </c>
      <c r="C7" s="451">
        <f>landbouw!C8</f>
        <v>66075.99107142858</v>
      </c>
      <c r="D7" s="451">
        <f>landbouw!D8</f>
        <v>33032.687605038722</v>
      </c>
      <c r="E7" s="451">
        <f>landbouw!E8</f>
        <v>70.90030143341059</v>
      </c>
      <c r="F7" s="451">
        <f>landbouw!F8</f>
        <v>7073.239639169049</v>
      </c>
      <c r="G7" s="451">
        <f>landbouw!G8</f>
        <v>0</v>
      </c>
      <c r="H7" s="451">
        <f>landbouw!H8</f>
        <v>0</v>
      </c>
      <c r="I7" s="451">
        <f>landbouw!I8</f>
        <v>0</v>
      </c>
      <c r="J7" s="451">
        <f>landbouw!J8</f>
        <v>349.46797134786146</v>
      </c>
      <c r="K7" s="451">
        <f>landbouw!K8</f>
        <v>0</v>
      </c>
      <c r="L7" s="451">
        <f>landbouw!L8</f>
        <v>0</v>
      </c>
      <c r="M7" s="451">
        <f>landbouw!M8</f>
        <v>0</v>
      </c>
      <c r="N7" s="451">
        <f>landbouw!N8</f>
        <v>0</v>
      </c>
      <c r="O7" s="451">
        <f>landbouw!O8</f>
        <v>0</v>
      </c>
      <c r="P7" s="452">
        <f>landbouw!P8</f>
        <v>0</v>
      </c>
      <c r="Q7" s="450">
        <f t="shared" si="0"/>
        <v>109014.43132788697</v>
      </c>
    </row>
    <row r="8" spans="1:17">
      <c r="A8" s="450" t="s">
        <v>634</v>
      </c>
      <c r="B8" s="451">
        <f>industrie!B18</f>
        <v>5908.0522056717346</v>
      </c>
      <c r="C8" s="451">
        <f>industrie!C18</f>
        <v>12.175675675675675</v>
      </c>
      <c r="D8" s="451">
        <f>industrie!D18</f>
        <v>3792.5685658328666</v>
      </c>
      <c r="E8" s="451">
        <f>industrie!E18</f>
        <v>522.91574239818601</v>
      </c>
      <c r="F8" s="451">
        <f>industrie!F18</f>
        <v>1684.7635566630647</v>
      </c>
      <c r="G8" s="451">
        <f>industrie!G18</f>
        <v>0</v>
      </c>
      <c r="H8" s="451">
        <f>industrie!H18</f>
        <v>0</v>
      </c>
      <c r="I8" s="451">
        <f>industrie!I18</f>
        <v>0</v>
      </c>
      <c r="J8" s="451">
        <f>industrie!J18</f>
        <v>7.006890449579501</v>
      </c>
      <c r="K8" s="451">
        <f>industrie!K18</f>
        <v>0</v>
      </c>
      <c r="L8" s="451">
        <f>industrie!L18</f>
        <v>0</v>
      </c>
      <c r="M8" s="451">
        <f>industrie!M18</f>
        <v>0</v>
      </c>
      <c r="N8" s="451">
        <f>industrie!N18</f>
        <v>441.20190943251782</v>
      </c>
      <c r="O8" s="451">
        <f>industrie!O18</f>
        <v>0</v>
      </c>
      <c r="P8" s="452">
        <f>industrie!P18</f>
        <v>0</v>
      </c>
      <c r="Q8" s="450">
        <f t="shared" si="0"/>
        <v>12368.684546123626</v>
      </c>
    </row>
    <row r="9" spans="1:17" s="456" customFormat="1">
      <c r="A9" s="454" t="s">
        <v>560</v>
      </c>
      <c r="B9" s="455">
        <f>transport!B14</f>
        <v>41.641531212390056</v>
      </c>
      <c r="C9" s="455">
        <f>transport!C14</f>
        <v>0</v>
      </c>
      <c r="D9" s="455">
        <f>transport!D14</f>
        <v>115.55387626519624</v>
      </c>
      <c r="E9" s="455">
        <f>transport!E14</f>
        <v>195.76209523557173</v>
      </c>
      <c r="F9" s="455">
        <f>transport!F14</f>
        <v>0</v>
      </c>
      <c r="G9" s="455">
        <f>transport!G14</f>
        <v>75999.887705063345</v>
      </c>
      <c r="H9" s="455">
        <f>transport!H14</f>
        <v>19520.299552314256</v>
      </c>
      <c r="I9" s="455">
        <f>transport!I14</f>
        <v>0</v>
      </c>
      <c r="J9" s="455">
        <f>transport!J14</f>
        <v>0</v>
      </c>
      <c r="K9" s="455">
        <f>transport!K14</f>
        <v>0</v>
      </c>
      <c r="L9" s="455">
        <f>transport!L14</f>
        <v>0</v>
      </c>
      <c r="M9" s="455">
        <f>transport!M14</f>
        <v>5015.0157529134231</v>
      </c>
      <c r="N9" s="455">
        <f>transport!N14</f>
        <v>0</v>
      </c>
      <c r="O9" s="455">
        <f>transport!O14</f>
        <v>0</v>
      </c>
      <c r="P9" s="455">
        <f>transport!P14</f>
        <v>0</v>
      </c>
      <c r="Q9" s="454">
        <f>SUM(B9:P9)</f>
        <v>100888.1605130042</v>
      </c>
    </row>
    <row r="10" spans="1:17">
      <c r="A10" s="450" t="s">
        <v>550</v>
      </c>
      <c r="B10" s="451">
        <f>transport!B54</f>
        <v>0</v>
      </c>
      <c r="C10" s="451">
        <f>transport!C54</f>
        <v>0</v>
      </c>
      <c r="D10" s="451">
        <f>transport!D54</f>
        <v>0</v>
      </c>
      <c r="E10" s="451">
        <f>transport!E54</f>
        <v>0</v>
      </c>
      <c r="F10" s="451">
        <f>transport!F54</f>
        <v>0</v>
      </c>
      <c r="G10" s="451">
        <f>transport!G54</f>
        <v>1469.4930122239209</v>
      </c>
      <c r="H10" s="451">
        <f>transport!H54</f>
        <v>0</v>
      </c>
      <c r="I10" s="451">
        <f>transport!I54</f>
        <v>0</v>
      </c>
      <c r="J10" s="451">
        <f>transport!J54</f>
        <v>0</v>
      </c>
      <c r="K10" s="451">
        <f>transport!K54</f>
        <v>0</v>
      </c>
      <c r="L10" s="451">
        <f>transport!L54</f>
        <v>0</v>
      </c>
      <c r="M10" s="451">
        <f>transport!M54</f>
        <v>83.454411354017978</v>
      </c>
      <c r="N10" s="451">
        <f>transport!N54</f>
        <v>0</v>
      </c>
      <c r="O10" s="451">
        <f>transport!O54</f>
        <v>0</v>
      </c>
      <c r="P10" s="452">
        <f>transport!P54</f>
        <v>0</v>
      </c>
      <c r="Q10" s="450">
        <f t="shared" si="0"/>
        <v>1552.9474235779389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1123.1763104379099</v>
      </c>
      <c r="C14" s="458"/>
      <c r="D14" s="458">
        <f>'SEAP template'!E25</f>
        <v>2573.2902597962598</v>
      </c>
      <c r="E14" s="458"/>
      <c r="F14" s="458"/>
      <c r="G14" s="458"/>
      <c r="H14" s="458"/>
      <c r="I14" s="458"/>
      <c r="J14" s="458"/>
      <c r="K14" s="458"/>
      <c r="L14" s="458"/>
      <c r="M14" s="458"/>
      <c r="N14" s="458"/>
      <c r="O14" s="458"/>
      <c r="P14" s="459"/>
      <c r="Q14" s="450">
        <f t="shared" si="0"/>
        <v>3696.4665702341699</v>
      </c>
    </row>
    <row r="15" spans="1:17" s="460" customFormat="1">
      <c r="A15" s="1005" t="s">
        <v>554</v>
      </c>
      <c r="B15" s="953">
        <f ca="1">SUM(B4:B14)</f>
        <v>54222.175817456678</v>
      </c>
      <c r="C15" s="953">
        <f t="shared" ref="C15:Q15" ca="1" si="1">SUM(C4:C14)</f>
        <v>66088.16674710426</v>
      </c>
      <c r="D15" s="953">
        <f t="shared" ca="1" si="1"/>
        <v>121354.73217538212</v>
      </c>
      <c r="E15" s="953">
        <f t="shared" si="1"/>
        <v>15088.555292311321</v>
      </c>
      <c r="F15" s="953">
        <f t="shared" ca="1" si="1"/>
        <v>42131.747474506425</v>
      </c>
      <c r="G15" s="953">
        <f t="shared" si="1"/>
        <v>77469.380717287262</v>
      </c>
      <c r="H15" s="953">
        <f t="shared" si="1"/>
        <v>19520.299552314256</v>
      </c>
      <c r="I15" s="953">
        <f t="shared" si="1"/>
        <v>0</v>
      </c>
      <c r="J15" s="953">
        <f t="shared" si="1"/>
        <v>356.49128230770316</v>
      </c>
      <c r="K15" s="953">
        <f t="shared" si="1"/>
        <v>0</v>
      </c>
      <c r="L15" s="953">
        <f t="shared" ca="1" si="1"/>
        <v>0</v>
      </c>
      <c r="M15" s="953">
        <f t="shared" si="1"/>
        <v>5098.4701642674409</v>
      </c>
      <c r="N15" s="953">
        <f t="shared" ca="1" si="1"/>
        <v>13812.581240788586</v>
      </c>
      <c r="O15" s="953">
        <f t="shared" si="1"/>
        <v>306.41333333333336</v>
      </c>
      <c r="P15" s="953">
        <f t="shared" si="1"/>
        <v>1677.8666666666668</v>
      </c>
      <c r="Q15" s="953">
        <f t="shared" ca="1" si="1"/>
        <v>417126.88046372606</v>
      </c>
    </row>
    <row r="17" spans="1:17">
      <c r="A17" s="461" t="s">
        <v>555</v>
      </c>
      <c r="B17" s="760">
        <f ca="1">huishoudens!B10</f>
        <v>0.19395881874578333</v>
      </c>
      <c r="C17" s="760">
        <f ca="1">huishoudens!C10</f>
        <v>0.20967564060470228</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6159.5155599203026</v>
      </c>
      <c r="C22" s="451">
        <f t="shared" ref="C22:C32" ca="1" si="3">C4*$C$17</f>
        <v>0</v>
      </c>
      <c r="D22" s="451">
        <f t="shared" ref="D22:D32" si="4">D4*$D$17</f>
        <v>11660.71394432385</v>
      </c>
      <c r="E22" s="451">
        <f t="shared" ref="E22:E32" si="5">E4*$E$17</f>
        <v>3195.8382217683297</v>
      </c>
      <c r="F22" s="451">
        <f t="shared" ref="F22:F32" si="6">F4*$F$17</f>
        <v>8355.3562784116621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29371.424004424145</v>
      </c>
    </row>
    <row r="23" spans="1:17">
      <c r="A23" s="450" t="s">
        <v>155</v>
      </c>
      <c r="B23" s="451">
        <f t="shared" ca="1" si="2"/>
        <v>2324.1215657887128</v>
      </c>
      <c r="C23" s="451">
        <f t="shared" ca="1" si="3"/>
        <v>0</v>
      </c>
      <c r="D23" s="451">
        <f t="shared" ca="1" si="4"/>
        <v>4871.0936931028618</v>
      </c>
      <c r="E23" s="451">
        <f t="shared" si="5"/>
        <v>50.029592018093069</v>
      </c>
      <c r="F23" s="451">
        <f t="shared" ca="1" si="6"/>
        <v>555.43344399437831</v>
      </c>
      <c r="G23" s="451">
        <f t="shared" si="7"/>
        <v>0</v>
      </c>
      <c r="H23" s="451">
        <f t="shared" si="8"/>
        <v>0</v>
      </c>
      <c r="I23" s="451">
        <f t="shared" si="9"/>
        <v>0</v>
      </c>
      <c r="J23" s="451">
        <f t="shared" si="10"/>
        <v>5.8128606328197397E-3</v>
      </c>
      <c r="K23" s="451">
        <f t="shared" si="11"/>
        <v>0</v>
      </c>
      <c r="L23" s="451">
        <f t="shared" ca="1" si="12"/>
        <v>0</v>
      </c>
      <c r="M23" s="451">
        <f t="shared" si="13"/>
        <v>0</v>
      </c>
      <c r="N23" s="451">
        <f t="shared" ca="1" si="14"/>
        <v>0</v>
      </c>
      <c r="O23" s="451">
        <f t="shared" si="15"/>
        <v>0</v>
      </c>
      <c r="P23" s="452">
        <f t="shared" si="16"/>
        <v>0</v>
      </c>
      <c r="Q23" s="450">
        <f t="shared" ref="Q23:Q32" ca="1" si="17">SUM(B23:P23)</f>
        <v>7800.6841077646786</v>
      </c>
    </row>
    <row r="24" spans="1:17">
      <c r="A24" s="450" t="s">
        <v>193</v>
      </c>
      <c r="B24" s="451">
        <f t="shared" ca="1" si="2"/>
        <v>193.52978183871767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193.52978183871767</v>
      </c>
    </row>
    <row r="25" spans="1:17">
      <c r="A25" s="450" t="s">
        <v>111</v>
      </c>
      <c r="B25" s="451">
        <f t="shared" ca="1" si="2"/>
        <v>467.85674431132713</v>
      </c>
      <c r="C25" s="451">
        <f t="shared" ca="1" si="3"/>
        <v>13854.525756492376</v>
      </c>
      <c r="D25" s="451">
        <f t="shared" si="4"/>
        <v>6672.6028962178225</v>
      </c>
      <c r="E25" s="451">
        <f t="shared" si="5"/>
        <v>16.094368425384204</v>
      </c>
      <c r="F25" s="451">
        <f t="shared" si="6"/>
        <v>1888.5549836581363</v>
      </c>
      <c r="G25" s="451">
        <f t="shared" si="7"/>
        <v>0</v>
      </c>
      <c r="H25" s="451">
        <f t="shared" si="8"/>
        <v>0</v>
      </c>
      <c r="I25" s="451">
        <f t="shared" si="9"/>
        <v>0</v>
      </c>
      <c r="J25" s="451">
        <f t="shared" si="10"/>
        <v>123.71166185714296</v>
      </c>
      <c r="K25" s="451">
        <f t="shared" si="11"/>
        <v>0</v>
      </c>
      <c r="L25" s="451">
        <f t="shared" si="12"/>
        <v>0</v>
      </c>
      <c r="M25" s="451">
        <f t="shared" si="13"/>
        <v>0</v>
      </c>
      <c r="N25" s="451">
        <f t="shared" si="14"/>
        <v>0</v>
      </c>
      <c r="O25" s="451">
        <f t="shared" si="15"/>
        <v>0</v>
      </c>
      <c r="P25" s="452">
        <f t="shared" si="16"/>
        <v>0</v>
      </c>
      <c r="Q25" s="450">
        <f t="shared" ca="1" si="17"/>
        <v>23023.346410962189</v>
      </c>
    </row>
    <row r="26" spans="1:17">
      <c r="A26" s="450" t="s">
        <v>634</v>
      </c>
      <c r="B26" s="451">
        <f t="shared" ca="1" si="2"/>
        <v>1145.9188269005094</v>
      </c>
      <c r="C26" s="451">
        <f t="shared" ca="1" si="3"/>
        <v>2.5529425970923887</v>
      </c>
      <c r="D26" s="451">
        <f t="shared" si="4"/>
        <v>766.09885029823909</v>
      </c>
      <c r="E26" s="451">
        <f t="shared" si="5"/>
        <v>118.70187352438823</v>
      </c>
      <c r="F26" s="451">
        <f t="shared" si="6"/>
        <v>449.83186962903829</v>
      </c>
      <c r="G26" s="451">
        <f t="shared" si="7"/>
        <v>0</v>
      </c>
      <c r="H26" s="451">
        <f t="shared" si="8"/>
        <v>0</v>
      </c>
      <c r="I26" s="451">
        <f t="shared" si="9"/>
        <v>0</v>
      </c>
      <c r="J26" s="451">
        <f t="shared" si="10"/>
        <v>2.4804392191511431</v>
      </c>
      <c r="K26" s="451">
        <f t="shared" si="11"/>
        <v>0</v>
      </c>
      <c r="L26" s="451">
        <f t="shared" si="12"/>
        <v>0</v>
      </c>
      <c r="M26" s="451">
        <f t="shared" si="13"/>
        <v>0</v>
      </c>
      <c r="N26" s="451">
        <f t="shared" si="14"/>
        <v>0</v>
      </c>
      <c r="O26" s="451">
        <f t="shared" si="15"/>
        <v>0</v>
      </c>
      <c r="P26" s="452">
        <f t="shared" si="16"/>
        <v>0</v>
      </c>
      <c r="Q26" s="450">
        <f t="shared" ca="1" si="17"/>
        <v>2485.5848021684187</v>
      </c>
    </row>
    <row r="27" spans="1:17" s="456" customFormat="1">
      <c r="A27" s="454" t="s">
        <v>560</v>
      </c>
      <c r="B27" s="754">
        <f t="shared" ca="1" si="2"/>
        <v>8.0767422047208424</v>
      </c>
      <c r="C27" s="455">
        <f t="shared" ca="1" si="3"/>
        <v>0</v>
      </c>
      <c r="D27" s="455">
        <f t="shared" si="4"/>
        <v>23.341883005569642</v>
      </c>
      <c r="E27" s="455">
        <f t="shared" si="5"/>
        <v>44.437995618474787</v>
      </c>
      <c r="F27" s="455">
        <f t="shared" si="6"/>
        <v>0</v>
      </c>
      <c r="G27" s="455">
        <f t="shared" si="7"/>
        <v>20291.970017251915</v>
      </c>
      <c r="H27" s="455">
        <f t="shared" si="8"/>
        <v>4860.55458852625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25228.381226606933</v>
      </c>
    </row>
    <row r="28" spans="1:17">
      <c r="A28" s="450" t="s">
        <v>550</v>
      </c>
      <c r="B28" s="451">
        <f t="shared" ca="1" si="2"/>
        <v>0</v>
      </c>
      <c r="C28" s="451">
        <f t="shared" ca="1" si="3"/>
        <v>0</v>
      </c>
      <c r="D28" s="451">
        <f t="shared" si="4"/>
        <v>0</v>
      </c>
      <c r="E28" s="451">
        <f t="shared" si="5"/>
        <v>0</v>
      </c>
      <c r="F28" s="451">
        <f t="shared" si="6"/>
        <v>0</v>
      </c>
      <c r="G28" s="451">
        <f t="shared" si="7"/>
        <v>392.35463426378692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392.35463426378692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217.84995041578424</v>
      </c>
      <c r="C32" s="451">
        <f t="shared" ca="1" si="3"/>
        <v>0</v>
      </c>
      <c r="D32" s="451">
        <f t="shared" si="4"/>
        <v>519.8046324788445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737.65458289462867</v>
      </c>
    </row>
    <row r="33" spans="1:17" s="460" customFormat="1">
      <c r="A33" s="1005" t="s">
        <v>554</v>
      </c>
      <c r="B33" s="953">
        <f ca="1">SUM(B22:B32)</f>
        <v>10516.869171380076</v>
      </c>
      <c r="C33" s="953">
        <f t="shared" ref="C33:Q33" ca="1" si="18">SUM(C22:C32)</f>
        <v>13857.078699089469</v>
      </c>
      <c r="D33" s="953">
        <f t="shared" ca="1" si="18"/>
        <v>24513.655899427191</v>
      </c>
      <c r="E33" s="953">
        <f t="shared" si="18"/>
        <v>3425.10205135467</v>
      </c>
      <c r="F33" s="953">
        <f t="shared" ca="1" si="18"/>
        <v>11249.176575693215</v>
      </c>
      <c r="G33" s="953">
        <f t="shared" si="18"/>
        <v>20684.324651515701</v>
      </c>
      <c r="H33" s="953">
        <f t="shared" si="18"/>
        <v>4860.55458852625</v>
      </c>
      <c r="I33" s="953">
        <f t="shared" si="18"/>
        <v>0</v>
      </c>
      <c r="J33" s="953">
        <f t="shared" si="18"/>
        <v>126.19791393692691</v>
      </c>
      <c r="K33" s="953">
        <f t="shared" si="18"/>
        <v>0</v>
      </c>
      <c r="L33" s="953">
        <f t="shared" ca="1" si="18"/>
        <v>0</v>
      </c>
      <c r="M33" s="953">
        <f t="shared" si="18"/>
        <v>0</v>
      </c>
      <c r="N33" s="953">
        <f t="shared" ca="1" si="18"/>
        <v>0</v>
      </c>
      <c r="O33" s="953">
        <f t="shared" si="18"/>
        <v>0</v>
      </c>
      <c r="P33" s="953">
        <f t="shared" si="18"/>
        <v>0</v>
      </c>
      <c r="Q33" s="953">
        <f t="shared" ca="1" si="18"/>
        <v>89232.959550923493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4178.1201067242891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5984.1166170509196</v>
      </c>
      <c r="C8" s="1022">
        <f>'SEAP template'!C76</f>
        <v>41953.883382949076</v>
      </c>
      <c r="D8" s="1022">
        <f>'SEAP template'!D76</f>
        <v>48106.023385478467</v>
      </c>
      <c r="E8" s="1022">
        <f>'SEAP template'!E76</f>
        <v>0</v>
      </c>
      <c r="F8" s="1022">
        <f>'SEAP template'!F76</f>
        <v>1250.9892713167308</v>
      </c>
      <c r="G8" s="1022">
        <f>'SEAP template'!G76</f>
        <v>0</v>
      </c>
      <c r="H8" s="1022">
        <f>'SEAP template'!H76</f>
        <v>0</v>
      </c>
      <c r="I8" s="1022">
        <f>'SEAP template'!I76</f>
        <v>7040.0662773344193</v>
      </c>
      <c r="J8" s="1022">
        <f>'SEAP template'!J76</f>
        <v>0</v>
      </c>
      <c r="K8" s="1022">
        <f>'SEAP template'!K76</f>
        <v>0</v>
      </c>
      <c r="L8" s="1022">
        <f>'SEAP template'!L76</f>
        <v>0</v>
      </c>
      <c r="M8" s="1022">
        <f>'SEAP template'!M76</f>
        <v>0</v>
      </c>
      <c r="N8" s="1022">
        <f>'SEAP template'!N76</f>
        <v>0</v>
      </c>
      <c r="O8" s="1022">
        <f>'SEAP template'!O76</f>
        <v>0</v>
      </c>
      <c r="P8" s="1023">
        <f>'SEAP template'!Q76</f>
        <v>10051.430859308217</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10162.236723775208</v>
      </c>
      <c r="C10" s="1026">
        <f>SUM(C4:C9)</f>
        <v>41953.883382949076</v>
      </c>
      <c r="D10" s="1026">
        <f t="shared" ref="D10:H10" si="0">SUM(D8:D9)</f>
        <v>48106.023385478467</v>
      </c>
      <c r="E10" s="1026">
        <f t="shared" si="0"/>
        <v>0</v>
      </c>
      <c r="F10" s="1026">
        <f t="shared" si="0"/>
        <v>1250.9892713167308</v>
      </c>
      <c r="G10" s="1026">
        <f t="shared" si="0"/>
        <v>0</v>
      </c>
      <c r="H10" s="1026">
        <f t="shared" si="0"/>
        <v>0</v>
      </c>
      <c r="I10" s="1026">
        <f>SUM(I8:I9)</f>
        <v>7040.0662773344193</v>
      </c>
      <c r="J10" s="1026">
        <f>SUM(J8:J9)</f>
        <v>0</v>
      </c>
      <c r="K10" s="1026">
        <f t="shared" ref="K10:L10" si="1">SUM(K8:K9)</f>
        <v>0</v>
      </c>
      <c r="L10" s="1026">
        <f t="shared" si="1"/>
        <v>0</v>
      </c>
      <c r="M10" s="1026">
        <f>SUM(M8:M9)</f>
        <v>0</v>
      </c>
      <c r="N10" s="1026">
        <f>SUM(N8:N9)</f>
        <v>0</v>
      </c>
      <c r="O10" s="1026">
        <f>SUM(O8:O9)</f>
        <v>0</v>
      </c>
      <c r="P10" s="1026">
        <f>SUM(P8:P9)</f>
        <v>10051.430859308217</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0.19395881874578333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8249.8080191451172</v>
      </c>
      <c r="C17" s="1028">
        <f>'SEAP template'!C87</f>
        <v>57838.358727959145</v>
      </c>
      <c r="D17" s="1023">
        <f>'SEAP template'!D87</f>
        <v>66319.806730351658</v>
      </c>
      <c r="E17" s="1023">
        <f>'SEAP template'!E87</f>
        <v>0</v>
      </c>
      <c r="F17" s="1023">
        <f>'SEAP template'!F87</f>
        <v>1724.6357286832692</v>
      </c>
      <c r="G17" s="1023">
        <f>'SEAP template'!G87</f>
        <v>0</v>
      </c>
      <c r="H17" s="1023">
        <f>'SEAP template'!H87</f>
        <v>0</v>
      </c>
      <c r="I17" s="1023">
        <f>'SEAP template'!I87</f>
        <v>9705.5587226655807</v>
      </c>
      <c r="J17" s="1023">
        <f>'SEAP template'!J87</f>
        <v>0</v>
      </c>
      <c r="K17" s="1023">
        <f>'SEAP template'!K87</f>
        <v>0</v>
      </c>
      <c r="L17" s="1023">
        <f>'SEAP template'!L87</f>
        <v>0</v>
      </c>
      <c r="M17" s="1023">
        <f>'SEAP template'!M87</f>
        <v>0</v>
      </c>
      <c r="N17" s="1023">
        <f>'SEAP template'!N87</f>
        <v>0</v>
      </c>
      <c r="O17" s="1023">
        <f>'SEAP template'!O87</f>
        <v>0</v>
      </c>
      <c r="P17" s="1023">
        <f>'SEAP template'!Q87</f>
        <v>13857.078699089469</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8249.8080191451172</v>
      </c>
      <c r="C20" s="1026">
        <f>SUM(C17:C19)</f>
        <v>57838.358727959145</v>
      </c>
      <c r="D20" s="1026">
        <f t="shared" ref="D20:H20" si="2">SUM(D17:D19)</f>
        <v>66319.806730351658</v>
      </c>
      <c r="E20" s="1026">
        <f t="shared" si="2"/>
        <v>0</v>
      </c>
      <c r="F20" s="1026">
        <f t="shared" si="2"/>
        <v>1724.6357286832692</v>
      </c>
      <c r="G20" s="1026">
        <f t="shared" si="2"/>
        <v>0</v>
      </c>
      <c r="H20" s="1026">
        <f t="shared" si="2"/>
        <v>0</v>
      </c>
      <c r="I20" s="1026">
        <f>SUM(I17:I19)</f>
        <v>9705.5587226655807</v>
      </c>
      <c r="J20" s="1026">
        <f>SUM(J17:J19)</f>
        <v>0</v>
      </c>
      <c r="K20" s="1026">
        <f t="shared" ref="K20:L20" si="3">SUM(K17:K19)</f>
        <v>0</v>
      </c>
      <c r="L20" s="1026">
        <f t="shared" si="3"/>
        <v>0</v>
      </c>
      <c r="M20" s="1026">
        <f>SUM(M17:M19)</f>
        <v>0</v>
      </c>
      <c r="N20" s="1026">
        <f>SUM(N17:N19)</f>
        <v>0</v>
      </c>
      <c r="O20" s="1026">
        <f>SUM(O17:O19)</f>
        <v>0</v>
      </c>
      <c r="P20" s="1026">
        <f>SUM(P17:P19)</f>
        <v>13857.078699089469</v>
      </c>
    </row>
    <row r="22" spans="1:16">
      <c r="A22" s="461" t="s">
        <v>848</v>
      </c>
      <c r="B22" s="760" t="s">
        <v>842</v>
      </c>
      <c r="C22" s="760">
        <f ca="1">'EF ele_warmte'!B22</f>
        <v>0.20967564060470228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0.19395881874578333</v>
      </c>
      <c r="C17" s="498">
        <f ca="1">'EF ele_warmte'!B22</f>
        <v>0.20967564060470228</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3.1266666666666669</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2020-06-20T15:39:54Z</dcterms:modified>
</cp:coreProperties>
</file>