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K88" i="14" s="1"/>
  <c r="K18" i="61" s="1"/>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N6" i="17" s="1"/>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F6" i="17" l="1"/>
  <c r="C13" i="15"/>
  <c r="M77" i="14"/>
  <c r="M9" i="61" s="1"/>
  <c r="C45" i="18"/>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I8" i="18" s="1"/>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H78" i="14" l="1"/>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Q13" i="14"/>
  <c r="Q16" i="14" s="1"/>
  <c r="Q27" i="14" s="1"/>
  <c r="P8" i="48"/>
  <c r="P26" i="48" s="1"/>
  <c r="P23" i="48"/>
  <c r="P33" i="48" s="1"/>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P15" i="48" l="1"/>
  <c r="Q63" i="14"/>
  <c r="O8" i="48"/>
  <c r="O26" i="48" s="1"/>
  <c r="P13" i="14"/>
  <c r="P16" i="14"/>
  <c r="P27" i="14" s="1"/>
  <c r="P46" i="14"/>
  <c r="P61" i="14" s="1"/>
  <c r="P63" i="14" s="1"/>
  <c r="F24" i="14"/>
  <c r="F26" i="14" s="1"/>
  <c r="E7" i="48"/>
  <c r="E25" i="48" s="1"/>
  <c r="O23"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J5" i="48"/>
  <c r="J23" i="48" s="1"/>
  <c r="K10" i="14"/>
  <c r="O15" i="48"/>
  <c r="O33"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F16" i="14" l="1"/>
  <c r="F27" i="14" s="1"/>
  <c r="K13" i="14"/>
  <c r="K16" i="14" s="1"/>
  <c r="K27" i="14" s="1"/>
  <c r="J8" i="48"/>
  <c r="J26" i="48" s="1"/>
  <c r="J33" i="48" s="1"/>
  <c r="H63" i="14"/>
  <c r="E8" i="48"/>
  <c r="E26" i="48" s="1"/>
  <c r="E33" i="48" s="1"/>
  <c r="F1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<sst xmlns="http://schemas.openxmlformats.org/spreadsheetml/2006/main" count="2407" uniqueCount="893">
  <si>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</si>
  <si>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</si>
  <si>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</si>
  <si>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</si>
  <si>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</si>
  <si>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</si>
  <si>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</si>
  <si>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</si>
  <si>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</si>
  <si>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</si>
  <si>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</si>
  <si>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</si>
  <si>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</si>
  <si>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</si>
  <si>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</si>
  <si>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</si>
  <si>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</si>
  <si>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</si>
  <si>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</si>
  <si>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</si>
  <si>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</si>
  <si>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</si>
  <si>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</si>
  <si>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</si>
  <si>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</si>
  <si>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</si>
  <si>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</si>
  <si>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</si>
  <si>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</si>
  <si>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</si>
  <si>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</si>
  <si>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</si>
  <si>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</si>
  <si>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</si>
  <si>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</si>
  <si>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</si>
  <si>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</si>
  <si>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</si>
  <si>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</si>
  <si>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</si>
  <si>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</si>
  <si>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</si>
  <si>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</si>
  <si>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</si>
  <si>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</si>
  <si>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</si>
  <si>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</si>
  <si>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</si>
  <si>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</si>
  <si>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</si>
  <si>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</si>
  <si>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</si>
  <si>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</si>
  <si>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</si>
  <si>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</si>
  <si>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</si>
  <si>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</si>
  <si>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</si>
  <si>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</si>
  <si>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</si>
  <si>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</si>
  <si>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</si>
  <si>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</si>
  <si>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</si>
  <si>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</si>
  <si>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</si>
  <si>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</si>
  <si>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</si>
  <si>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</si>
  <si>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</si>
  <si>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</si>
  <si>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</si>
  <si>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</si>
  <si>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</si>
  <si>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</si>
  <si>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</si>
  <si>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</si>
  <si>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</si>
  <si>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</si>
  <si>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</si>
  <si>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</si>
  <si>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</si>
  <si>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</si>
  <si>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</si>
  <si>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</si>
  <si>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</si>
  <si>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</si>
  <si>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</si>
  <si>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</si>
  <si>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</si>
  <si>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</si>
  <si>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</si>
  <si>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</si>
  <si>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</si>
  <si>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</si>
  <si>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</si>
  <si>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</si>
  <si>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</si>
  <si>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</si>
  <si>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</si>
  <si>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</si>
  <si>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</si>
  <si>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</si>
  <si>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</si>
  <si>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</si>
  <si>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</si>
  <si>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</si>
  <si>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</si>
  <si>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</si>
  <si>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</si>
  <si>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</si>
  <si>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</si>
  <si>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</si>
  <si>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</si>
  <si>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</si>
  <si>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</si>
  <si>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</si>
  <si>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</si>
  <si>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</si>
  <si>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</si>
  <si>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</si>
  <si>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</si>
  <si>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</si>
  <si>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</si>
  <si>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</si>
  <si>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</si>
  <si>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</si>
  <si>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</si>
  <si>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</si>
  <si>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</si>
  <si>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</si>
  <si>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</si>
  <si>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</si>
  <si>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</si>
  <si>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</si>
  <si>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</si>
  <si>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</si>
  <si>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</si>
  <si>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</si>
  <si>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</si>
  <si>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</si>
  <si>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</si>
  <si>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</si>
  <si>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</si>
  <si>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</si>
  <si>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</si>
  <si>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</si>
  <si>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</si>
  <si>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</si>
  <si>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</si>
  <si>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</si>
  <si>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</si>
  <si>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</si>
  <si>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</si>
  <si>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</si>
  <si>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</si>
  <si>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</si>
  <si>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</si>
  <si>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</si>
  <si>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</si>
  <si>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</si>
  <si>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</si>
  <si>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</si>
  <si>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</si>
  <si>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</si>
  <si>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</si>
  <si>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</si>
  <si>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</si>
  <si>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</si>
  <si>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</si>
  <si>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</si>
  <si>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</si>
  <si>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</si>
  <si>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</si>
  <si>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</si>
  <si>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</si>
  <si>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</si>
  <si>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</si>
  <si>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</si>
  <si>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</si>
  <si>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</si>
  <si>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</si>
  <si>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</si>
  <si>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</si>
  <si>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</si>
  <si>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</si>
  <si>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</si>
  <si>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</si>
  <si>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</si>
  <si>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</si>
  <si>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</si>
  <si>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</si>
  <si>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</si>
  <si>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</si>
  <si>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</si>
  <si>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</si>
  <si>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</si>
  <si>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</si>
  <si>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</si>
  <si>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</si>
  <si>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</si>
  <si>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</si>
  <si>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</si>
  <si>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</si>
  <si>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</si>
  <si>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</si>
  <si>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</si>
  <si>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</si>
  <si>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</si>
  <si>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</si>
  <si>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</si>
  <si>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</si>
  <si>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</si>
  <si>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</si>
  <si>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</si>
  <si>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</si>
  <si>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</si>
  <si>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</si>
  <si>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</si>
  <si>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</si>
  <si>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</si>
  <si>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</si>
  <si>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</si>
  <si>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</si>
  <si>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</si>
  <si>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</si>
  <si>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</si>
  <si>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</si>
  <si>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</si>
  <si>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</si>
  <si>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</si>
  <si>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</si>
  <si>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</si>
  <si>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</si>
  <si>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</si>
  <si>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</si>
  <si>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</si>
  <si>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</si>
  <si>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</si>
  <si>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</si>
  <si>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</si>
  <si>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</si>
  <si>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</si>
  <si>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</si>
  <si>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</si>
  <si>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</si>
  <si>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</si>
  <si>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</si>
  <si>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</si>
  <si>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</si>
  <si>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</si>
  <si>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</si>
  <si>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</si>
  <si>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</si>
  <si>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</si>
  <si>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</si>
  <si>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</si>
  <si>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</si>
  <si>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</si>
  <si>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</si>
  <si>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</si>
  <si>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</si>
  <si>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</si>
  <si>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</si>
  <si>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</si>
  <si>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</si>
  <si>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</si>
  <si>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</si>
  <si>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</si>
  <si>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</si>
  <si>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</si>
  <si>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</si>
  <si>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</si>
  <si>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</si>
  <si>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</si>
  <si>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</si>
  <si>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</si>
  <si>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</si>
  <si>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</si>
  <si>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</si>
  <si>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</si>
  <si>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</si>
  <si>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</si>
  <si>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</si>
  <si>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</si>
  <si>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</si>
  <si>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</si>
  <si>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</si>
  <si>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</si>
  <si>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</si>
  <si>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</si>
  <si>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</si>
  <si>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</si>
  <si>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</si>
  <si>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</si>
  <si>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</si>
  <si>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</si>
  <si>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</si>
  <si>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</si>
  <si>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</si>
  <si>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</si>
  <si>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</si>
  <si>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</si>
  <si>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</si>
  <si>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</si>
  <si>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</si>
  <si>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</si>
  <si>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</si>
  <si>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</si>
  <si>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</si>
  <si>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</si>
  <si>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</si>
  <si>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</si>
  <si>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</si>
  <si>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</si>
  <si>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</si>
  <si>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</si>
  <si>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</si>
  <si>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</si>
  <si>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</si>
  <si>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</si>
  <si>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</si>
  <si>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</si>
  <si>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</si>
  <si>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</si>
  <si>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</si>
  <si>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</si>
  <si>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</si>
  <si>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</si>
  <si>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</si>
  <si>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</si>
  <si>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</si>
  <si>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</si>
  <si>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</si>
  <si>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</si>
  <si>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</si>
  <si>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</si>
  <si>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</si>
  <si>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</si>
  <si>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</si>
  <si>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</si>
  <si>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</si>
  <si>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</si>
  <si>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</si>
  <si>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</si>
  <si>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</si>
  <si>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</si>
  <si>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</si>
  <si>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</si>
  <si>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</si>
  <si>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</si>
  <si>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</si>
  <si>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</si>
  <si>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</si>
  <si>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</si>
  <si>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</si>
  <si>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</si>
  <si>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</si>
  <si>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</si>
  <si>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</si>
  <si>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</si>
  <si>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</si>
  <si>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</si>
  <si>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</si>
  <si>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</si>
  <si>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</si>
  <si>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</si>
  <si>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</si>
  <si>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</si>
  <si>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</si>
  <si>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</si>
  <si>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</si>
  <si>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</si>
  <si>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</si>
  <si>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</si>
  <si>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</si>
  <si>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</si>
  <si>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</si>
  <si>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</si>
  <si>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</si>
  <si>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</si>
  <si>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</si>
  <si>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</si>
  <si>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</si>
  <si>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</si>
  <si>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</si>
  <si>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</si>
  <si>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</si>
  <si>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</si>
  <si>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</si>
  <si>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</si>
  <si>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</si>
  <si>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</si>
  <si>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</si>
  <si>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</si>
  <si>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</si>
  <si>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</si>
  <si>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</si>
  <si>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</si>
  <si>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</si>
  <si>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</si>
  <si>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</si>
  <si>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</si>
  <si>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</si>
  <si>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</si>
  <si>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</si>
  <si>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</si>
  <si>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</si>
  <si>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</si>
  <si>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</si>
  <si>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</si>
  <si>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</si>
  <si>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</si>
  <si>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</si>
  <si>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</si>
  <si>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</si>
  <si>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</si>
  <si>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</si>
  <si>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</si>
  <si>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</si>
  <si>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</si>
  <si>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</si>
  <si>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</si>
  <si>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</si>
  <si>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</si>
  <si>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</si>
  <si>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</si>
  <si>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</si>
  <si>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</si>
  <si>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</si>
  <si>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</si>
  <si>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</si>
  <si>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</si>
  <si>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</si>
  <si>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</si>
  <si>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</si>
  <si>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</si>
  <si>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</si>
  <si>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</si>
  <si>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</si>
  <si>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</si>
  <si>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</si>
  <si>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</si>
  <si>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</si>
  <si>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</si>
  <si>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</si>
  <si>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</si>
  <si>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</si>
  <si>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</si>
  <si>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</si>
  <si>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</si>
  <si>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</si>
  <si>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</si>
  <si>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</si>
  <si>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</si>
  <si>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</si>
  <si>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</si>
  <si>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</si>
  <si>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</si>
  <si>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</si>
  <si>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</si>
  <si>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</si>
  <si>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</si>
  <si>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</si>
  <si>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</si>
  <si>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</si>
  <si>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</si>
  <si>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</si>
  <si>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</si>
  <si>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</si>
  <si>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</si>
  <si>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</si>
  <si>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</si>
  <si>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</si>
  <si>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</si>
  <si>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</si>
  <si>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</si>
  <si>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</si>
  <si>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</si>
  <si>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</si>
  <si>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</si>
  <si>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</si>
  <si>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</si>
  <si>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</si>
  <si>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</si>
  <si>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</si>
  <si>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</si>
  <si>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</si>
  <si>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</si>
  <si>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</si>
  <si>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</si>
  <si>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</si>
  <si>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</si>
  <si>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</si>
  <si>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</si>
  <si>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</si>
  <si>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</si>
  <si>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</si>
  <si>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</si>
  <si>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</si>
  <si>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</si>
  <si>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</si>
  <si>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</si>
  <si>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</si>
  <si>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</si>
  <si>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</si>
  <si>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</si>
  <si>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</si>
  <si>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</si>
  <si>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</si>
  <si>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</si>
  <si>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</si>
  <si>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</si>
  <si>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</si>
  <si>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</si>
  <si>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</si>
  <si>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</si>
  <si>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</si>
  <si>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</si>
  <si>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</si>
  <si>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</si>
  <si>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</si>
  <si>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</si>
  <si>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</si>
  <si>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</si>
  <si>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</si>
  <si>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</si>
  <si>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</si>
  <si>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</si>
  <si>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</si>
  <si>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</si>
  <si>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</si>
  <si>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</si>
  <si>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</si>
  <si>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</si>
  <si>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</si>
  <si>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</si>
  <si>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</si>
  <si>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</si>
  <si>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</si>
  <si>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</si>
  <si>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</si>
  <si>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</si>
  <si>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</si>
  <si>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</si>
  <si>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</si>
  <si>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</si>
  <si>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</si>
  <si>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</si>
  <si>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</si>
  <si>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</si>
  <si>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</si>
  <si>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</si>
  <si>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</si>
  <si>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</si>
  <si>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</si>
  <si>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</si>
  <si>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</si>
  <si>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</si>
  <si>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</si>
  <si>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</si>
  <si>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</si>
  <si>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</si>
  <si>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</si>
  <si>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</si>
  <si>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</si>
  <si>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</si>
  <si>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</si>
  <si>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</si>
  <si>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</si>
  <si>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</si>
  <si>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</si>
  <si>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</si>
  <si>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</si>
  <si>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</si>
  <si>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</si>
  <si>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</si>
  <si>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</si>
  <si>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</si>
  <si>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</si>
  <si>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</si>
  <si>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</si>
  <si>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</si>
  <si>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</si>
  <si>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</si>
  <si>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</si>
  <si>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</si>
  <si>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</si>
  <si>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</si>
  <si>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</si>
  <si>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</si>
  <si>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</si>
  <si>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</si>
  <si>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</si>
  <si>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</si>
  <si>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</si>
  <si>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</si>
  <si>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</si>
  <si>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</si>
  <si>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</si>
  <si>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</si>
  <si>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</si>
  <si>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</si>
  <si>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</si>
  <si>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</si>
  <si>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</si>
  <si>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</si>
  <si>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</si>
  <si>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</si>
  <si>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</si>
  <si>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</si>
  <si>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</si>
  <si>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</si>
  <si>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</si>
  <si>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</si>
  <si>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</si>
  <si>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</si>
  <si>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</si>
  <si>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</si>
  <si>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</si>
  <si>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</si>
  <si>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</si>
  <si>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</si>
  <si>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</si>
  <si>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</si>
  <si>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</si>
  <si>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</si>
  <si>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</si>
  <si>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</si>
  <si>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</si>
  <si>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</si>
  <si>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</si>
  <si>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</si>
  <si>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</si>
  <si>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</si>
  <si>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</si>
  <si>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</si>
  <si>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</si>
  <si>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</si>
  <si>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</si>
  <si>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</si>
  <si>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</si>
  <si>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</si>
  <si>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</si>
  <si>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</si>
  <si>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</si>
  <si>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</si>
  <si>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</si>
  <si>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</si>
  <si>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</si>
  <si>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</si>
  <si>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</si>
  <si>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</si>
  <si>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</si>
  <si>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</si>
  <si>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</si>
  <si>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</si>
  <si>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</si>
  <si>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</si>
  <si>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</si>
  <si>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</si>
  <si>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</si>
  <si>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</si>
  <si>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</si>
  <si>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</si>
  <si>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</si>
  <si>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</si>
  <si>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</si>
  <si>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</si>
  <si>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</si>
  <si>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</si>
  <si>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</si>
  <si>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</si>
  <si>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</si>
  <si>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</si>
  <si>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</si>
  <si>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</si>
  <si>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</si>
  <si>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</si>
  <si>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</si>
  <si>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</si>
  <si>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</si>
  <si>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</si>
  <si>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</si>
  <si>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</si>
  <si>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</si>
  <si>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</si>
  <si>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</si>
  <si>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</si>
  <si>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</si>
  <si>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</si>
  <si>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</si>
  <si>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</si>
  <si>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</si>
  <si>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</si>
  <si>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</si>
  <si>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</si>
  <si>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</si>
  <si>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</si>
  <si>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</si>
  <si>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</si>
  <si>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</si>
  <si>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</si>
  <si>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</si>
  <si>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</si>
  <si>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</si>
  <si>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</si>
  <si>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</si>
  <si>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</si>
  <si>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</si>
  <si>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</si>
  <si>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</si>
  <si>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</si>
  <si>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</si>
  <si>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</si>
  <si>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</si>
  <si>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</si>
  <si>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</si>
  <si>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</si>
  <si>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</si>
  <si>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</si>
  <si>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</si>
  <si>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</si>
  <si>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</si>
  <si>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</si>
  <si>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</si>
  <si>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</si>
  <si>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</si>
  <si>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</si>
  <si>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</si>
  <si>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</si>
  <si>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</si>
  <si>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</si>
  <si>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</si>
  <si>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</si>
  <si>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</si>
  <si>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</si>
  <si>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</si>
  <si>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</si>
  <si>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</si>
  <si>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</si>
  <si>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</si>
  <si>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</si>
  <si>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</si>
  <si>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</si>
  <si>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</si>
  <si>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</si>
  <si>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</si>
  <si>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</si>
  <si>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</si>
  <si>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</si>
  <si>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</si>
  <si>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</si>
  <si>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</si>
  <si>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</si>
  <si>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</si>
  <si>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</si>
  <si>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</si>
  <si>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</si>
  <si>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</si>
  <si>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</si>
  <si>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</si>
  <si>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</si>
  <si>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</si>
  <si>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</si>
  <si>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</si>
  <si>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</si>
  <si>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</si>
  <si>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</si>
  <si>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</si>
  <si>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</si>
  <si>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</si>
  <si>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</si>
  <si>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</si>
  <si>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</si>
  <si>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</si>
  <si>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</si>
  <si>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</si>
  <si>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</si>
  <si>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</si>
  <si>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</si>
  <si>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</si>
  <si>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</si>
  <si>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</si>
  <si>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</si>
  <si>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</si>
  <si>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</si>
  <si>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</si>
  <si>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</si>
  <si>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</si>
  <si>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</si>
  <si>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</si>
  <si>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</si>
  <si>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</si>
  <si>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</si>
  <si>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</si>
  <si>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</si>
  <si>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</si>
  <si>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</si>
  <si>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</si>
  <si>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</si>
  <si>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</si>
  <si>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</si>
  <si>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</si>
  <si>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</si>
  <si>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</si>
  <si>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</si>
  <si>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</si>
  <si>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</si>
  <si>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</si>
  <si>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</si>
  <si>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</si>
  <si>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</si>
  <si>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</si>
  <si>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</si>
  <si>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</si>
  <si>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</si>
  <si>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</si>
  <si>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</si>
  <si>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</si>
  <si>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</si>
  <si>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</si>
  <si>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</si>
  <si>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</si>
  <si>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</si>
  <si>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</si>
  <si>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</si>
  <si>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</si>
  <si>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</si>
  <si>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</si>
  <si>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</si>
  <si>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</si>
  <si>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</si>
  <si>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</si>
  <si>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</si>
  <si>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</si>
  <si>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</si>
  <si>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</si>
  <si>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</si>
  <si>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</si>
  <si>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</si>
  <si>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</si>
  <si>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</si>
  <si>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</si>
  <si>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</si>
  <si>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</si>
  <si>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</si>
  <si>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</si>
  <si>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</si>
  <si>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</si>
  <si>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</si>
  <si>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</si>
  <si>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</si>
  <si>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</si>
  <si>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</si>
  <si>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</si>
  <si>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</si>
  <si>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</si>
  <si>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</si>
  <si>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</si>
  <si>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</si>
  <si>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</si>
  <si>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</si>
  <si>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</si>
  <si>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</si>
  <si>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</si>
  <si>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</si>
  <si>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</si>
  <si>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</si>
  <si>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</si>
  <si>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</si>
  <si>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</si>
  <si>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</si>
  <si>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</si>
  <si>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</si>
  <si>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</si>
  <si>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</si>
  <si>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</si>
  <si>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</si>
  <si>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</si>
  <si>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</si>
  <si>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</si>
  <si>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</si>
  <si>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11044</t>
  </si>
  <si>
    <t>STABROEK</t>
  </si>
  <si>
    <t>Fluvius</t>
  </si>
  <si>
    <t>referentietaak LNE (2017); Jaarverslag De Lijn</t>
  </si>
  <si>
    <t>Dingemans Mout NV</t>
  </si>
  <si>
    <t>Laageind 43 , 2940 Stabroek</t>
  </si>
  <si>
    <t>WKK-0591 Dingemans Mout</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</si>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</sst>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130291.35888307099</c:v>
                </c:pt>
                <c:pt idx="1">
                  <c:v>31335.151530067287</c:v>
                </c:pt>
                <c:pt idx="2">
                  <c:v>871.60299999999995</c:v>
                </c:pt>
                <c:pt idx="3">
                  <c:v>1955.7609320898548</c:v>
                </c:pt>
                <c:pt idx="4">
                  <c:v>37939.000861042245</c:v>
                </c:pt>
                <c:pt idx="5">
                  <c:v>133928.69264733963</c:v>
                </c:pt>
                <c:pt idx="6">
                  <c:v>1658.6667051158952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130291.35888307099</c:v>
                </c:pt>
                <c:pt idx="1">
                  <c:v>31335.151530067287</c:v>
                </c:pt>
                <c:pt idx="2">
                  <c:v>871.60299999999995</c:v>
                </c:pt>
                <c:pt idx="3">
                  <c:v>1955.7609320898548</c:v>
                </c:pt>
                <c:pt idx="4">
                  <c:v>37939.000861042245</c:v>
                </c:pt>
                <c:pt idx="5">
                  <c:v>133928.69264733963</c:v>
                </c:pt>
                <c:pt idx="6">
                  <c:v>1658.6667051158952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24478.241662492463</c:v>
                </c:pt>
                <c:pt idx="2">
                  <c:v>6354.1536842107116</c:v>
                </c:pt>
                <c:pt idx="3">
                  <c:v>175.53038519828456</c:v>
                </c:pt>
                <c:pt idx="4">
                  <c:v>492.81239243857499</c:v>
                </c:pt>
                <c:pt idx="5">
                  <c:v>7729.7874147365701</c:v>
                </c:pt>
                <c:pt idx="6">
                  <c:v>33577.266193834665</c:v>
                </c:pt>
                <c:pt idx="7">
                  <c:v>419.06477873660356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24478.241662492463</c:v>
                </c:pt>
                <c:pt idx="2">
                  <c:v>6354.1536842107116</c:v>
                </c:pt>
                <c:pt idx="3">
                  <c:v>175.53038519828456</c:v>
                </c:pt>
                <c:pt idx="4">
                  <c:v>492.81239243857499</c:v>
                </c:pt>
                <c:pt idx="5">
                  <c:v>7729.7874147365701</c:v>
                </c:pt>
                <c:pt idx="6">
                  <c:v>33577.266193834665</c:v>
                </c:pt>
                <c:pt idx="7">
                  <c:v>419.06477873660356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11044</v>
      </c>
      <c r="B6" s="390"/>
      <c r="C6" s="391"/>
    </row>
    <row r="7" spans="1:7" s="388" customFormat="1" ht="15.75" customHeight="1">
      <c r="A7" s="392" t="str">
        <f>txtMunicipality</f>
        <v>STABROEK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0.20138800026879733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0.20138800026879733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7745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1135.9000000000001</v>
      </c>
      <c r="C14" s="330"/>
      <c r="D14" s="330"/>
      <c r="E14" s="330"/>
      <c r="F14" s="330"/>
    </row>
    <row r="15" spans="1:6">
      <c r="A15" s="1293" t="s">
        <v>183</v>
      </c>
      <c r="B15" s="1294">
        <v>7</v>
      </c>
      <c r="C15" s="330"/>
      <c r="D15" s="330"/>
      <c r="E15" s="330"/>
      <c r="F15" s="330"/>
    </row>
    <row r="16" spans="1:6">
      <c r="A16" s="1293" t="s">
        <v>6</v>
      </c>
      <c r="B16" s="1294">
        <v>318</v>
      </c>
      <c r="C16" s="330"/>
      <c r="D16" s="330"/>
      <c r="E16" s="330"/>
      <c r="F16" s="330"/>
    </row>
    <row r="17" spans="1:6">
      <c r="A17" s="1293" t="s">
        <v>7</v>
      </c>
      <c r="B17" s="1294">
        <v>334</v>
      </c>
      <c r="C17" s="330"/>
      <c r="D17" s="330"/>
      <c r="E17" s="330"/>
      <c r="F17" s="330"/>
    </row>
    <row r="18" spans="1:6">
      <c r="A18" s="1293" t="s">
        <v>8</v>
      </c>
      <c r="B18" s="1294">
        <v>486</v>
      </c>
      <c r="C18" s="330"/>
      <c r="D18" s="330"/>
      <c r="E18" s="330"/>
      <c r="F18" s="330"/>
    </row>
    <row r="19" spans="1:6">
      <c r="A19" s="1293" t="s">
        <v>9</v>
      </c>
      <c r="B19" s="1294">
        <v>415</v>
      </c>
      <c r="C19" s="330"/>
      <c r="D19" s="330"/>
      <c r="E19" s="330"/>
      <c r="F19" s="330"/>
    </row>
    <row r="20" spans="1:6">
      <c r="A20" s="1293" t="s">
        <v>10</v>
      </c>
      <c r="B20" s="1294">
        <v>397</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126</v>
      </c>
      <c r="C26" s="330"/>
      <c r="D26" s="330"/>
      <c r="E26" s="330"/>
      <c r="F26" s="330"/>
    </row>
    <row r="27" spans="1:6">
      <c r="A27" s="1293" t="s">
        <v>17</v>
      </c>
      <c r="B27" s="1294">
        <v>853</v>
      </c>
      <c r="C27" s="330"/>
      <c r="D27" s="330"/>
      <c r="E27" s="330"/>
      <c r="F27" s="330"/>
    </row>
    <row r="28" spans="1:6" s="43" customFormat="1">
      <c r="A28" s="1295" t="s">
        <v>18</v>
      </c>
      <c r="B28" s="1296">
        <v>7819</v>
      </c>
      <c r="C28" s="336"/>
      <c r="D28" s="336"/>
      <c r="E28" s="336"/>
      <c r="F28" s="336"/>
    </row>
    <row r="29" spans="1:6">
      <c r="A29" s="1295" t="s">
        <v>734</v>
      </c>
      <c r="B29" s="1296">
        <v>71</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3</v>
      </c>
      <c r="F36" s="1294">
        <v>2718.2795292351998</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6577</v>
      </c>
      <c r="D39" s="1294">
        <v>100705373.13887611</v>
      </c>
      <c r="E39" s="1294">
        <v>7833</v>
      </c>
      <c r="F39" s="1294">
        <v>26147093.846799601</v>
      </c>
    </row>
    <row r="40" spans="1:6">
      <c r="A40" s="1293" t="s">
        <v>29</v>
      </c>
      <c r="B40" s="1293" t="s">
        <v>28</v>
      </c>
      <c r="C40" s="1294">
        <v>1</v>
      </c>
      <c r="D40" s="1294">
        <v>9134</v>
      </c>
      <c r="E40" s="1294">
        <v>2</v>
      </c>
      <c r="F40" s="1294">
        <v>8075.1038490110004</v>
      </c>
    </row>
    <row r="41" spans="1:6">
      <c r="A41" s="1293" t="s">
        <v>31</v>
      </c>
      <c r="B41" s="1293" t="s">
        <v>32</v>
      </c>
      <c r="C41" s="1294">
        <v>75</v>
      </c>
      <c r="D41" s="1294">
        <v>1647396.6</v>
      </c>
      <c r="E41" s="1294">
        <v>111</v>
      </c>
      <c r="F41" s="1294">
        <v>583081.26534989802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13</v>
      </c>
      <c r="D44" s="1294">
        <v>458313</v>
      </c>
      <c r="E44" s="1294">
        <v>8</v>
      </c>
      <c r="F44" s="1294">
        <v>105364.094382517</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4</v>
      </c>
      <c r="D48" s="1294">
        <v>160386</v>
      </c>
      <c r="E48" s="1294">
        <v>35</v>
      </c>
      <c r="F48" s="1294">
        <v>2559554.4046690301</v>
      </c>
    </row>
    <row r="49" spans="1:6">
      <c r="A49" s="1293" t="s">
        <v>31</v>
      </c>
      <c r="B49" s="1293" t="s">
        <v>39</v>
      </c>
      <c r="C49" s="1294">
        <v>0</v>
      </c>
      <c r="D49" s="1294">
        <v>0</v>
      </c>
      <c r="E49" s="1294">
        <v>0</v>
      </c>
      <c r="F49" s="1294">
        <v>0</v>
      </c>
    </row>
    <row r="50" spans="1:6">
      <c r="A50" s="1293" t="s">
        <v>31</v>
      </c>
      <c r="B50" s="1293" t="s">
        <v>40</v>
      </c>
      <c r="C50" s="1294">
        <v>14</v>
      </c>
      <c r="D50" s="1294">
        <v>34361095</v>
      </c>
      <c r="E50" s="1294">
        <v>12</v>
      </c>
      <c r="F50" s="1294">
        <v>444852.07583353802</v>
      </c>
    </row>
    <row r="51" spans="1:6">
      <c r="A51" s="1293" t="s">
        <v>41</v>
      </c>
      <c r="B51" s="1293" t="s">
        <v>42</v>
      </c>
      <c r="C51" s="1294">
        <v>12</v>
      </c>
      <c r="D51" s="1294">
        <v>192653</v>
      </c>
      <c r="E51" s="1294">
        <v>33</v>
      </c>
      <c r="F51" s="1294">
        <v>294266.64832283102</v>
      </c>
    </row>
    <row r="52" spans="1:6">
      <c r="A52" s="1293" t="s">
        <v>41</v>
      </c>
      <c r="B52" s="1293" t="s">
        <v>28</v>
      </c>
      <c r="C52" s="1294">
        <v>0</v>
      </c>
      <c r="D52" s="1294">
        <v>0</v>
      </c>
      <c r="E52" s="1294">
        <v>6</v>
      </c>
      <c r="F52" s="1294">
        <v>39425.361804811</v>
      </c>
    </row>
    <row r="53" spans="1:6">
      <c r="A53" s="1293" t="s">
        <v>43</v>
      </c>
      <c r="B53" s="1293" t="s">
        <v>44</v>
      </c>
      <c r="C53" s="1294">
        <v>75</v>
      </c>
      <c r="D53" s="1294">
        <v>1415839.3</v>
      </c>
      <c r="E53" s="1294">
        <v>228</v>
      </c>
      <c r="F53" s="1294">
        <v>603858.50634928199</v>
      </c>
    </row>
    <row r="54" spans="1:6">
      <c r="A54" s="1293" t="s">
        <v>45</v>
      </c>
      <c r="B54" s="1293" t="s">
        <v>46</v>
      </c>
      <c r="C54" s="1294">
        <v>0</v>
      </c>
      <c r="D54" s="1294">
        <v>0</v>
      </c>
      <c r="E54" s="1294">
        <v>1</v>
      </c>
      <c r="F54" s="1294">
        <v>871603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32</v>
      </c>
      <c r="D57" s="1294">
        <v>724696</v>
      </c>
      <c r="E57" s="1294">
        <v>34</v>
      </c>
      <c r="F57" s="1294">
        <v>182760.17613906701</v>
      </c>
    </row>
    <row r="58" spans="1:6">
      <c r="A58" s="1293" t="s">
        <v>48</v>
      </c>
      <c r="B58" s="1293" t="s">
        <v>50</v>
      </c>
      <c r="C58" s="1294">
        <v>30</v>
      </c>
      <c r="D58" s="1294">
        <v>2287556</v>
      </c>
      <c r="E58" s="1294">
        <v>28</v>
      </c>
      <c r="F58" s="1294">
        <v>256195.791833661</v>
      </c>
    </row>
    <row r="59" spans="1:6">
      <c r="A59" s="1293" t="s">
        <v>48</v>
      </c>
      <c r="B59" s="1293" t="s">
        <v>51</v>
      </c>
      <c r="C59" s="1294">
        <v>85</v>
      </c>
      <c r="D59" s="1294">
        <v>3067408.2</v>
      </c>
      <c r="E59" s="1294">
        <v>87</v>
      </c>
      <c r="F59" s="1294">
        <v>3970253.2031295202</v>
      </c>
    </row>
    <row r="60" spans="1:6">
      <c r="A60" s="1293" t="s">
        <v>48</v>
      </c>
      <c r="B60" s="1293" t="s">
        <v>52</v>
      </c>
      <c r="C60" s="1294">
        <v>37</v>
      </c>
      <c r="D60" s="1294">
        <v>1983980</v>
      </c>
      <c r="E60" s="1294">
        <v>40</v>
      </c>
      <c r="F60" s="1294">
        <v>1092829.3101151299</v>
      </c>
    </row>
    <row r="61" spans="1:6">
      <c r="A61" s="1293" t="s">
        <v>48</v>
      </c>
      <c r="B61" s="1293" t="s">
        <v>53</v>
      </c>
      <c r="C61" s="1294">
        <v>169</v>
      </c>
      <c r="D61" s="1294">
        <v>9020116.5309999995</v>
      </c>
      <c r="E61" s="1294">
        <v>225</v>
      </c>
      <c r="F61" s="1294">
        <v>2681520.14581645</v>
      </c>
    </row>
    <row r="62" spans="1:6">
      <c r="A62" s="1293" t="s">
        <v>48</v>
      </c>
      <c r="B62" s="1293" t="s">
        <v>54</v>
      </c>
      <c r="C62" s="1294">
        <v>10</v>
      </c>
      <c r="D62" s="1294">
        <v>2152343</v>
      </c>
      <c r="E62" s="1294">
        <v>3</v>
      </c>
      <c r="F62" s="1294">
        <v>199775.49346872399</v>
      </c>
    </row>
    <row r="63" spans="1:6">
      <c r="A63" s="1293" t="s">
        <v>48</v>
      </c>
      <c r="B63" s="1293" t="s">
        <v>28</v>
      </c>
      <c r="C63" s="1294">
        <v>0</v>
      </c>
      <c r="D63" s="1294">
        <v>0</v>
      </c>
      <c r="E63" s="1294">
        <v>96</v>
      </c>
      <c r="F63" s="1294">
        <v>2967430.2417252799</v>
      </c>
    </row>
    <row r="64" spans="1:6">
      <c r="A64" s="1293" t="s">
        <v>55</v>
      </c>
      <c r="B64" s="1293" t="s">
        <v>56</v>
      </c>
      <c r="C64" s="1294">
        <v>0</v>
      </c>
      <c r="D64" s="1294">
        <v>0</v>
      </c>
      <c r="E64" s="1294">
        <v>0</v>
      </c>
      <c r="F64" s="1294">
        <v>0</v>
      </c>
    </row>
    <row r="65" spans="1:6">
      <c r="A65" s="1293" t="s">
        <v>55</v>
      </c>
      <c r="B65" s="1293" t="s">
        <v>28</v>
      </c>
      <c r="C65" s="1294">
        <v>1</v>
      </c>
      <c r="D65" s="1294">
        <v>24087</v>
      </c>
      <c r="E65" s="1294">
        <v>1</v>
      </c>
      <c r="F65" s="1294">
        <v>4992.1801626821998</v>
      </c>
    </row>
    <row r="66" spans="1:6">
      <c r="A66" s="1293" t="s">
        <v>55</v>
      </c>
      <c r="B66" s="1293" t="s">
        <v>57</v>
      </c>
      <c r="C66" s="1294">
        <v>0</v>
      </c>
      <c r="D66" s="1294">
        <v>0</v>
      </c>
      <c r="E66" s="1294">
        <v>7</v>
      </c>
      <c r="F66" s="1294">
        <v>128968.487500068</v>
      </c>
    </row>
    <row r="67" spans="1:6">
      <c r="A67" s="1295" t="s">
        <v>55</v>
      </c>
      <c r="B67" s="1295" t="s">
        <v>58</v>
      </c>
      <c r="C67" s="1294">
        <v>0</v>
      </c>
      <c r="D67" s="1294">
        <v>0</v>
      </c>
      <c r="E67" s="1294">
        <v>68</v>
      </c>
      <c r="F67" s="1294">
        <v>657151.873211378</v>
      </c>
    </row>
    <row r="68" spans="1:6">
      <c r="A68" s="1288" t="s">
        <v>55</v>
      </c>
      <c r="B68" s="1288" t="s">
        <v>59</v>
      </c>
      <c r="C68" s="1297">
        <v>4</v>
      </c>
      <c r="D68" s="1297">
        <v>83006</v>
      </c>
      <c r="E68" s="1297">
        <v>3</v>
      </c>
      <c r="F68" s="1297">
        <v>14693.4379660547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31653547</v>
      </c>
      <c r="E73" s="449"/>
      <c r="F73" s="330"/>
    </row>
    <row r="74" spans="1:6">
      <c r="A74" s="1293" t="s">
        <v>63</v>
      </c>
      <c r="B74" s="1293" t="s">
        <v>656</v>
      </c>
      <c r="C74" s="1307" t="s">
        <v>658</v>
      </c>
      <c r="D74" s="1308">
        <v>2619457.5</v>
      </c>
      <c r="E74" s="449"/>
      <c r="F74" s="330"/>
    </row>
    <row r="75" spans="1:6">
      <c r="A75" s="1293" t="s">
        <v>64</v>
      </c>
      <c r="B75" s="1293" t="s">
        <v>655</v>
      </c>
      <c r="C75" s="1307" t="s">
        <v>659</v>
      </c>
      <c r="D75" s="1308">
        <v>14818098</v>
      </c>
      <c r="E75" s="449"/>
      <c r="F75" s="330"/>
    </row>
    <row r="76" spans="1:6">
      <c r="A76" s="1293" t="s">
        <v>64</v>
      </c>
      <c r="B76" s="1293" t="s">
        <v>656</v>
      </c>
      <c r="C76" s="1307" t="s">
        <v>660</v>
      </c>
      <c r="D76" s="1308">
        <v>239933.5</v>
      </c>
      <c r="E76" s="449"/>
      <c r="F76" s="330"/>
    </row>
    <row r="77" spans="1:6">
      <c r="A77" s="1293" t="s">
        <v>65</v>
      </c>
      <c r="B77" s="1293" t="s">
        <v>655</v>
      </c>
      <c r="C77" s="1307" t="s">
        <v>661</v>
      </c>
      <c r="D77" s="1308">
        <v>70579661</v>
      </c>
      <c r="E77" s="449"/>
      <c r="F77" s="330"/>
    </row>
    <row r="78" spans="1:6">
      <c r="A78" s="1288" t="s">
        <v>65</v>
      </c>
      <c r="B78" s="1288" t="s">
        <v>656</v>
      </c>
      <c r="C78" s="1288" t="s">
        <v>662</v>
      </c>
      <c r="D78" s="1309">
        <v>17260496</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452371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3336.087649467418</v>
      </c>
      <c r="C91" s="330"/>
      <c r="D91" s="330"/>
      <c r="E91" s="330"/>
      <c r="F91" s="330"/>
    </row>
    <row r="92" spans="1:6">
      <c r="A92" s="1288" t="s">
        <v>68</v>
      </c>
      <c r="B92" s="1289">
        <v>927.71288741867136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5071</v>
      </c>
      <c r="C97" s="330"/>
      <c r="D97" s="330"/>
      <c r="E97" s="330"/>
      <c r="F97" s="330"/>
    </row>
    <row r="98" spans="1:6">
      <c r="A98" s="1293" t="s">
        <v>71</v>
      </c>
      <c r="B98" s="1294">
        <v>4</v>
      </c>
      <c r="C98" s="330"/>
      <c r="D98" s="330"/>
      <c r="E98" s="330"/>
      <c r="F98" s="330"/>
    </row>
    <row r="99" spans="1:6">
      <c r="A99" s="1293" t="s">
        <v>72</v>
      </c>
      <c r="B99" s="1294">
        <v>7</v>
      </c>
      <c r="C99" s="330"/>
      <c r="D99" s="330"/>
      <c r="E99" s="330"/>
      <c r="F99" s="330"/>
    </row>
    <row r="100" spans="1:6">
      <c r="A100" s="1293" t="s">
        <v>73</v>
      </c>
      <c r="B100" s="1294">
        <v>451</v>
      </c>
      <c r="C100" s="330"/>
      <c r="D100" s="330"/>
      <c r="E100" s="330"/>
      <c r="F100" s="330"/>
    </row>
    <row r="101" spans="1:6">
      <c r="A101" s="1293" t="s">
        <v>74</v>
      </c>
      <c r="B101" s="1294">
        <v>52</v>
      </c>
      <c r="C101" s="330"/>
      <c r="D101" s="330"/>
      <c r="E101" s="330"/>
      <c r="F101" s="330"/>
    </row>
    <row r="102" spans="1:6">
      <c r="A102" s="1293" t="s">
        <v>75</v>
      </c>
      <c r="B102" s="1294">
        <v>84</v>
      </c>
      <c r="C102" s="330"/>
      <c r="D102" s="330"/>
      <c r="E102" s="330"/>
      <c r="F102" s="330"/>
    </row>
    <row r="103" spans="1:6">
      <c r="A103" s="1293" t="s">
        <v>76</v>
      </c>
      <c r="B103" s="1294">
        <v>115</v>
      </c>
      <c r="C103" s="330"/>
      <c r="D103" s="330"/>
      <c r="E103" s="330"/>
      <c r="F103" s="330"/>
    </row>
    <row r="104" spans="1:6">
      <c r="A104" s="1293" t="s">
        <v>77</v>
      </c>
      <c r="B104" s="1294">
        <v>786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1</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8</v>
      </c>
      <c r="C123" s="1294">
        <v>14</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105</v>
      </c>
      <c r="C129" s="330"/>
      <c r="D129" s="330"/>
      <c r="E129" s="330"/>
      <c r="F129" s="330"/>
    </row>
    <row r="130" spans="1:6">
      <c r="A130" s="1293" t="s">
        <v>294</v>
      </c>
      <c r="B130" s="1294">
        <v>0</v>
      </c>
      <c r="C130" s="330"/>
      <c r="D130" s="330"/>
      <c r="E130" s="330"/>
      <c r="F130" s="330"/>
    </row>
    <row r="131" spans="1:6">
      <c r="A131" s="1293" t="s">
        <v>295</v>
      </c>
      <c r="B131" s="1294">
        <v>1</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47283.172466869211</v>
      </c>
      <c r="C3" s="43" t="s">
        <v>169</v>
      </c>
      <c r="D3" s="43"/>
      <c r="E3" s="154"/>
      <c r="F3" s="43"/>
      <c r="G3" s="43"/>
      <c r="H3" s="43"/>
      <c r="I3" s="43"/>
      <c r="J3" s="43"/>
      <c r="K3" s="96"/>
    </row>
    <row r="4" spans="1:11">
      <c r="A4" s="358" t="s">
        <v>170</v>
      </c>
      <c r="B4" s="49">
        <f>IF(ISERROR('SEAP template'!B78+'SEAP template'!C78),0,'SEAP template'!B78+'SEAP template'!C78)</f>
        <v>5163.8005368860895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213.88235294117646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0.20138800026879733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871.60299999999995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871.60299999999995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0.20138800026879733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175.53038519828456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26155.168950648615</v>
      </c>
      <c r="C5" s="17">
        <f>IF(ISERROR('Eigen informatie GS &amp; warmtenet'!B57),0,'Eigen informatie GS &amp; warmtenet'!B57)</f>
        <v>0</v>
      </c>
      <c r="D5" s="30">
        <f>(SUM(HH_hh_gas_kWh,HH_rest_gas_kWh)/1000)*0.902</f>
        <v>90844.485439266253</v>
      </c>
      <c r="E5" s="17">
        <f>B46*B57</f>
        <v>830.26613061384194</v>
      </c>
      <c r="F5" s="17">
        <f>B51*B62</f>
        <v>0</v>
      </c>
      <c r="G5" s="18"/>
      <c r="H5" s="17"/>
      <c r="I5" s="17"/>
      <c r="J5" s="17">
        <f>B50*B61+C50*C61</f>
        <v>0</v>
      </c>
      <c r="K5" s="17"/>
      <c r="L5" s="17"/>
      <c r="M5" s="17"/>
      <c r="N5" s="17">
        <f>B48*B59+C48*C59</f>
        <v>8500.7807130748624</v>
      </c>
      <c r="O5" s="17">
        <f>B69*B70*B71</f>
        <v>186.03666666666666</v>
      </c>
      <c r="P5" s="17">
        <f>B77*B78*B79/1000-B77*B78*B79/1000/B80</f>
        <v>438.5333333333333</v>
      </c>
    </row>
    <row r="6" spans="1:16">
      <c r="A6" s="16" t="s">
        <v>620</v>
      </c>
      <c r="B6" s="762">
        <f>kWh_PV_kleiner_dan_10kW</f>
        <v>3336.087649467418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29491.256600116034</v>
      </c>
      <c r="C8" s="21">
        <f>C5</f>
        <v>0</v>
      </c>
      <c r="D8" s="21">
        <f>D5</f>
        <v>90844.485439266253</v>
      </c>
      <c r="E8" s="21">
        <f>E5</f>
        <v>830.26613061384194</v>
      </c>
      <c r="F8" s="21">
        <f>F5</f>
        <v>0</v>
      </c>
      <c r="G8" s="21"/>
      <c r="H8" s="21"/>
      <c r="I8" s="21"/>
      <c r="J8" s="21">
        <f>J5</f>
        <v>0</v>
      </c>
      <c r="K8" s="21"/>
      <c r="L8" s="21">
        <f>L5</f>
        <v>0</v>
      </c>
      <c r="M8" s="21">
        <f>M5</f>
        <v>0</v>
      </c>
      <c r="N8" s="21">
        <f>N5</f>
        <v>8500.7807130748624</v>
      </c>
      <c r="O8" s="21">
        <f>O5</f>
        <v>186.03666666666666</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0.20138800026879733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5939.1851921113384</v>
      </c>
      <c r="C12" s="23">
        <f ca="1">C10*C8</f>
        <v>0</v>
      </c>
      <c r="D12" s="23">
        <f>D8*D10</f>
        <v>18350.586058731784</v>
      </c>
      <c r="E12" s="23">
        <f>E10*E8</f>
        <v>188.47041164934214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5071</v>
      </c>
      <c r="C18" s="166" t="s">
        <v>110</v>
      </c>
      <c r="D18" s="228"/>
      <c r="E18" s="15"/>
    </row>
    <row r="19" spans="1:7">
      <c r="A19" s="171" t="s">
        <v>71</v>
      </c>
      <c r="B19" s="37">
        <f>aantalw2001_ander</f>
        <v>4</v>
      </c>
      <c r="C19" s="166" t="s">
        <v>110</v>
      </c>
      <c r="D19" s="229"/>
      <c r="E19" s="15"/>
    </row>
    <row r="20" spans="1:7">
      <c r="A20" s="171" t="s">
        <v>72</v>
      </c>
      <c r="B20" s="37">
        <f>aantalw2001_propaan</f>
        <v>7</v>
      </c>
      <c r="C20" s="167">
        <f>IF(ISERROR(B20/SUM($B$20,$B$21,$B$22)*100),0,B20/SUM($B$20,$B$21,$B$22)*100)</f>
        <v>1.3725490196078431</v>
      </c>
      <c r="D20" s="229"/>
      <c r="E20" s="15"/>
    </row>
    <row r="21" spans="1:7">
      <c r="A21" s="171" t="s">
        <v>73</v>
      </c>
      <c r="B21" s="37">
        <f>aantalw2001_elektriciteit</f>
        <v>451</v>
      </c>
      <c r="C21" s="167">
        <f>IF(ISERROR(B21/SUM($B$20,$B$21,$B$22)*100),0,B21/SUM($B$20,$B$21,$B$22)*100)</f>
        <v>88.431372549019599</v>
      </c>
      <c r="D21" s="229"/>
      <c r="E21" s="15"/>
    </row>
    <row r="22" spans="1:7">
      <c r="A22" s="171" t="s">
        <v>74</v>
      </c>
      <c r="B22" s="37">
        <f>aantalw2001_hout</f>
        <v>52</v>
      </c>
      <c r="C22" s="167">
        <f>IF(ISERROR(B22/SUM($B$20,$B$21,$B$22)*100),0,B22/SUM($B$20,$B$21,$B$22)*100)</f>
        <v>10.196078431372548</v>
      </c>
      <c r="D22" s="229"/>
      <c r="E22" s="15"/>
    </row>
    <row r="23" spans="1:7">
      <c r="A23" s="171" t="s">
        <v>75</v>
      </c>
      <c r="B23" s="37">
        <f>aantalw2001_niet_gespec</f>
        <v>84</v>
      </c>
      <c r="C23" s="166" t="s">
        <v>110</v>
      </c>
      <c r="D23" s="228"/>
      <c r="E23" s="15"/>
    </row>
    <row r="24" spans="1:7">
      <c r="A24" s="171" t="s">
        <v>76</v>
      </c>
      <c r="B24" s="37">
        <f>aantalw2001_steenkool</f>
        <v>115</v>
      </c>
      <c r="C24" s="166" t="s">
        <v>110</v>
      </c>
      <c r="D24" s="229"/>
      <c r="E24" s="15"/>
    </row>
    <row r="25" spans="1:7">
      <c r="A25" s="171" t="s">
        <v>77</v>
      </c>
      <c r="B25" s="37">
        <f>aantalw2001_stookolie</f>
        <v>786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7745</v>
      </c>
      <c r="C28" s="36"/>
      <c r="D28" s="228"/>
    </row>
    <row r="29" spans="1:7" s="15" customFormat="1">
      <c r="A29" s="230" t="s">
        <v>781</v>
      </c>
      <c r="B29" s="37">
        <f>SUM(HH_hh_gas_aantal,HH_rest_gas_aantal)</f>
        <v>6578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6578</v>
      </c>
      <c r="C32" s="167">
        <f>IF(ISERROR(B32/SUM($B$32,$B$34,$B$35,$B$36,$B$38,$B$39)*100),0,B32/SUM($B$32,$B$34,$B$35,$B$36,$B$38,$B$39)*100)</f>
        <v>85.185185185185176</v>
      </c>
      <c r="D32" s="233"/>
      <c r="G32" s="15"/>
    </row>
    <row r="33" spans="1:7">
      <c r="A33" s="171" t="s">
        <v>71</v>
      </c>
      <c r="B33" s="34" t="s">
        <v>110</v>
      </c>
      <c r="C33" s="167"/>
      <c r="D33" s="233"/>
      <c r="G33" s="15"/>
    </row>
    <row r="34" spans="1:7">
      <c r="A34" s="171" t="s">
        <v>72</v>
      </c>
      <c r="B34" s="33">
        <f>IF((($B$28-$B$32-$B$39-$B$77-$B$38)*C20/100)&lt;0,0,($B$28-$B$32-$B$39-$B$77-$B$38)*C20/100)</f>
        <v>15.701960784313727</v>
      </c>
      <c r="C34" s="167">
        <f>IF(ISERROR(B34/SUM($B$32,$B$34,$B$35,$B$36,$B$38,$B$39)*100),0,B34/SUM($B$32,$B$34,$B$35,$B$36,$B$38,$B$39)*100)</f>
        <v>0.20334059549745823</v>
      </c>
      <c r="D34" s="233"/>
      <c r="G34" s="15"/>
    </row>
    <row r="35" spans="1:7">
      <c r="A35" s="171" t="s">
        <v>73</v>
      </c>
      <c r="B35" s="33">
        <f>IF((($B$28-$B$32-$B$39-$B$77-$B$38)*C21/100)&lt;0,0,($B$28-$B$32-$B$39-$B$77-$B$38)*C21/100)</f>
        <v>1011.6549019607842</v>
      </c>
      <c r="C35" s="167">
        <f>IF(ISERROR(B35/SUM($B$32,$B$34,$B$35,$B$36,$B$38,$B$39)*100),0,B35/SUM($B$32,$B$34,$B$35,$B$36,$B$38,$B$39)*100)</f>
        <v>13.100944081336236</v>
      </c>
      <c r="D35" s="233"/>
      <c r="G35" s="15"/>
    </row>
    <row r="36" spans="1:7">
      <c r="A36" s="171" t="s">
        <v>74</v>
      </c>
      <c r="B36" s="33">
        <f>IF((($B$28-$B$32-$B$39-$B$77-$B$38)*C22/100)&lt;0,0,($B$28-$B$32-$B$39-$B$77-$B$38)*C22/100)</f>
        <v>116.64313725490196</v>
      </c>
      <c r="C36" s="167">
        <f>IF(ISERROR(B36/SUM($B$32,$B$34,$B$35,$B$36,$B$38,$B$39)*100),0,B36/SUM($B$32,$B$34,$B$35,$B$36,$B$38,$B$39)*100)</f>
        <v>1.5105301379811182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6578</v>
      </c>
      <c r="C44" s="34" t="s">
        <v>110</v>
      </c>
      <c r="D44" s="174"/>
    </row>
    <row r="45" spans="1:7">
      <c r="A45" s="171" t="s">
        <v>71</v>
      </c>
      <c r="B45" s="33" t="str">
        <f t="shared" si="0"/>
        <v>-</v>
      </c>
      <c r="C45" s="34" t="s">
        <v>110</v>
      </c>
      <c r="D45" s="174"/>
    </row>
    <row r="46" spans="1:7">
      <c r="A46" s="171" t="s">
        <v>72</v>
      </c>
      <c r="B46" s="33">
        <f t="shared" si="0"/>
        <v>15.701960784313727</v>
      </c>
      <c r="C46" s="34" t="s">
        <v>110</v>
      </c>
      <c r="D46" s="174"/>
    </row>
    <row r="47" spans="1:7">
      <c r="A47" s="171" t="s">
        <v>73</v>
      </c>
      <c r="B47" s="33">
        <f t="shared" si="0"/>
        <v>1011.6549019607842</v>
      </c>
      <c r="C47" s="34" t="s">
        <v>110</v>
      </c>
      <c r="D47" s="174"/>
    </row>
    <row r="48" spans="1:7">
      <c r="A48" s="171" t="s">
        <v>74</v>
      </c>
      <c r="B48" s="33">
        <f t="shared" si="0"/>
        <v>116.64313725490196</v>
      </c>
      <c r="C48" s="33">
        <f>B48*10</f>
        <v>1166.4313725490197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119</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11350.764362227832</v>
      </c>
      <c r="C5" s="17">
        <f>IF(ISERROR('Eigen informatie GS &amp; warmtenet'!B58),0,'Eigen informatie GS &amp; warmtenet'!B58)</f>
        <v>0</v>
      </c>
      <c r="D5" s="30">
        <f>SUM(D6:D12)</f>
        <v>17350.961957362</v>
      </c>
      <c r="E5" s="17">
        <f>SUM(E6:E12)</f>
        <v>199.76420547293247</v>
      </c>
      <c r="F5" s="17">
        <f>SUM(F6:F12)</f>
        <v>1940.0794370374338</v>
      </c>
      <c r="G5" s="18"/>
      <c r="H5" s="17"/>
      <c r="I5" s="17"/>
      <c r="J5" s="17">
        <f>SUM(J6:J12)</f>
        <v>1.115271424181476E-2</v>
      </c>
      <c r="K5" s="17"/>
      <c r="L5" s="17"/>
      <c r="M5" s="17"/>
      <c r="N5" s="17">
        <f>SUM(N6:N12)</f>
        <v>455.43708191950731</v>
      </c>
      <c r="O5" s="17">
        <f>B38*B39*B40</f>
        <v>0</v>
      </c>
      <c r="P5" s="17">
        <f>B46*B47*B48/1000-B46*B47*B48/1000/B49</f>
        <v>38.133333333333333</v>
      </c>
      <c r="R5" s="32"/>
    </row>
    <row r="6" spans="1:18">
      <c r="A6" s="32" t="s">
        <v>53</v>
      </c>
      <c r="B6" s="37">
        <f>B26</f>
        <v>2681.5201458164502</v>
      </c>
      <c r="C6" s="33"/>
      <c r="D6" s="37">
        <f>IF(ISERROR(TER_kantoor_gas_kWh/1000),0,TER_kantoor_gas_kWh/1000)*0.902</f>
        <v>8136.1451109620002</v>
      </c>
      <c r="E6" s="33">
        <f>$C$26*'E Balans VL '!I12/100/3.6*1000000</f>
        <v>1.6806876414349255E-2</v>
      </c>
      <c r="F6" s="33">
        <f>$C$26*('E Balans VL '!L12+'E Balans VL '!N12)/100/3.6*1000000</f>
        <v>402.95754909709501</v>
      </c>
      <c r="G6" s="34"/>
      <c r="H6" s="33"/>
      <c r="I6" s="33"/>
      <c r="J6" s="33">
        <f>$C$26*('E Balans VL '!D12+'E Balans VL '!E12)/100/3.6*1000000</f>
        <v>0</v>
      </c>
      <c r="K6" s="33"/>
      <c r="L6" s="33"/>
      <c r="M6" s="33"/>
      <c r="N6" s="33">
        <f>$C$26*'E Balans VL '!Y12/100/3.6*1000000</f>
        <v>2.5644764404798428</v>
      </c>
      <c r="O6" s="33"/>
      <c r="P6" s="33"/>
      <c r="R6" s="32"/>
    </row>
    <row r="7" spans="1:18">
      <c r="A7" s="32" t="s">
        <v>52</v>
      </c>
      <c r="B7" s="37">
        <f t="shared" ref="B7:B12" si="0">B27</f>
        <v>1092.8293101151298</v>
      </c>
      <c r="C7" s="33"/>
      <c r="D7" s="37">
        <f>IF(ISERROR(TER_horeca_gas_kWh/1000),0,TER_horeca_gas_kWh/1000)*0.902</f>
        <v>1789.5499600000001</v>
      </c>
      <c r="E7" s="33">
        <f>$C$27*'E Balans VL '!I9/100/3.6*1000000</f>
        <v>15.649133690234892</v>
      </c>
      <c r="F7" s="33">
        <f>$C$27*('E Balans VL '!L9+'E Balans VL '!N9)/100/3.6*1000000</f>
        <v>138.38823355980685</v>
      </c>
      <c r="G7" s="34"/>
      <c r="H7" s="33"/>
      <c r="I7" s="33"/>
      <c r="J7" s="33">
        <f>$C$27*('E Balans VL '!D9+'E Balans VL '!E9)/100/3.6*1000000</f>
        <v>0</v>
      </c>
      <c r="K7" s="33"/>
      <c r="L7" s="33"/>
      <c r="M7" s="33"/>
      <c r="N7" s="33">
        <f>$C$27*'E Balans VL '!Y9/100/3.6*1000000</f>
        <v>0.3141643318401029</v>
      </c>
      <c r="O7" s="33"/>
      <c r="P7" s="33"/>
      <c r="R7" s="32"/>
    </row>
    <row r="8" spans="1:18">
      <c r="A8" s="6" t="s">
        <v>51</v>
      </c>
      <c r="B8" s="37">
        <f t="shared" si="0"/>
        <v>3970.25320312952</v>
      </c>
      <c r="C8" s="33"/>
      <c r="D8" s="37">
        <f>IF(ISERROR(TER_handel_gas_kWh/1000),0,TER_handel_gas_kWh/1000)*0.902</f>
        <v>2766.8021964000004</v>
      </c>
      <c r="E8" s="33">
        <f>$C$28*'E Balans VL '!I13/100/3.6*1000000</f>
        <v>144.00059408781709</v>
      </c>
      <c r="F8" s="33">
        <f>$C$28*('E Balans VL '!L13+'E Balans VL '!N13)/100/3.6*1000000</f>
        <v>764.71096829235057</v>
      </c>
      <c r="G8" s="34"/>
      <c r="H8" s="33"/>
      <c r="I8" s="33"/>
      <c r="J8" s="33">
        <f>$C$28*('E Balans VL '!D13+'E Balans VL '!E13)/100/3.6*1000000</f>
        <v>0</v>
      </c>
      <c r="K8" s="33"/>
      <c r="L8" s="33"/>
      <c r="M8" s="33"/>
      <c r="N8" s="33">
        <f>$C$28*'E Balans VL '!Y13/100/3.6*1000000</f>
        <v>5.4997142008548989</v>
      </c>
      <c r="O8" s="33"/>
      <c r="P8" s="33"/>
      <c r="R8" s="32"/>
    </row>
    <row r="9" spans="1:18">
      <c r="A9" s="32" t="s">
        <v>50</v>
      </c>
      <c r="B9" s="37">
        <f t="shared" si="0"/>
        <v>256.19579183366102</v>
      </c>
      <c r="C9" s="33"/>
      <c r="D9" s="37">
        <f>IF(ISERROR(TER_gezond_gas_kWh/1000),0,TER_gezond_gas_kWh/1000)*0.902</f>
        <v>2063.3755120000001</v>
      </c>
      <c r="E9" s="33">
        <f>$C$29*'E Balans VL '!I10/100/3.6*1000000</f>
        <v>1.6040386045255192E-2</v>
      </c>
      <c r="F9" s="33">
        <f>$C$29*('E Balans VL '!L10+'E Balans VL '!N10)/100/3.6*1000000</f>
        <v>38.058664918789219</v>
      </c>
      <c r="G9" s="34"/>
      <c r="H9" s="33"/>
      <c r="I9" s="33"/>
      <c r="J9" s="33">
        <f>$C$29*('E Balans VL '!D10+'E Balans VL '!E10)/100/3.6*1000000</f>
        <v>0</v>
      </c>
      <c r="K9" s="33"/>
      <c r="L9" s="33"/>
      <c r="M9" s="33"/>
      <c r="N9" s="33">
        <f>$C$29*'E Balans VL '!Y10/100/3.6*1000000</f>
        <v>3.9628612288638441</v>
      </c>
      <c r="O9" s="33"/>
      <c r="P9" s="33"/>
      <c r="R9" s="32"/>
    </row>
    <row r="10" spans="1:18">
      <c r="A10" s="32" t="s">
        <v>49</v>
      </c>
      <c r="B10" s="37">
        <f t="shared" si="0"/>
        <v>182.76017613906703</v>
      </c>
      <c r="C10" s="33"/>
      <c r="D10" s="37">
        <f>IF(ISERROR(TER_ander_gas_kWh/1000),0,TER_ander_gas_kWh/1000)*0.902</f>
        <v>653.675792</v>
      </c>
      <c r="E10" s="33">
        <f>$C$30*'E Balans VL '!I14/100/3.6*1000000</f>
        <v>0.21784359921257473</v>
      </c>
      <c r="F10" s="33">
        <f>$C$30*('E Balans VL '!L14+'E Balans VL '!N14)/100/3.6*1000000</f>
        <v>47.818186957257524</v>
      </c>
      <c r="G10" s="34"/>
      <c r="H10" s="33"/>
      <c r="I10" s="33"/>
      <c r="J10" s="33">
        <f>$C$30*('E Balans VL '!D14+'E Balans VL '!E14)/100/3.6*1000000</f>
        <v>3.9670070238698903E-3</v>
      </c>
      <c r="K10" s="33"/>
      <c r="L10" s="33"/>
      <c r="M10" s="33"/>
      <c r="N10" s="33">
        <f>$C$30*'E Balans VL '!Y14/100/3.6*1000000</f>
        <v>155.19546949873458</v>
      </c>
      <c r="O10" s="33"/>
      <c r="P10" s="33"/>
      <c r="R10" s="32"/>
    </row>
    <row r="11" spans="1:18">
      <c r="A11" s="32" t="s">
        <v>54</v>
      </c>
      <c r="B11" s="37">
        <f t="shared" si="0"/>
        <v>199.77549346872399</v>
      </c>
      <c r="C11" s="33"/>
      <c r="D11" s="37">
        <f>IF(ISERROR(TER_onderwijs_gas_kWh/1000),0,TER_onderwijs_gas_kWh/1000)*0.902</f>
        <v>1941.4133859999999</v>
      </c>
      <c r="E11" s="33">
        <f>$C$31*'E Balans VL '!I11/100/3.6*1000000</f>
        <v>3.0142904274138953</v>
      </c>
      <c r="F11" s="33">
        <f>$C$31*('E Balans VL '!L11+'E Balans VL '!N11)/100/3.6*1000000</f>
        <v>35.003857964174905</v>
      </c>
      <c r="G11" s="34"/>
      <c r="H11" s="33"/>
      <c r="I11" s="33"/>
      <c r="J11" s="33">
        <f>$C$31*('E Balans VL '!D11+'E Balans VL '!E11)/100/3.6*1000000</f>
        <v>0</v>
      </c>
      <c r="K11" s="33"/>
      <c r="L11" s="33"/>
      <c r="M11" s="33"/>
      <c r="N11" s="33">
        <f>$C$31*'E Balans VL '!Y11/100/3.6*1000000</f>
        <v>0.56218342613237171</v>
      </c>
      <c r="O11" s="33"/>
      <c r="P11" s="33"/>
      <c r="R11" s="32"/>
    </row>
    <row r="12" spans="1:18">
      <c r="A12" s="32" t="s">
        <v>259</v>
      </c>
      <c r="B12" s="37">
        <f t="shared" si="0"/>
        <v>2967.4302417252798</v>
      </c>
      <c r="C12" s="33"/>
      <c r="D12" s="37">
        <f>IF(ISERROR(TER_rest_gas_kWh/1000),0,TER_rest_gas_kWh/1000)*0.902</f>
        <v>0</v>
      </c>
      <c r="E12" s="33">
        <f>$C$32*'E Balans VL '!I8/100/3.6*1000000</f>
        <v>36.849496405794397</v>
      </c>
      <c r="F12" s="33">
        <f>$C$32*('E Balans VL '!L8+'E Balans VL '!N8)/100/3.6*1000000</f>
        <v>513.14197624795975</v>
      </c>
      <c r="G12" s="34"/>
      <c r="H12" s="33"/>
      <c r="I12" s="33"/>
      <c r="J12" s="33">
        <f>$C$32*('E Balans VL '!D8+'E Balans VL '!E8)/100/3.6*1000000</f>
        <v>7.1857072179448691E-3</v>
      </c>
      <c r="K12" s="33"/>
      <c r="L12" s="33"/>
      <c r="M12" s="33"/>
      <c r="N12" s="33">
        <f>$C$32*'E Balans VL '!Y8/100/3.6*1000000</f>
        <v>287.33821279260167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11350.764362227832</v>
      </c>
      <c r="C16" s="21">
        <f t="shared" ca="1" si="1"/>
        <v>0</v>
      </c>
      <c r="D16" s="21">
        <f t="shared" ca="1" si="1"/>
        <v>17350.961957362</v>
      </c>
      <c r="E16" s="21">
        <f t="shared" si="1"/>
        <v>199.76420547293247</v>
      </c>
      <c r="F16" s="21">
        <f t="shared" ca="1" si="1"/>
        <v>1940.0794370374338</v>
      </c>
      <c r="G16" s="21">
        <f t="shared" si="1"/>
        <v>0</v>
      </c>
      <c r="H16" s="21">
        <f t="shared" si="1"/>
        <v>0</v>
      </c>
      <c r="I16" s="21">
        <f t="shared" si="1"/>
        <v>0</v>
      </c>
      <c r="J16" s="21">
        <f t="shared" si="1"/>
        <v>1.115271424181476E-2</v>
      </c>
      <c r="K16" s="21">
        <f t="shared" si="1"/>
        <v>0</v>
      </c>
      <c r="L16" s="21">
        <f t="shared" ca="1" si="1"/>
        <v>0</v>
      </c>
      <c r="M16" s="21">
        <f t="shared" si="1"/>
        <v>0</v>
      </c>
      <c r="N16" s="21">
        <f t="shared" ca="1" si="1"/>
        <v>455.43708191950731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0.20138800026879733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2285.9077364313939</v>
      </c>
      <c r="C20" s="23">
        <f t="shared" ref="C20:P20" ca="1" si="2">C16*C18</f>
        <v>0</v>
      </c>
      <c r="D20" s="23">
        <f t="shared" ca="1" si="2"/>
        <v>3504.8943153871242</v>
      </c>
      <c r="E20" s="23">
        <f t="shared" si="2"/>
        <v>45.346474642355673</v>
      </c>
      <c r="F20" s="23">
        <f t="shared" ca="1" si="2"/>
        <v>518.00120968899489</v>
      </c>
      <c r="G20" s="23">
        <f t="shared" si="2"/>
        <v>0</v>
      </c>
      <c r="H20" s="23">
        <f t="shared" si="2"/>
        <v>0</v>
      </c>
      <c r="I20" s="23">
        <f t="shared" si="2"/>
        <v>0</v>
      </c>
      <c r="J20" s="23">
        <f t="shared" si="2"/>
        <v>3.9480608416024247E-3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2681.5201458164502</v>
      </c>
      <c r="C26" s="39">
        <f>IF(ISERROR(B26*3.6/1000000/'E Balans VL '!Z12*100),0,B26*3.6/1000000/'E Balans VL '!Z12*100)</f>
        <v>5.6683088011526717E-2</v>
      </c>
      <c r="D26" s="237" t="s">
        <v>744</v>
      </c>
      <c r="F26" s="6"/>
    </row>
    <row r="27" spans="1:18">
      <c r="A27" s="231" t="s">
        <v>52</v>
      </c>
      <c r="B27" s="33">
        <f>IF(ISERROR(TER_horeca_ele_kWh/1000),0,TER_horeca_ele_kWh/1000)</f>
        <v>1092.8293101151298</v>
      </c>
      <c r="C27" s="39">
        <f>IF(ISERROR(B27*3.6/1000000/'E Balans VL '!Z9*100),0,B27*3.6/1000000/'E Balans VL '!Z9*100)</f>
        <v>8.6147327198097451E-2</v>
      </c>
      <c r="D27" s="237" t="s">
        <v>744</v>
      </c>
      <c r="F27" s="6"/>
    </row>
    <row r="28" spans="1:18">
      <c r="A28" s="171" t="s">
        <v>51</v>
      </c>
      <c r="B28" s="33">
        <f>IF(ISERROR(TER_handel_ele_kWh/1000),0,TER_handel_ele_kWh/1000)</f>
        <v>3970.25320312952</v>
      </c>
      <c r="C28" s="39">
        <f>IF(ISERROR(B28*3.6/1000000/'E Balans VL '!Z13*100),0,B28*3.6/1000000/'E Balans VL '!Z13*100)</f>
        <v>0.11523278957532082</v>
      </c>
      <c r="D28" s="237" t="s">
        <v>744</v>
      </c>
      <c r="F28" s="6"/>
    </row>
    <row r="29" spans="1:18">
      <c r="A29" s="231" t="s">
        <v>50</v>
      </c>
      <c r="B29" s="33">
        <f>IF(ISERROR(TER_gezond_ele_kWh/1000),0,TER_gezond_ele_kWh/1000)</f>
        <v>256.19579183366102</v>
      </c>
      <c r="C29" s="39">
        <f>IF(ISERROR(B29*3.6/1000000/'E Balans VL '!Z10*100),0,B29*3.6/1000000/'E Balans VL '!Z10*100)</f>
        <v>2.6981623726030888E-2</v>
      </c>
      <c r="D29" s="237" t="s">
        <v>744</v>
      </c>
      <c r="F29" s="6"/>
    </row>
    <row r="30" spans="1:18">
      <c r="A30" s="231" t="s">
        <v>49</v>
      </c>
      <c r="B30" s="33">
        <f>IF(ISERROR(TER_ander_ele_kWh/1000),0,TER_ander_ele_kWh/1000)</f>
        <v>182.76017613906703</v>
      </c>
      <c r="C30" s="39">
        <f>IF(ISERROR(B30*3.6/1000000/'E Balans VL '!Z14*100),0,B30*3.6/1000000/'E Balans VL '!Z14*100)</f>
        <v>1.3480430287330382E-2</v>
      </c>
      <c r="D30" s="237" t="s">
        <v>744</v>
      </c>
      <c r="F30" s="6"/>
    </row>
    <row r="31" spans="1:18">
      <c r="A31" s="231" t="s">
        <v>54</v>
      </c>
      <c r="B31" s="33">
        <f>IF(ISERROR(TER_onderwijs_ele_kWh/1000),0,TER_onderwijs_ele_kWh/1000)</f>
        <v>199.77549346872399</v>
      </c>
      <c r="C31" s="39">
        <f>IF(ISERROR(B31*3.6/1000000/'E Balans VL '!Z11*100),0,B31*3.6/1000000/'E Balans VL '!Z11*100)</f>
        <v>4.961361306351221E-2</v>
      </c>
      <c r="D31" s="237" t="s">
        <v>744</v>
      </c>
    </row>
    <row r="32" spans="1:18">
      <c r="A32" s="231" t="s">
        <v>259</v>
      </c>
      <c r="B32" s="33">
        <f>IF(ISERROR(TER_rest_ele_kWh/1000),0,TER_rest_ele_kWh/1000)</f>
        <v>2967.4302417252798</v>
      </c>
      <c r="C32" s="39">
        <f>IF(ISERROR(B32*3.6/1000000/'E Balans VL '!Z8*100),0,B32*3.6/1000000/'E Balans VL '!Z8*100)</f>
        <v>2.4418012026149002E-2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3692.8518402349832</v>
      </c>
      <c r="C5" s="17">
        <f>IF(ISERROR('Eigen informatie GS &amp; warmtenet'!B59),0,'Eigen informatie GS &amp; warmtenet'!B59)</f>
        <v>0</v>
      </c>
      <c r="D5" s="30">
        <f>SUM(D6:D15)</f>
        <v>33037.725921199999</v>
      </c>
      <c r="E5" s="17">
        <f>SUM(E6:E15)</f>
        <v>313.68402333491503</v>
      </c>
      <c r="F5" s="17">
        <f>SUM(F6:F15)</f>
        <v>1013.6848442102244</v>
      </c>
      <c r="G5" s="18"/>
      <c r="H5" s="17"/>
      <c r="I5" s="17"/>
      <c r="J5" s="17">
        <f>SUM(J6:J15)</f>
        <v>9.1631560971813233</v>
      </c>
      <c r="K5" s="17"/>
      <c r="L5" s="17"/>
      <c r="M5" s="17"/>
      <c r="N5" s="17">
        <f>SUM(N6:N15)</f>
        <v>257.6053616792255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105.364094382517</v>
      </c>
      <c r="C8" s="33"/>
      <c r="D8" s="37">
        <f>IF( ISERROR(IND_metaal_Gas_kWH/1000),0,IND_metaal_Gas_kWH/1000)*0.902</f>
        <v>413.398326</v>
      </c>
      <c r="E8" s="33">
        <f>C30*'E Balans VL '!I18/100/3.6*1000000</f>
        <v>0.96872108623713338</v>
      </c>
      <c r="F8" s="33">
        <f>C30*'E Balans VL '!L18/100/3.6*1000000+C30*'E Balans VL '!N18/100/3.6*1000000</f>
        <v>9.8796441272897706</v>
      </c>
      <c r="G8" s="34"/>
      <c r="H8" s="33"/>
      <c r="I8" s="33"/>
      <c r="J8" s="40">
        <f>C30*'E Balans VL '!D18/100/3.6*1000000+C30*'E Balans VL '!E18/100/3.6*1000000</f>
        <v>0</v>
      </c>
      <c r="K8" s="33"/>
      <c r="L8" s="33"/>
      <c r="M8" s="33"/>
      <c r="N8" s="33">
        <f>C30*'E Balans VL '!Y18/100/3.6*1000000</f>
        <v>1.5031929278650107</v>
      </c>
      <c r="O8" s="33"/>
      <c r="P8" s="33"/>
      <c r="R8" s="32"/>
    </row>
    <row r="9" spans="1:18">
      <c r="A9" s="6" t="s">
        <v>32</v>
      </c>
      <c r="B9" s="37">
        <f t="shared" si="0"/>
        <v>583.08126534989799</v>
      </c>
      <c r="C9" s="33"/>
      <c r="D9" s="37">
        <f>IF( ISERROR(IND_andere_gas_kWh/1000),0,IND_andere_gas_kWh/1000)*0.902</f>
        <v>1485.9517332</v>
      </c>
      <c r="E9" s="33">
        <f>C31*'E Balans VL '!I19/100/3.6*1000000</f>
        <v>170.44600511513895</v>
      </c>
      <c r="F9" s="33">
        <f>C31*'E Balans VL '!L19/100/3.6*1000000+C31*'E Balans VL '!N19/100/3.6*1000000</f>
        <v>468.54993190502688</v>
      </c>
      <c r="G9" s="34"/>
      <c r="H9" s="33"/>
      <c r="I9" s="33"/>
      <c r="J9" s="40">
        <f>C31*'E Balans VL '!D19/100/3.6*1000000+C31*'E Balans VL '!E19/100/3.6*1000000</f>
        <v>0</v>
      </c>
      <c r="K9" s="33"/>
      <c r="L9" s="33"/>
      <c r="M9" s="33"/>
      <c r="N9" s="33">
        <f>C31*'E Balans VL '!Y19/100/3.6*1000000</f>
        <v>45.736102531222642</v>
      </c>
      <c r="O9" s="33"/>
      <c r="P9" s="33"/>
      <c r="R9" s="32"/>
    </row>
    <row r="10" spans="1:18">
      <c r="A10" s="6" t="s">
        <v>40</v>
      </c>
      <c r="B10" s="37">
        <f t="shared" si="0"/>
        <v>444.85207583353804</v>
      </c>
      <c r="C10" s="33"/>
      <c r="D10" s="37">
        <f>IF( ISERROR(IND_voed_gas_kWh/1000),0,IND_voed_gas_kWh/1000)*0.902</f>
        <v>30993.707690000003</v>
      </c>
      <c r="E10" s="33">
        <f>C32*'E Balans VL '!I20/100/3.6*1000000</f>
        <v>0.94109146393897869</v>
      </c>
      <c r="F10" s="33">
        <f>C32*'E Balans VL '!L20/100/3.6*1000000+C32*'E Balans VL '!N20/100/3.6*1000000</f>
        <v>28.284149384566646</v>
      </c>
      <c r="G10" s="34"/>
      <c r="H10" s="33"/>
      <c r="I10" s="33"/>
      <c r="J10" s="40">
        <f>C32*'E Balans VL '!D20/100/3.6*1000000+C32*'E Balans VL '!E20/100/3.6*1000000</f>
        <v>0</v>
      </c>
      <c r="K10" s="33"/>
      <c r="L10" s="33"/>
      <c r="M10" s="33"/>
      <c r="N10" s="33">
        <f>C32*'E Balans VL '!Y20/100/3.6*1000000</f>
        <v>30.699183140064005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2559.5544046690302</v>
      </c>
      <c r="C15" s="33"/>
      <c r="D15" s="37">
        <f>IF( ISERROR(IND_rest_gas_kWh/1000),0,IND_rest_gas_kWh/1000)*0.902</f>
        <v>144.668172</v>
      </c>
      <c r="E15" s="33">
        <f>C37*'E Balans VL '!I15/100/3.6*1000000</f>
        <v>141.32820566959995</v>
      </c>
      <c r="F15" s="33">
        <f>C37*'E Balans VL '!L15/100/3.6*1000000+C37*'E Balans VL '!N15/100/3.6*1000000</f>
        <v>506.97111879334108</v>
      </c>
      <c r="G15" s="34"/>
      <c r="H15" s="33"/>
      <c r="I15" s="33"/>
      <c r="J15" s="40">
        <f>C37*'E Balans VL '!D15/100/3.6*1000000+C37*'E Balans VL '!E15/100/3.6*1000000</f>
        <v>9.1631560971813233</v>
      </c>
      <c r="K15" s="33"/>
      <c r="L15" s="33"/>
      <c r="M15" s="33"/>
      <c r="N15" s="33">
        <f>C37*'E Balans VL '!Y15/100/3.6*1000000</f>
        <v>179.66688308007386</v>
      </c>
      <c r="O15" s="33"/>
      <c r="P15" s="33"/>
      <c r="R15" s="32"/>
    </row>
    <row r="16" spans="1:18">
      <c r="A16" s="16" t="s">
        <v>487</v>
      </c>
      <c r="B16" s="247">
        <f>'lokale energieproductie'!N37+'lokale energieproductie'!N30</f>
        <v>900</v>
      </c>
      <c r="C16" s="247">
        <f>'lokale energieproductie'!O37+'lokale energieproductie'!O30</f>
        <v>1285.7142857142858</v>
      </c>
      <c r="D16" s="308">
        <f>('lokale energieproductie'!P30+'lokale energieproductie'!P37)*(-1)</f>
        <v>-2571.4285714285716</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4592.8518402349837</v>
      </c>
      <c r="C18" s="21">
        <f>C5+C16</f>
        <v>1285.7142857142858</v>
      </c>
      <c r="D18" s="21">
        <f>MAX((D5+D16),0)</f>
        <v>30466.297349771427</v>
      </c>
      <c r="E18" s="21">
        <f>MAX((E5+E16),0)</f>
        <v>313.68402333491503</v>
      </c>
      <c r="F18" s="21">
        <f>MAX((F5+F16),0)</f>
        <v>1013.6848442102244</v>
      </c>
      <c r="G18" s="21"/>
      <c r="H18" s="21"/>
      <c r="I18" s="21"/>
      <c r="J18" s="21">
        <f>MAX((J5+J16),0)</f>
        <v>9.1631560971813233</v>
      </c>
      <c r="K18" s="21"/>
      <c r="L18" s="21">
        <f>MAX((L5+L16),0)</f>
        <v>0</v>
      </c>
      <c r="M18" s="21"/>
      <c r="N18" s="21">
        <f>MAX((N5+N16),0)</f>
        <v>257.6053616792255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0.20138800026879733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924.9452476357892</v>
      </c>
      <c r="C22" s="23">
        <f ca="1">C18*C20</f>
        <v>305.54621848739504</v>
      </c>
      <c r="D22" s="23">
        <f>D18*D20</f>
        <v>6154.1920646538283</v>
      </c>
      <c r="E22" s="23">
        <f>E18*E20</f>
        <v>71.206273297025717</v>
      </c>
      <c r="F22" s="23">
        <f>F18*F20</f>
        <v>270.6538534041299</v>
      </c>
      <c r="G22" s="23"/>
      <c r="H22" s="23"/>
      <c r="I22" s="23"/>
      <c r="J22" s="23">
        <f>J18*J20</f>
        <v>3.2437572584021881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105.364094382517</v>
      </c>
      <c r="C30" s="39">
        <f>IF(ISERROR(B30*3.6/1000000/'E Balans VL '!Z18*100),0,B30*3.6/1000000/'E Balans VL '!Z18*100)</f>
        <v>5.9712533998657396E-3</v>
      </c>
      <c r="D30" s="237" t="s">
        <v>744</v>
      </c>
    </row>
    <row r="31" spans="1:18">
      <c r="A31" s="6" t="s">
        <v>32</v>
      </c>
      <c r="B31" s="37">
        <f>IF( ISERROR(IND_ander_ele_kWh/1000),0,IND_ander_ele_kWh/1000)</f>
        <v>583.08126534989799</v>
      </c>
      <c r="C31" s="39">
        <f>IF(ISERROR(B31*3.6/1000000/'E Balans VL '!Z19*100),0,B31*3.6/1000000/'E Balans VL '!Z19*100)</f>
        <v>2.6446138288139458E-2</v>
      </c>
      <c r="D31" s="237" t="s">
        <v>744</v>
      </c>
    </row>
    <row r="32" spans="1:18">
      <c r="A32" s="171" t="s">
        <v>40</v>
      </c>
      <c r="B32" s="37">
        <f>IF( ISERROR(IND_voed_ele_kWh/1000),0,IND_voed_ele_kWh/1000)</f>
        <v>444.85207583353804</v>
      </c>
      <c r="C32" s="39">
        <f>IF(ISERROR(B32*3.6/1000000/'E Balans VL '!Z20*100),0,B32*3.6/1000000/'E Balans VL '!Z20*100)</f>
        <v>1.3761294163441691E-2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2559.5544046690302</v>
      </c>
      <c r="C37" s="39">
        <f>IF(ISERROR(B37*3.6/1000000/'E Balans VL '!Z15*100),0,B37*3.6/1000000/'E Balans VL '!Z15*100)</f>
        <v>2.0287612088766491E-2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333.69201012764199</v>
      </c>
      <c r="C5" s="17">
        <f>'Eigen informatie GS &amp; warmtenet'!B60</f>
        <v>0</v>
      </c>
      <c r="D5" s="30">
        <f>IF(ISERROR(SUM(LB_lb_gas_kWh,LB_rest_gas_kWh)/1000),0,SUM(LB_lb_gas_kWh,LB_rest_gas_kWh)/1000)*0.902</f>
        <v>173.77300600000001</v>
      </c>
      <c r="E5" s="17">
        <f>B17*'E Balans VL '!I25/3.6*1000000/100</f>
        <v>9.8082273906894262</v>
      </c>
      <c r="F5" s="17">
        <f>B17*('E Balans VL '!L25/3.6*1000000+'E Balans VL '!N25/3.6*1000000)/100</f>
        <v>1390.1428824219752</v>
      </c>
      <c r="G5" s="18"/>
      <c r="H5" s="17"/>
      <c r="I5" s="17"/>
      <c r="J5" s="17">
        <f>('E Balans VL '!D25+'E Balans VL '!E25)/3.6*1000000*landbouw!B17/100</f>
        <v>48.344806149548091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333.69201012764199</v>
      </c>
      <c r="C8" s="21">
        <f>C5+C6</f>
        <v>0</v>
      </c>
      <c r="D8" s="21">
        <f>MAX((D5+D6),0)</f>
        <v>173.77300600000001</v>
      </c>
      <c r="E8" s="21">
        <f>MAX((E5+E6),0)</f>
        <v>9.8082273906894262</v>
      </c>
      <c r="F8" s="21">
        <f>MAX((F5+F6),0)</f>
        <v>1390.1428824219752</v>
      </c>
      <c r="G8" s="21"/>
      <c r="H8" s="21"/>
      <c r="I8" s="21"/>
      <c r="J8" s="21">
        <f>MAX((J5+J6),0)</f>
        <v>48.344806149548091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0.20138800026879733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67.201566625281089</v>
      </c>
      <c r="C12" s="23">
        <f ca="1">C8*C10</f>
        <v>0</v>
      </c>
      <c r="D12" s="23">
        <f>D8*D10</f>
        <v>35.102147212000006</v>
      </c>
      <c r="E12" s="23">
        <f>E8*E10</f>
        <v>2.2264676176864997</v>
      </c>
      <c r="F12" s="23">
        <f>F8*F10</f>
        <v>371.16814960666738</v>
      </c>
      <c r="G12" s="23"/>
      <c r="H12" s="23"/>
      <c r="I12" s="23"/>
      <c r="J12" s="23">
        <f>J8*J10</f>
        <v>17.114061376940022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4.7351943163866171E-2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139.92861306287955</v>
      </c>
      <c r="C26" s="247">
        <f>B26*'GWP N2O_CH4'!B5</f>
        <v>2938.5008743204708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17.345522377522109</v>
      </c>
      <c r="C27" s="247">
        <f>B27*'GWP N2O_CH4'!B5</f>
        <v>364.25596992796426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1.8455171120808342</v>
      </c>
      <c r="C28" s="247">
        <f>B28*'GWP N2O_CH4'!B4</f>
        <v>572.11030474505867</v>
      </c>
      <c r="D28" s="50"/>
    </row>
    <row r="29" spans="1:4">
      <c r="A29" s="41" t="s">
        <v>276</v>
      </c>
      <c r="B29" s="247">
        <f>B34*'ha_N2O bodem landbouw'!B4</f>
        <v>7.3904384533433678</v>
      </c>
      <c r="C29" s="247">
        <f>B29*'GWP N2O_CH4'!B4</f>
        <v>2291.0359205364439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1.6864725864690234E-3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1.4092613212838341E-4</v>
      </c>
      <c r="C5" s="437" t="s">
        <v>210</v>
      </c>
      <c r="D5" s="422">
        <f>SUM(D6:D11)</f>
        <v>3.7965632159833891E-4</v>
      </c>
      <c r="E5" s="422">
        <f>SUM(E6:E11)</f>
        <v>7.3450184291312367E-4</v>
      </c>
      <c r="F5" s="435" t="s">
        <v>210</v>
      </c>
      <c r="G5" s="422">
        <f>SUM(G6:G11)</f>
        <v>0.39034882576382607</v>
      </c>
      <c r="H5" s="422">
        <f>SUM(H6:H11)</f>
        <v>6.5796058199293711E-2</v>
      </c>
      <c r="I5" s="437" t="s">
        <v>210</v>
      </c>
      <c r="J5" s="437" t="s">
        <v>210</v>
      </c>
      <c r="K5" s="437" t="s">
        <v>210</v>
      </c>
      <c r="L5" s="437" t="s">
        <v>210</v>
      </c>
      <c r="M5" s="422">
        <f>SUM(M6:M11)</f>
        <v>2.4743325270663002E-2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3.8109886162688304E-5</v>
      </c>
      <c r="C6" s="423"/>
      <c r="D6" s="865">
        <f>vkm_GW_PW*SUMIFS(TableVerdeelsleutelVkm[CNG],TableVerdeelsleutelVkm[Voertuigtype],"Lichte voertuigen")*SUMIFS(TableECFTransport[EnergieConsumptieFactor (PJ per km)],TableECFTransport[Index],CONCATENATE($A6,"_CNG_CNG"))</f>
        <v>9.4445603143878193E-5</v>
      </c>
      <c r="E6" s="865">
        <f>vkm_GW_PW*SUMIFS(TableVerdeelsleutelVkm[LPG],TableVerdeelsleutelVkm[Voertuigtype],"Lichte voertuigen")*SUMIFS(TableECFTransport[EnergieConsumptieFactor (PJ per km)],TableECFTransport[Index],CONCATENATE($A6,"_LPG_LPG"))</f>
        <v>1.6213951622607897E-4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4.9681902354934221E-2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1.6046702513117916E-2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3.3751159961414776E-3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2.4609483297964987E-2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4.116718915181785E-7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1.4378227449825299E-3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1.7840529149152201E-5</v>
      </c>
      <c r="C8" s="423"/>
      <c r="D8" s="425">
        <f>vkm_NGW_PW*SUMIFS(TableVerdeelsleutelVkm[CNG],TableVerdeelsleutelVkm[Voertuigtype],"Lichte voertuigen")*SUMIFS(TableECFTransport[EnergieConsumptieFactor (PJ per km)],TableECFTransport[Index],CONCATENATE($A8,"_CNG_CNG"))</f>
        <v>7.4729879185084621E-5</v>
      </c>
      <c r="E8" s="425">
        <f>vkm_NGW_PW*SUMIFS(TableVerdeelsleutelVkm[LPG],TableVerdeelsleutelVkm[Voertuigtype],"Lichte voertuigen")*SUMIFS(TableECFTransport[EnergieConsumptieFactor (PJ per km)],TableECFTransport[Index],CONCATENATE($A8,"_LPG_LPG"))</f>
        <v>1.218339091284018E-4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3.5115424214927596E-2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1.2417655592288484E-2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2.4172220323981858E-3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2.9001371211601966E-3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5.9762956923356733E-8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1.6944245502196594E-4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8.4975716816542909E-5</v>
      </c>
      <c r="C10" s="423"/>
      <c r="D10" s="425">
        <f>vkm_SW_PW*SUMIFS(TableVerdeelsleutelVkm[CNG],TableVerdeelsleutelVkm[Voertuigtype],"Lichte voertuigen")*SUMIFS(TableECFTransport[EnergieConsumptieFactor (PJ per km)],TableECFTransport[Index],CONCATENATE($A10,"_CNG_CNG"))</f>
        <v>2.1048083926937611E-4</v>
      </c>
      <c r="E10" s="425">
        <f>vkm_SW_PW*SUMIFS(TableVerdeelsleutelVkm[LPG],TableVerdeelsleutelVkm[Voertuigtype],"Lichte voertuigen")*SUMIFS(TableECFTransport[EnergieConsumptieFactor (PJ per km)],TableECFTransport[Index],CONCATENATE($A10,"_LPG_LPG"))</f>
        <v>4.5052841755864289E-4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0.12350273982699581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3.7328474799593142E-2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8.3146819557586207E-3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0.15453913894784327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2.75385944573426E-6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9.0290400863602214E-3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39.146147813439839</v>
      </c>
      <c r="C14" s="21"/>
      <c r="D14" s="21">
        <f t="shared" ref="D14:M14" si="0">((D5)*10^9/3600)+D12</f>
        <v>105.46008933287192</v>
      </c>
      <c r="E14" s="21">
        <f t="shared" si="0"/>
        <v>204.02828969808991</v>
      </c>
      <c r="F14" s="21"/>
      <c r="G14" s="21">
        <f t="shared" si="0"/>
        <v>108430.22937884058</v>
      </c>
      <c r="H14" s="21">
        <f t="shared" si="0"/>
        <v>18276.682833137143</v>
      </c>
      <c r="I14" s="21"/>
      <c r="J14" s="21"/>
      <c r="K14" s="21"/>
      <c r="L14" s="21"/>
      <c r="M14" s="21">
        <f t="shared" si="0"/>
        <v>6873.1459085175002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0.20138800026879733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7.8835644263754023</v>
      </c>
      <c r="C18" s="23"/>
      <c r="D18" s="23">
        <f t="shared" ref="D18:M18" si="1">D14*D16</f>
        <v>21.302938045240129</v>
      </c>
      <c r="E18" s="23">
        <f t="shared" si="1"/>
        <v>46.314421761466413</v>
      </c>
      <c r="F18" s="23"/>
      <c r="G18" s="23">
        <f t="shared" si="1"/>
        <v>28950.871244150436</v>
      </c>
      <c r="H18" s="23">
        <f t="shared" si="1"/>
        <v>4550.894025451149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5.6503116234148786E-3</v>
      </c>
      <c r="H50" s="319">
        <f t="shared" si="2"/>
        <v>0</v>
      </c>
      <c r="I50" s="319">
        <f t="shared" si="2"/>
        <v>0</v>
      </c>
      <c r="J50" s="319">
        <f t="shared" si="2"/>
        <v>0</v>
      </c>
      <c r="K50" s="319">
        <f t="shared" si="2"/>
        <v>0</v>
      </c>
      <c r="L50" s="319">
        <f t="shared" si="2"/>
        <v>0</v>
      </c>
      <c r="M50" s="319">
        <f t="shared" si="2"/>
        <v>3.2088851500234326E-4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5.6503116234148786E-3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3.2088851500234326E-4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1569.5310065041331</v>
      </c>
      <c r="H54" s="21">
        <f t="shared" si="3"/>
        <v>0</v>
      </c>
      <c r="I54" s="21">
        <f t="shared" si="3"/>
        <v>0</v>
      </c>
      <c r="J54" s="21">
        <f t="shared" si="3"/>
        <v>0</v>
      </c>
      <c r="K54" s="21">
        <f t="shared" si="3"/>
        <v>0</v>
      </c>
      <c r="L54" s="21">
        <f t="shared" si="3"/>
        <v>0</v>
      </c>
      <c r="M54" s="21">
        <f t="shared" si="3"/>
        <v>89.135698611762024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0.20138800026879733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419.06477873660356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12222.367362227831</v>
      </c>
      <c r="D10" s="979">
        <f ca="1">tertiair!C16</f>
        <v>0</v>
      </c>
      <c r="E10" s="979">
        <f ca="1">tertiair!D16</f>
        <v>17350.961957362</v>
      </c>
      <c r="F10" s="979">
        <f>tertiair!E16</f>
        <v>199.76420547293247</v>
      </c>
      <c r="G10" s="979">
        <f ca="1">tertiair!F16</f>
        <v>1940.0794370374338</v>
      </c>
      <c r="H10" s="979">
        <f>tertiair!G16</f>
        <v>0</v>
      </c>
      <c r="I10" s="979">
        <f>tertiair!H16</f>
        <v>0</v>
      </c>
      <c r="J10" s="979">
        <f>tertiair!I16</f>
        <v>0</v>
      </c>
      <c r="K10" s="979">
        <f>tertiair!J16</f>
        <v>1.115271424181476E-2</v>
      </c>
      <c r="L10" s="979">
        <f>tertiair!K16</f>
        <v>0</v>
      </c>
      <c r="M10" s="979">
        <f ca="1">tertiair!L16</f>
        <v>0</v>
      </c>
      <c r="N10" s="979">
        <f>tertiair!M16</f>
        <v>0</v>
      </c>
      <c r="O10" s="979">
        <f ca="1">tertiair!N16</f>
        <v>455.43708191950731</v>
      </c>
      <c r="P10" s="979">
        <f>tertiair!O16</f>
        <v>0</v>
      </c>
      <c r="Q10" s="980">
        <f>tertiair!P16</f>
        <v>38.133333333333333</v>
      </c>
      <c r="R10" s="674">
        <f ca="1">SUM(C10:Q10)</f>
        <v>32206.754530067283</v>
      </c>
      <c r="S10" s="67"/>
    </row>
    <row r="11" spans="1:19" s="447" customFormat="1">
      <c r="A11" s="783" t="s">
        <v>224</v>
      </c>
      <c r="B11" s="788"/>
      <c r="C11" s="979">
        <f>huishoudens!B8</f>
        <v>29491.256600116034</v>
      </c>
      <c r="D11" s="979">
        <f>huishoudens!C8</f>
        <v>0</v>
      </c>
      <c r="E11" s="979">
        <f>huishoudens!D8</f>
        <v>90844.485439266253</v>
      </c>
      <c r="F11" s="979">
        <f>huishoudens!E8</f>
        <v>830.26613061384194</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8500.7807130748624</v>
      </c>
      <c r="P11" s="979">
        <f>huishoudens!O8</f>
        <v>186.03666666666666</v>
      </c>
      <c r="Q11" s="980">
        <f>huishoudens!P8</f>
        <v>438.5333333333333</v>
      </c>
      <c r="R11" s="674">
        <f>SUM(C11:Q11)</f>
        <v>130291.35888307099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4592.8518402349837</v>
      </c>
      <c r="D13" s="979">
        <f>industrie!C18</f>
        <v>1285.7142857142858</v>
      </c>
      <c r="E13" s="979">
        <f>industrie!D18</f>
        <v>30466.297349771427</v>
      </c>
      <c r="F13" s="979">
        <f>industrie!E18</f>
        <v>313.68402333491503</v>
      </c>
      <c r="G13" s="979">
        <f>industrie!F18</f>
        <v>1013.6848442102244</v>
      </c>
      <c r="H13" s="979">
        <f>industrie!G18</f>
        <v>0</v>
      </c>
      <c r="I13" s="979">
        <f>industrie!H18</f>
        <v>0</v>
      </c>
      <c r="J13" s="979">
        <f>industrie!I18</f>
        <v>0</v>
      </c>
      <c r="K13" s="979">
        <f>industrie!J18</f>
        <v>9.1631560971813233</v>
      </c>
      <c r="L13" s="979">
        <f>industrie!K18</f>
        <v>0</v>
      </c>
      <c r="M13" s="979">
        <f>industrie!L18</f>
        <v>0</v>
      </c>
      <c r="N13" s="979">
        <f>industrie!M18</f>
        <v>0</v>
      </c>
      <c r="O13" s="979">
        <f>industrie!N18</f>
        <v>257.6053616792255</v>
      </c>
      <c r="P13" s="979">
        <f>industrie!O18</f>
        <v>0</v>
      </c>
      <c r="Q13" s="980">
        <f>industrie!P18</f>
        <v>0</v>
      </c>
      <c r="R13" s="674">
        <f>SUM(C13:Q13)</f>
        <v>37939.000861042245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46306.475802578847</v>
      </c>
      <c r="D16" s="706">
        <f t="shared" ref="D16:R16" ca="1" si="0">SUM(D9:D15)</f>
        <v>1285.7142857142858</v>
      </c>
      <c r="E16" s="706">
        <f t="shared" ca="1" si="0"/>
        <v>138661.74474639969</v>
      </c>
      <c r="F16" s="706">
        <f t="shared" si="0"/>
        <v>1343.7143594216896</v>
      </c>
      <c r="G16" s="706">
        <f t="shared" ca="1" si="0"/>
        <v>2953.7642812476579</v>
      </c>
      <c r="H16" s="706">
        <f t="shared" si="0"/>
        <v>0</v>
      </c>
      <c r="I16" s="706">
        <f t="shared" si="0"/>
        <v>0</v>
      </c>
      <c r="J16" s="706">
        <f t="shared" si="0"/>
        <v>0</v>
      </c>
      <c r="K16" s="706">
        <f t="shared" si="0"/>
        <v>9.1743088114231384</v>
      </c>
      <c r="L16" s="706">
        <f t="shared" si="0"/>
        <v>0</v>
      </c>
      <c r="M16" s="706">
        <f t="shared" ca="1" si="0"/>
        <v>0</v>
      </c>
      <c r="N16" s="706">
        <f t="shared" si="0"/>
        <v>0</v>
      </c>
      <c r="O16" s="706">
        <f t="shared" ca="1" si="0"/>
        <v>9213.823156673594</v>
      </c>
      <c r="P16" s="706">
        <f t="shared" si="0"/>
        <v>186.03666666666666</v>
      </c>
      <c r="Q16" s="706">
        <f t="shared" si="0"/>
        <v>476.66666666666663</v>
      </c>
      <c r="R16" s="706">
        <f t="shared" ca="1" si="0"/>
        <v>200437.11427418052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1569.5310065041331</v>
      </c>
      <c r="I19" s="979">
        <f>transport!H54</f>
        <v>0</v>
      </c>
      <c r="J19" s="979">
        <f>transport!I54</f>
        <v>0</v>
      </c>
      <c r="K19" s="979">
        <f>transport!J54</f>
        <v>0</v>
      </c>
      <c r="L19" s="979">
        <f>transport!K54</f>
        <v>0</v>
      </c>
      <c r="M19" s="979">
        <f>transport!L54</f>
        <v>0</v>
      </c>
      <c r="N19" s="979">
        <f>transport!M54</f>
        <v>89.135698611762024</v>
      </c>
      <c r="O19" s="979">
        <f>transport!N54</f>
        <v>0</v>
      </c>
      <c r="P19" s="979">
        <f>transport!O54</f>
        <v>0</v>
      </c>
      <c r="Q19" s="980">
        <f>transport!P54</f>
        <v>0</v>
      </c>
      <c r="R19" s="674">
        <f>SUM(C19:Q19)</f>
        <v>1658.6667051158952</v>
      </c>
      <c r="S19" s="67"/>
    </row>
    <row r="20" spans="1:19" s="447" customFormat="1">
      <c r="A20" s="783" t="s">
        <v>306</v>
      </c>
      <c r="B20" s="788"/>
      <c r="C20" s="979">
        <f>transport!B14</f>
        <v>39.146147813439839</v>
      </c>
      <c r="D20" s="979">
        <f>transport!C14</f>
        <v>0</v>
      </c>
      <c r="E20" s="979">
        <f>transport!D14</f>
        <v>105.46008933287192</v>
      </c>
      <c r="F20" s="979">
        <f>transport!E14</f>
        <v>204.02828969808991</v>
      </c>
      <c r="G20" s="979">
        <f>transport!F14</f>
        <v>0</v>
      </c>
      <c r="H20" s="979">
        <f>transport!G14</f>
        <v>108430.22937884058</v>
      </c>
      <c r="I20" s="979">
        <f>transport!H14</f>
        <v>18276.682833137143</v>
      </c>
      <c r="J20" s="979">
        <f>transport!I14</f>
        <v>0</v>
      </c>
      <c r="K20" s="979">
        <f>transport!J14</f>
        <v>0</v>
      </c>
      <c r="L20" s="979">
        <f>transport!K14</f>
        <v>0</v>
      </c>
      <c r="M20" s="979">
        <f>transport!L14</f>
        <v>0</v>
      </c>
      <c r="N20" s="979">
        <f>transport!M14</f>
        <v>6873.1459085175002</v>
      </c>
      <c r="O20" s="979">
        <f>transport!N14</f>
        <v>0</v>
      </c>
      <c r="P20" s="979">
        <f>transport!O14</f>
        <v>0</v>
      </c>
      <c r="Q20" s="980">
        <f>transport!P14</f>
        <v>0</v>
      </c>
      <c r="R20" s="674">
        <f>SUM(C20:Q20)</f>
        <v>133928.69264733963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39.146147813439839</v>
      </c>
      <c r="D22" s="786">
        <f t="shared" ref="D22:R22" si="1">SUM(D18:D21)</f>
        <v>0</v>
      </c>
      <c r="E22" s="786">
        <f t="shared" si="1"/>
        <v>105.46008933287192</v>
      </c>
      <c r="F22" s="786">
        <f t="shared" si="1"/>
        <v>204.02828969808991</v>
      </c>
      <c r="G22" s="786">
        <f t="shared" si="1"/>
        <v>0</v>
      </c>
      <c r="H22" s="786">
        <f t="shared" si="1"/>
        <v>109999.76038534471</v>
      </c>
      <c r="I22" s="786">
        <f t="shared" si="1"/>
        <v>18276.682833137143</v>
      </c>
      <c r="J22" s="786">
        <f t="shared" si="1"/>
        <v>0</v>
      </c>
      <c r="K22" s="786">
        <f t="shared" si="1"/>
        <v>0</v>
      </c>
      <c r="L22" s="786">
        <f t="shared" si="1"/>
        <v>0</v>
      </c>
      <c r="M22" s="786">
        <f t="shared" si="1"/>
        <v>0</v>
      </c>
      <c r="N22" s="786">
        <f t="shared" si="1"/>
        <v>6962.2816071292618</v>
      </c>
      <c r="O22" s="786">
        <f t="shared" si="1"/>
        <v>0</v>
      </c>
      <c r="P22" s="786">
        <f t="shared" si="1"/>
        <v>0</v>
      </c>
      <c r="Q22" s="786">
        <f t="shared" si="1"/>
        <v>0</v>
      </c>
      <c r="R22" s="786">
        <f t="shared" si="1"/>
        <v>135587.35935245553</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333.69201012764199</v>
      </c>
      <c r="D24" s="979">
        <f>+landbouw!C8</f>
        <v>0</v>
      </c>
      <c r="E24" s="979">
        <f>+landbouw!D8</f>
        <v>173.77300600000001</v>
      </c>
      <c r="F24" s="979">
        <f>+landbouw!E8</f>
        <v>9.8082273906894262</v>
      </c>
      <c r="G24" s="979">
        <f>+landbouw!F8</f>
        <v>1390.1428824219752</v>
      </c>
      <c r="H24" s="979">
        <f>+landbouw!G8</f>
        <v>0</v>
      </c>
      <c r="I24" s="979">
        <f>+landbouw!H8</f>
        <v>0</v>
      </c>
      <c r="J24" s="979">
        <f>+landbouw!I8</f>
        <v>0</v>
      </c>
      <c r="K24" s="979">
        <f>+landbouw!J8</f>
        <v>48.344806149548091</v>
      </c>
      <c r="L24" s="979">
        <f>+landbouw!K8</f>
        <v>0</v>
      </c>
      <c r="M24" s="979">
        <f>+landbouw!L8</f>
        <v>0</v>
      </c>
      <c r="N24" s="979">
        <f>+landbouw!M8</f>
        <v>0</v>
      </c>
      <c r="O24" s="979">
        <f>+landbouw!N8</f>
        <v>0</v>
      </c>
      <c r="P24" s="979">
        <f>+landbouw!O8</f>
        <v>0</v>
      </c>
      <c r="Q24" s="980">
        <f>+landbouw!P8</f>
        <v>0</v>
      </c>
      <c r="R24" s="674">
        <f>SUM(C24:Q24)</f>
        <v>1955.7609320898548</v>
      </c>
      <c r="S24" s="67"/>
    </row>
    <row r="25" spans="1:19" s="447" customFormat="1" ht="15" thickBot="1">
      <c r="A25" s="805" t="s">
        <v>823</v>
      </c>
      <c r="B25" s="982"/>
      <c r="C25" s="983">
        <f>IF(Onbekend_ele_kWh="---",0,Onbekend_ele_kWh)/1000+IF(REST_rest_ele_kWh="---",0,REST_rest_ele_kWh)/1000</f>
        <v>603.85850634928204</v>
      </c>
      <c r="D25" s="983"/>
      <c r="E25" s="983">
        <f>IF(onbekend_gas_kWh="---",0,onbekend_gas_kWh)/1000+IF(REST_rest_gas_kWh="---",0,REST_rest_gas_kWh)/1000</f>
        <v>1415.8393000000001</v>
      </c>
      <c r="F25" s="983"/>
      <c r="G25" s="983"/>
      <c r="H25" s="983"/>
      <c r="I25" s="983"/>
      <c r="J25" s="983"/>
      <c r="K25" s="983"/>
      <c r="L25" s="983"/>
      <c r="M25" s="983"/>
      <c r="N25" s="983"/>
      <c r="O25" s="983"/>
      <c r="P25" s="983"/>
      <c r="Q25" s="984"/>
      <c r="R25" s="674">
        <f>SUM(C25:Q25)</f>
        <v>2019.697806349282</v>
      </c>
      <c r="S25" s="67"/>
    </row>
    <row r="26" spans="1:19" s="447" customFormat="1" ht="15.75" thickBot="1">
      <c r="A26" s="679" t="s">
        <v>824</v>
      </c>
      <c r="B26" s="791"/>
      <c r="C26" s="786">
        <f>SUM(C24:C25)</f>
        <v>937.55051647692403</v>
      </c>
      <c r="D26" s="786">
        <f t="shared" ref="D26:R26" si="2">SUM(D24:D25)</f>
        <v>0</v>
      </c>
      <c r="E26" s="786">
        <f t="shared" si="2"/>
        <v>1589.612306</v>
      </c>
      <c r="F26" s="786">
        <f t="shared" si="2"/>
        <v>9.8082273906894262</v>
      </c>
      <c r="G26" s="786">
        <f t="shared" si="2"/>
        <v>1390.1428824219752</v>
      </c>
      <c r="H26" s="786">
        <f t="shared" si="2"/>
        <v>0</v>
      </c>
      <c r="I26" s="786">
        <f t="shared" si="2"/>
        <v>0</v>
      </c>
      <c r="J26" s="786">
        <f t="shared" si="2"/>
        <v>0</v>
      </c>
      <c r="K26" s="786">
        <f t="shared" si="2"/>
        <v>48.344806149548091</v>
      </c>
      <c r="L26" s="786">
        <f t="shared" si="2"/>
        <v>0</v>
      </c>
      <c r="M26" s="786">
        <f t="shared" si="2"/>
        <v>0</v>
      </c>
      <c r="N26" s="786">
        <f t="shared" si="2"/>
        <v>0</v>
      </c>
      <c r="O26" s="786">
        <f t="shared" si="2"/>
        <v>0</v>
      </c>
      <c r="P26" s="786">
        <f t="shared" si="2"/>
        <v>0</v>
      </c>
      <c r="Q26" s="786">
        <f t="shared" si="2"/>
        <v>0</v>
      </c>
      <c r="R26" s="786">
        <f t="shared" si="2"/>
        <v>3975.4587384391371</v>
      </c>
      <c r="S26" s="67"/>
    </row>
    <row r="27" spans="1:19" s="447" customFormat="1" ht="17.25" thickTop="1" thickBot="1">
      <c r="A27" s="680" t="s">
        <v>115</v>
      </c>
      <c r="B27" s="779"/>
      <c r="C27" s="681">
        <f ca="1">C22+C16+C26</f>
        <v>47283.172466869211</v>
      </c>
      <c r="D27" s="681">
        <f t="shared" ref="D27:R27" ca="1" si="3">D22+D16+D26</f>
        <v>1285.7142857142858</v>
      </c>
      <c r="E27" s="681">
        <f t="shared" ca="1" si="3"/>
        <v>140356.81714173255</v>
      </c>
      <c r="F27" s="681">
        <f t="shared" si="3"/>
        <v>1557.5508765104687</v>
      </c>
      <c r="G27" s="681">
        <f t="shared" ca="1" si="3"/>
        <v>4343.9071636696335</v>
      </c>
      <c r="H27" s="681">
        <f t="shared" si="3"/>
        <v>109999.76038534471</v>
      </c>
      <c r="I27" s="681">
        <f t="shared" si="3"/>
        <v>18276.682833137143</v>
      </c>
      <c r="J27" s="681">
        <f t="shared" si="3"/>
        <v>0</v>
      </c>
      <c r="K27" s="681">
        <f t="shared" si="3"/>
        <v>57.51911496097123</v>
      </c>
      <c r="L27" s="681">
        <f t="shared" si="3"/>
        <v>0</v>
      </c>
      <c r="M27" s="681">
        <f t="shared" ca="1" si="3"/>
        <v>0</v>
      </c>
      <c r="N27" s="681">
        <f t="shared" si="3"/>
        <v>6962.2816071292618</v>
      </c>
      <c r="O27" s="681">
        <f t="shared" ca="1" si="3"/>
        <v>9213.823156673594</v>
      </c>
      <c r="P27" s="681">
        <f t="shared" si="3"/>
        <v>186.03666666666666</v>
      </c>
      <c r="Q27" s="681">
        <f t="shared" si="3"/>
        <v>476.66666666666663</v>
      </c>
      <c r="R27" s="681">
        <f t="shared" ca="1" si="3"/>
        <v>339999.93236507522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2461.4381216296783</v>
      </c>
      <c r="D40" s="979">
        <f ca="1">tertiair!C20</f>
        <v>0</v>
      </c>
      <c r="E40" s="979">
        <f ca="1">tertiair!D20</f>
        <v>3504.8943153871242</v>
      </c>
      <c r="F40" s="979">
        <f>tertiair!E20</f>
        <v>45.346474642355673</v>
      </c>
      <c r="G40" s="979">
        <f ca="1">tertiair!F20</f>
        <v>518.00120968899489</v>
      </c>
      <c r="H40" s="979">
        <f>tertiair!G20</f>
        <v>0</v>
      </c>
      <c r="I40" s="979">
        <f>tertiair!H20</f>
        <v>0</v>
      </c>
      <c r="J40" s="979">
        <f>tertiair!I20</f>
        <v>0</v>
      </c>
      <c r="K40" s="979">
        <f>tertiair!J20</f>
        <v>3.9480608416024247E-3</v>
      </c>
      <c r="L40" s="979">
        <f>tertiair!K20</f>
        <v>0</v>
      </c>
      <c r="M40" s="979">
        <f ca="1">tertiair!L20</f>
        <v>0</v>
      </c>
      <c r="N40" s="979">
        <f>tertiair!M20</f>
        <v>0</v>
      </c>
      <c r="O40" s="979">
        <f ca="1">tertiair!N20</f>
        <v>0</v>
      </c>
      <c r="P40" s="979">
        <f>tertiair!O20</f>
        <v>0</v>
      </c>
      <c r="Q40" s="748">
        <f>tertiair!P20</f>
        <v>0</v>
      </c>
      <c r="R40" s="824">
        <f t="shared" ca="1" si="4"/>
        <v>6529.684069408996</v>
      </c>
    </row>
    <row r="41" spans="1:18">
      <c r="A41" s="796" t="s">
        <v>224</v>
      </c>
      <c r="B41" s="803"/>
      <c r="C41" s="979">
        <f ca="1">huishoudens!B12</f>
        <v>5939.1851921113384</v>
      </c>
      <c r="D41" s="979">
        <f ca="1">huishoudens!C12</f>
        <v>0</v>
      </c>
      <c r="E41" s="979">
        <f>huishoudens!D12</f>
        <v>18350.586058731784</v>
      </c>
      <c r="F41" s="979">
        <f>huishoudens!E12</f>
        <v>188.47041164934214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24478.241662492463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924.9452476357892</v>
      </c>
      <c r="D43" s="979">
        <f ca="1">industrie!C22</f>
        <v>305.54621848739504</v>
      </c>
      <c r="E43" s="979">
        <f>industrie!D22</f>
        <v>6154.1920646538283</v>
      </c>
      <c r="F43" s="979">
        <f>industrie!E22</f>
        <v>71.206273297025717</v>
      </c>
      <c r="G43" s="979">
        <f>industrie!F22</f>
        <v>270.6538534041299</v>
      </c>
      <c r="H43" s="979">
        <f>industrie!G22</f>
        <v>0</v>
      </c>
      <c r="I43" s="979">
        <f>industrie!H22</f>
        <v>0</v>
      </c>
      <c r="J43" s="979">
        <f>industrie!I22</f>
        <v>0</v>
      </c>
      <c r="K43" s="979">
        <f>industrie!J22</f>
        <v>3.2437572584021881</v>
      </c>
      <c r="L43" s="979">
        <f>industrie!K22</f>
        <v>0</v>
      </c>
      <c r="M43" s="979">
        <f>industrie!L22</f>
        <v>0</v>
      </c>
      <c r="N43" s="979">
        <f>industrie!M22</f>
        <v>0</v>
      </c>
      <c r="O43" s="979">
        <f>industrie!N22</f>
        <v>0</v>
      </c>
      <c r="P43" s="979">
        <f>industrie!O22</f>
        <v>0</v>
      </c>
      <c r="Q43" s="748">
        <f>industrie!P22</f>
        <v>0</v>
      </c>
      <c r="R43" s="823">
        <f t="shared" ca="1" si="4"/>
        <v>7729.7874147365701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9325.5685613768055</v>
      </c>
      <c r="D46" s="706">
        <f t="shared" ref="D46:Q46" ca="1" si="5">SUM(D39:D45)</f>
        <v>305.54621848739504</v>
      </c>
      <c r="E46" s="706">
        <f t="shared" ca="1" si="5"/>
        <v>28009.672438772737</v>
      </c>
      <c r="F46" s="706">
        <f t="shared" si="5"/>
        <v>305.0231595887235</v>
      </c>
      <c r="G46" s="706">
        <f t="shared" ca="1" si="5"/>
        <v>788.6550630931248</v>
      </c>
      <c r="H46" s="706">
        <f t="shared" si="5"/>
        <v>0</v>
      </c>
      <c r="I46" s="706">
        <f t="shared" si="5"/>
        <v>0</v>
      </c>
      <c r="J46" s="706">
        <f t="shared" si="5"/>
        <v>0</v>
      </c>
      <c r="K46" s="706">
        <f t="shared" si="5"/>
        <v>3.2477053192437904</v>
      </c>
      <c r="L46" s="706">
        <f t="shared" si="5"/>
        <v>0</v>
      </c>
      <c r="M46" s="706">
        <f t="shared" ca="1" si="5"/>
        <v>0</v>
      </c>
      <c r="N46" s="706">
        <f t="shared" si="5"/>
        <v>0</v>
      </c>
      <c r="O46" s="706">
        <f t="shared" ca="1" si="5"/>
        <v>0</v>
      </c>
      <c r="P46" s="706">
        <f t="shared" si="5"/>
        <v>0</v>
      </c>
      <c r="Q46" s="706">
        <f t="shared" si="5"/>
        <v>0</v>
      </c>
      <c r="R46" s="706">
        <f ca="1">SUM(R39:R45)</f>
        <v>38737.713146638031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419.06477873660356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419.06477873660356</v>
      </c>
    </row>
    <row r="50" spans="1:18">
      <c r="A50" s="799" t="s">
        <v>306</v>
      </c>
      <c r="B50" s="809"/>
      <c r="C50" s="677">
        <f ca="1">transport!B18</f>
        <v>7.8835644263754023</v>
      </c>
      <c r="D50" s="677">
        <f>transport!C18</f>
        <v>0</v>
      </c>
      <c r="E50" s="677">
        <f>transport!D18</f>
        <v>21.302938045240129</v>
      </c>
      <c r="F50" s="677">
        <f>transport!E18</f>
        <v>46.314421761466413</v>
      </c>
      <c r="G50" s="677">
        <f>transport!F18</f>
        <v>0</v>
      </c>
      <c r="H50" s="677">
        <f>transport!G18</f>
        <v>28950.871244150436</v>
      </c>
      <c r="I50" s="677">
        <f>transport!H18</f>
        <v>4550.894025451149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33577.266193834665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7.8835644263754023</v>
      </c>
      <c r="D52" s="706">
        <f t="shared" ref="D52:Q52" ca="1" si="6">SUM(D48:D51)</f>
        <v>0</v>
      </c>
      <c r="E52" s="706">
        <f t="shared" si="6"/>
        <v>21.302938045240129</v>
      </c>
      <c r="F52" s="706">
        <f t="shared" si="6"/>
        <v>46.314421761466413</v>
      </c>
      <c r="G52" s="706">
        <f t="shared" si="6"/>
        <v>0</v>
      </c>
      <c r="H52" s="706">
        <f t="shared" si="6"/>
        <v>29369.936022887039</v>
      </c>
      <c r="I52" s="706">
        <f t="shared" si="6"/>
        <v>4550.894025451149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33996.330972571268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67.201566625281089</v>
      </c>
      <c r="D54" s="677">
        <f ca="1">+landbouw!C12</f>
        <v>0</v>
      </c>
      <c r="E54" s="677">
        <f>+landbouw!D12</f>
        <v>35.102147212000006</v>
      </c>
      <c r="F54" s="677">
        <f>+landbouw!E12</f>
        <v>2.2264676176864997</v>
      </c>
      <c r="G54" s="677">
        <f>+landbouw!F12</f>
        <v>371.16814960666738</v>
      </c>
      <c r="H54" s="677">
        <f>+landbouw!G12</f>
        <v>0</v>
      </c>
      <c r="I54" s="677">
        <f>+landbouw!H12</f>
        <v>0</v>
      </c>
      <c r="J54" s="677">
        <f>+landbouw!I12</f>
        <v>0</v>
      </c>
      <c r="K54" s="677">
        <f>+landbouw!J12</f>
        <v>17.114061376940022</v>
      </c>
      <c r="L54" s="677">
        <f>+landbouw!K12</f>
        <v>0</v>
      </c>
      <c r="M54" s="677">
        <f>+landbouw!L12</f>
        <v>0</v>
      </c>
      <c r="N54" s="677">
        <f>+landbouw!M12</f>
        <v>0</v>
      </c>
      <c r="O54" s="677">
        <f>+landbouw!N12</f>
        <v>0</v>
      </c>
      <c r="P54" s="677">
        <f>+landbouw!O12</f>
        <v>0</v>
      </c>
      <c r="Q54" s="678">
        <f>+landbouw!P12</f>
        <v>0</v>
      </c>
      <c r="R54" s="705">
        <f ca="1">SUM(C54:Q54)</f>
        <v>492.81239243857499</v>
      </c>
    </row>
    <row r="55" spans="1:18" ht="15" thickBot="1">
      <c r="A55" s="799" t="s">
        <v>823</v>
      </c>
      <c r="B55" s="809"/>
      <c r="C55" s="677">
        <f ca="1">C25*'EF ele_warmte'!B12</f>
        <v>121.60985703898477</v>
      </c>
      <c r="D55" s="677"/>
      <c r="E55" s="677">
        <f>E25*EF_CO2_aardgas</f>
        <v>285.99953860000005</v>
      </c>
      <c r="F55" s="677"/>
      <c r="G55" s="677"/>
      <c r="H55" s="677"/>
      <c r="I55" s="677"/>
      <c r="J55" s="677"/>
      <c r="K55" s="677"/>
      <c r="L55" s="677"/>
      <c r="M55" s="677"/>
      <c r="N55" s="677"/>
      <c r="O55" s="677"/>
      <c r="P55" s="677"/>
      <c r="Q55" s="678"/>
      <c r="R55" s="705">
        <f ca="1">SUM(C55:Q55)</f>
        <v>407.60939563898484</v>
      </c>
    </row>
    <row r="56" spans="1:18" ht="15.75" thickBot="1">
      <c r="A56" s="797" t="s">
        <v>824</v>
      </c>
      <c r="B56" s="810"/>
      <c r="C56" s="706">
        <f ca="1">SUM(C54:C55)</f>
        <v>188.81142366426587</v>
      </c>
      <c r="D56" s="706">
        <f t="shared" ref="D56:Q56" ca="1" si="7">SUM(D54:D55)</f>
        <v>0</v>
      </c>
      <c r="E56" s="706">
        <f t="shared" si="7"/>
        <v>321.10168581200003</v>
      </c>
      <c r="F56" s="706">
        <f t="shared" si="7"/>
        <v>2.2264676176864997</v>
      </c>
      <c r="G56" s="706">
        <f t="shared" si="7"/>
        <v>371.16814960666738</v>
      </c>
      <c r="H56" s="706">
        <f t="shared" si="7"/>
        <v>0</v>
      </c>
      <c r="I56" s="706">
        <f t="shared" si="7"/>
        <v>0</v>
      </c>
      <c r="J56" s="706">
        <f t="shared" si="7"/>
        <v>0</v>
      </c>
      <c r="K56" s="706">
        <f t="shared" si="7"/>
        <v>17.114061376940022</v>
      </c>
      <c r="L56" s="706">
        <f t="shared" si="7"/>
        <v>0</v>
      </c>
      <c r="M56" s="706">
        <f t="shared" si="7"/>
        <v>0</v>
      </c>
      <c r="N56" s="706">
        <f t="shared" si="7"/>
        <v>0</v>
      </c>
      <c r="O56" s="706">
        <f t="shared" si="7"/>
        <v>0</v>
      </c>
      <c r="P56" s="706">
        <f t="shared" si="7"/>
        <v>0</v>
      </c>
      <c r="Q56" s="707">
        <f t="shared" si="7"/>
        <v>0</v>
      </c>
      <c r="R56" s="708">
        <f ca="1">SUM(R54:R55)</f>
        <v>900.42178807755977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9522.263549467445</v>
      </c>
      <c r="D61" s="714">
        <f t="shared" ref="D61:Q61" ca="1" si="8">D46+D52+D56</f>
        <v>305.54621848739504</v>
      </c>
      <c r="E61" s="714">
        <f t="shared" ca="1" si="8"/>
        <v>28352.077062629975</v>
      </c>
      <c r="F61" s="714">
        <f t="shared" si="8"/>
        <v>353.56404896787643</v>
      </c>
      <c r="G61" s="714">
        <f t="shared" ca="1" si="8"/>
        <v>1159.8232126997923</v>
      </c>
      <c r="H61" s="714">
        <f t="shared" si="8"/>
        <v>29369.936022887039</v>
      </c>
      <c r="I61" s="714">
        <f t="shared" si="8"/>
        <v>4550.894025451149</v>
      </c>
      <c r="J61" s="714">
        <f t="shared" si="8"/>
        <v>0</v>
      </c>
      <c r="K61" s="714">
        <f t="shared" si="8"/>
        <v>20.361766696183814</v>
      </c>
      <c r="L61" s="714">
        <f t="shared" si="8"/>
        <v>0</v>
      </c>
      <c r="M61" s="714">
        <f t="shared" ca="1" si="8"/>
        <v>0</v>
      </c>
      <c r="N61" s="714">
        <f t="shared" si="8"/>
        <v>0</v>
      </c>
      <c r="O61" s="714">
        <f t="shared" ca="1" si="8"/>
        <v>0</v>
      </c>
      <c r="P61" s="714">
        <f t="shared" si="8"/>
        <v>0</v>
      </c>
      <c r="Q61" s="714">
        <f t="shared" si="8"/>
        <v>0</v>
      </c>
      <c r="R61" s="714">
        <f ca="1">R46+R52+R56</f>
        <v>73634.465907286853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0.20138800026879727</v>
      </c>
      <c r="D63" s="755">
        <f t="shared" ca="1" si="9"/>
        <v>0.23764705882352946</v>
      </c>
      <c r="E63" s="990">
        <f t="shared" ca="1" si="9"/>
        <v>0.20199999999999999</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4263.8005368860895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900</v>
      </c>
      <c r="D76" s="1000">
        <f>'lokale energieproductie'!C8</f>
        <v>1058.8235294117646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213.88235294117646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4263.8005368860895</v>
      </c>
      <c r="C78" s="729">
        <f>SUM(C72:C77)</f>
        <v>900</v>
      </c>
      <c r="D78" s="730">
        <f t="shared" ref="D78:H78" si="10">SUM(D76:D77)</f>
        <v>1058.8235294117646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213.88235294117646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1285.7142857142858</v>
      </c>
      <c r="D87" s="751">
        <f>'lokale energieproductie'!C17</f>
        <v>1512.6050420168069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305.54621848739504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1285.7142857142858</v>
      </c>
      <c r="D90" s="729">
        <f t="shared" ref="D90:H90" si="12">SUM(D87:D89)</f>
        <v>1512.6050420168069</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305.54621848739504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4263.8005368860895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900</v>
      </c>
      <c r="C8" s="544">
        <f>B48</f>
        <v>1058.8235294117646</v>
      </c>
      <c r="D8" s="1010"/>
      <c r="E8" s="1010">
        <f>E48</f>
        <v>0</v>
      </c>
      <c r="F8" s="1011"/>
      <c r="G8" s="545"/>
      <c r="H8" s="1010">
        <f>I48</f>
        <v>0</v>
      </c>
      <c r="I8" s="1010">
        <f>G48+F48</f>
        <v>0</v>
      </c>
      <c r="J8" s="1010">
        <f>H48+D48+C48</f>
        <v>0</v>
      </c>
      <c r="K8" s="1010"/>
      <c r="L8" s="1010"/>
      <c r="M8" s="1010"/>
      <c r="N8" s="546"/>
      <c r="O8" s="547">
        <f>C8*$C$12+D8*$D$12+E8*$E$12+F8*$F$12+G8*$G$12+H8*$H$12+I8*$I$12+J8*$J$12</f>
        <v>213.88235294117646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5163.8005368860895</v>
      </c>
      <c r="C10" s="557">
        <f t="shared" ref="C10:L10" si="0">SUM(C8:C9)</f>
        <v>1058.8235294117646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213.88235294117646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1285.7142857142858</v>
      </c>
      <c r="C17" s="569">
        <f>B49</f>
        <v>1512.6050420168069</v>
      </c>
      <c r="D17" s="570"/>
      <c r="E17" s="570">
        <f>E49</f>
        <v>0</v>
      </c>
      <c r="F17" s="1016"/>
      <c r="G17" s="571"/>
      <c r="H17" s="569">
        <f>I49</f>
        <v>0</v>
      </c>
      <c r="I17" s="570">
        <f>G49+F49</f>
        <v>0</v>
      </c>
      <c r="J17" s="570">
        <f>H49+D49+C49</f>
        <v>0</v>
      </c>
      <c r="K17" s="570"/>
      <c r="L17" s="570"/>
      <c r="M17" s="570"/>
      <c r="N17" s="1017"/>
      <c r="O17" s="572">
        <f>C17*$C$22+E17*$E$22+H17*$H$22+I17*$I$22+J17*$J$22+D17*$D$22+F17*$F$22+G17*$G$22+K17*$K$22+L17*$L$22</f>
        <v>305.54621848739504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1285.7142857142858</v>
      </c>
      <c r="C20" s="556">
        <f>SUM(C17:C19)</f>
        <v>1512.6050420168069</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305.54621848739504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11044</v>
      </c>
      <c r="C28" s="770">
        <v>2940</v>
      </c>
      <c r="D28" s="627" t="s">
        <v>887</v>
      </c>
      <c r="E28" s="626" t="s">
        <v>888</v>
      </c>
      <c r="F28" s="626" t="s">
        <v>889</v>
      </c>
      <c r="G28" s="626" t="s">
        <v>890</v>
      </c>
      <c r="H28" s="626" t="s">
        <v>891</v>
      </c>
      <c r="I28" s="626" t="s">
        <v>888</v>
      </c>
      <c r="J28" s="769">
        <v>41754</v>
      </c>
      <c r="K28" s="769">
        <v>41754</v>
      </c>
      <c r="L28" s="626" t="s">
        <v>892</v>
      </c>
      <c r="M28" s="626">
        <v>200</v>
      </c>
      <c r="N28" s="626">
        <v>900</v>
      </c>
      <c r="O28" s="626">
        <v>1285.7142857142858</v>
      </c>
      <c r="P28" s="626">
        <v>2571.4285714285716</v>
      </c>
      <c r="Q28" s="626">
        <v>0</v>
      </c>
      <c r="R28" s="626">
        <v>0</v>
      </c>
      <c r="S28" s="626">
        <v>0</v>
      </c>
      <c r="T28" s="626">
        <v>0</v>
      </c>
      <c r="U28" s="626">
        <v>0</v>
      </c>
      <c r="V28" s="626">
        <v>0</v>
      </c>
      <c r="W28" s="626">
        <v>0</v>
      </c>
      <c r="X28" s="626">
        <v>501</v>
      </c>
      <c r="Y28" s="626" t="s">
        <v>40</v>
      </c>
      <c r="Z28" s="628" t="s">
        <v>388</v>
      </c>
    </row>
    <row r="29" spans="1:26" s="564" customFormat="1">
      <c r="A29" s="582" t="s">
        <v>279</v>
      </c>
      <c r="B29" s="583"/>
      <c r="C29" s="583"/>
      <c r="D29" s="583"/>
      <c r="E29" s="583"/>
      <c r="F29" s="583"/>
      <c r="G29" s="583"/>
      <c r="H29" s="583"/>
      <c r="I29" s="583"/>
      <c r="J29" s="583"/>
      <c r="K29" s="583"/>
      <c r="L29" s="584"/>
      <c r="M29" s="584">
        <f>SUM(M28:M28)</f>
        <v>200</v>
      </c>
      <c r="N29" s="584">
        <f>SUM(N28:N28)</f>
        <v>900</v>
      </c>
      <c r="O29" s="584">
        <f>SUM(O28:O28)</f>
        <v>1285.7142857142858</v>
      </c>
      <c r="P29" s="584">
        <f>SUM(P28:P28)</f>
        <v>2571.4285714285716</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200</v>
      </c>
      <c r="N30" s="584">
        <f>SUMIF($Z$28:$Z$28,"industrie",N28:N28)</f>
        <v>900</v>
      </c>
      <c r="O30" s="584">
        <f>SUMIF($Z$28:$Z$28,"industrie",O28:O28)</f>
        <v>1285.7142857142858</v>
      </c>
      <c r="P30" s="584">
        <f>SUMIF($Z$28:$Z$28,"industrie",P28:P28)</f>
        <v>2571.4285714285716</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1058.8235294117646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1512.6050420168069</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29491.256600116034</v>
      </c>
      <c r="C4" s="451">
        <f>huishoudens!C8</f>
        <v>0</v>
      </c>
      <c r="D4" s="451">
        <f>huishoudens!D8</f>
        <v>90844.485439266253</v>
      </c>
      <c r="E4" s="451">
        <f>huishoudens!E8</f>
        <v>830.26613061384194</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8500.7807130748624</v>
      </c>
      <c r="O4" s="451">
        <f>huishoudens!O8</f>
        <v>186.03666666666666</v>
      </c>
      <c r="P4" s="452">
        <f>huishoudens!P8</f>
        <v>438.5333333333333</v>
      </c>
      <c r="Q4" s="453">
        <f>SUM(B4:P4)</f>
        <v>130291.35888307099</v>
      </c>
    </row>
    <row r="5" spans="1:17">
      <c r="A5" s="450" t="s">
        <v>155</v>
      </c>
      <c r="B5" s="451">
        <f ca="1">tertiair!B16</f>
        <v>11350.764362227832</v>
      </c>
      <c r="C5" s="451">
        <f ca="1">tertiair!C16</f>
        <v>0</v>
      </c>
      <c r="D5" s="451">
        <f ca="1">tertiair!D16</f>
        <v>17350.961957362</v>
      </c>
      <c r="E5" s="451">
        <f>tertiair!E16</f>
        <v>199.76420547293247</v>
      </c>
      <c r="F5" s="451">
        <f ca="1">tertiair!F16</f>
        <v>1940.0794370374338</v>
      </c>
      <c r="G5" s="451">
        <f>tertiair!G16</f>
        <v>0</v>
      </c>
      <c r="H5" s="451">
        <f>tertiair!H16</f>
        <v>0</v>
      </c>
      <c r="I5" s="451">
        <f>tertiair!I16</f>
        <v>0</v>
      </c>
      <c r="J5" s="451">
        <f>tertiair!J16</f>
        <v>1.115271424181476E-2</v>
      </c>
      <c r="K5" s="451">
        <f>tertiair!K16</f>
        <v>0</v>
      </c>
      <c r="L5" s="451">
        <f ca="1">tertiair!L16</f>
        <v>0</v>
      </c>
      <c r="M5" s="451">
        <f>tertiair!M16</f>
        <v>0</v>
      </c>
      <c r="N5" s="451">
        <f ca="1">tertiair!N16</f>
        <v>455.43708191950731</v>
      </c>
      <c r="O5" s="451">
        <f>tertiair!O16</f>
        <v>0</v>
      </c>
      <c r="P5" s="452">
        <f>tertiair!P16</f>
        <v>38.133333333333333</v>
      </c>
      <c r="Q5" s="450">
        <f t="shared" ref="Q5:Q14" ca="1" si="0">SUM(B5:P5)</f>
        <v>31335.151530067287</v>
      </c>
    </row>
    <row r="6" spans="1:17">
      <c r="A6" s="450" t="s">
        <v>193</v>
      </c>
      <c r="B6" s="451">
        <f>'openbare verlichting'!B8</f>
        <v>871.60299999999995</v>
      </c>
      <c r="C6" s="451"/>
      <c r="D6" s="451"/>
      <c r="E6" s="451"/>
      <c r="F6" s="451"/>
      <c r="G6" s="451"/>
      <c r="H6" s="451"/>
      <c r="I6" s="451"/>
      <c r="J6" s="451"/>
      <c r="K6" s="451"/>
      <c r="L6" s="451"/>
      <c r="M6" s="451"/>
      <c r="N6" s="451"/>
      <c r="O6" s="451"/>
      <c r="P6" s="452"/>
      <c r="Q6" s="450">
        <f t="shared" si="0"/>
        <v>871.60299999999995</v>
      </c>
    </row>
    <row r="7" spans="1:17">
      <c r="A7" s="450" t="s">
        <v>111</v>
      </c>
      <c r="B7" s="451">
        <f>landbouw!B8</f>
        <v>333.69201012764199</v>
      </c>
      <c r="C7" s="451">
        <f>landbouw!C8</f>
        <v>0</v>
      </c>
      <c r="D7" s="451">
        <f>landbouw!D8</f>
        <v>173.77300600000001</v>
      </c>
      <c r="E7" s="451">
        <f>landbouw!E8</f>
        <v>9.8082273906894262</v>
      </c>
      <c r="F7" s="451">
        <f>landbouw!F8</f>
        <v>1390.1428824219752</v>
      </c>
      <c r="G7" s="451">
        <f>landbouw!G8</f>
        <v>0</v>
      </c>
      <c r="H7" s="451">
        <f>landbouw!H8</f>
        <v>0</v>
      </c>
      <c r="I7" s="451">
        <f>landbouw!I8</f>
        <v>0</v>
      </c>
      <c r="J7" s="451">
        <f>landbouw!J8</f>
        <v>48.344806149548091</v>
      </c>
      <c r="K7" s="451">
        <f>landbouw!K8</f>
        <v>0</v>
      </c>
      <c r="L7" s="451">
        <f>landbouw!L8</f>
        <v>0</v>
      </c>
      <c r="M7" s="451">
        <f>landbouw!M8</f>
        <v>0</v>
      </c>
      <c r="N7" s="451">
        <f>landbouw!N8</f>
        <v>0</v>
      </c>
      <c r="O7" s="451">
        <f>landbouw!O8</f>
        <v>0</v>
      </c>
      <c r="P7" s="452">
        <f>landbouw!P8</f>
        <v>0</v>
      </c>
      <c r="Q7" s="450">
        <f t="shared" si="0"/>
        <v>1955.7609320898548</v>
      </c>
    </row>
    <row r="8" spans="1:17">
      <c r="A8" s="450" t="s">
        <v>634</v>
      </c>
      <c r="B8" s="451">
        <f>industrie!B18</f>
        <v>4592.8518402349837</v>
      </c>
      <c r="C8" s="451">
        <f>industrie!C18</f>
        <v>1285.7142857142858</v>
      </c>
      <c r="D8" s="451">
        <f>industrie!D18</f>
        <v>30466.297349771427</v>
      </c>
      <c r="E8" s="451">
        <f>industrie!E18</f>
        <v>313.68402333491503</v>
      </c>
      <c r="F8" s="451">
        <f>industrie!F18</f>
        <v>1013.6848442102244</v>
      </c>
      <c r="G8" s="451">
        <f>industrie!G18</f>
        <v>0</v>
      </c>
      <c r="H8" s="451">
        <f>industrie!H18</f>
        <v>0</v>
      </c>
      <c r="I8" s="451">
        <f>industrie!I18</f>
        <v>0</v>
      </c>
      <c r="J8" s="451">
        <f>industrie!J18</f>
        <v>9.1631560971813233</v>
      </c>
      <c r="K8" s="451">
        <f>industrie!K18</f>
        <v>0</v>
      </c>
      <c r="L8" s="451">
        <f>industrie!L18</f>
        <v>0</v>
      </c>
      <c r="M8" s="451">
        <f>industrie!M18</f>
        <v>0</v>
      </c>
      <c r="N8" s="451">
        <f>industrie!N18</f>
        <v>257.6053616792255</v>
      </c>
      <c r="O8" s="451">
        <f>industrie!O18</f>
        <v>0</v>
      </c>
      <c r="P8" s="452">
        <f>industrie!P18</f>
        <v>0</v>
      </c>
      <c r="Q8" s="450">
        <f t="shared" si="0"/>
        <v>37939.000861042245</v>
      </c>
    </row>
    <row r="9" spans="1:17" s="456" customFormat="1">
      <c r="A9" s="454" t="s">
        <v>560</v>
      </c>
      <c r="B9" s="455">
        <f>transport!B14</f>
        <v>39.146147813439839</v>
      </c>
      <c r="C9" s="455">
        <f>transport!C14</f>
        <v>0</v>
      </c>
      <c r="D9" s="455">
        <f>transport!D14</f>
        <v>105.46008933287192</v>
      </c>
      <c r="E9" s="455">
        <f>transport!E14</f>
        <v>204.02828969808991</v>
      </c>
      <c r="F9" s="455">
        <f>transport!F14</f>
        <v>0</v>
      </c>
      <c r="G9" s="455">
        <f>transport!G14</f>
        <v>108430.22937884058</v>
      </c>
      <c r="H9" s="455">
        <f>transport!H14</f>
        <v>18276.682833137143</v>
      </c>
      <c r="I9" s="455">
        <f>transport!I14</f>
        <v>0</v>
      </c>
      <c r="J9" s="455">
        <f>transport!J14</f>
        <v>0</v>
      </c>
      <c r="K9" s="455">
        <f>transport!K14</f>
        <v>0</v>
      </c>
      <c r="L9" s="455">
        <f>transport!L14</f>
        <v>0</v>
      </c>
      <c r="M9" s="455">
        <f>transport!M14</f>
        <v>6873.1459085175002</v>
      </c>
      <c r="N9" s="455">
        <f>transport!N14</f>
        <v>0</v>
      </c>
      <c r="O9" s="455">
        <f>transport!O14</f>
        <v>0</v>
      </c>
      <c r="P9" s="455">
        <f>transport!P14</f>
        <v>0</v>
      </c>
      <c r="Q9" s="454">
        <f>SUM(B9:P9)</f>
        <v>133928.69264733963</v>
      </c>
    </row>
    <row r="10" spans="1:17">
      <c r="A10" s="450" t="s">
        <v>550</v>
      </c>
      <c r="B10" s="451">
        <f>transport!B54</f>
        <v>0</v>
      </c>
      <c r="C10" s="451">
        <f>transport!C54</f>
        <v>0</v>
      </c>
      <c r="D10" s="451">
        <f>transport!D54</f>
        <v>0</v>
      </c>
      <c r="E10" s="451">
        <f>transport!E54</f>
        <v>0</v>
      </c>
      <c r="F10" s="451">
        <f>transport!F54</f>
        <v>0</v>
      </c>
      <c r="G10" s="451">
        <f>transport!G54</f>
        <v>1569.5310065041331</v>
      </c>
      <c r="H10" s="451">
        <f>transport!H54</f>
        <v>0</v>
      </c>
      <c r="I10" s="451">
        <f>transport!I54</f>
        <v>0</v>
      </c>
      <c r="J10" s="451">
        <f>transport!J54</f>
        <v>0</v>
      </c>
      <c r="K10" s="451">
        <f>transport!K54</f>
        <v>0</v>
      </c>
      <c r="L10" s="451">
        <f>transport!L54</f>
        <v>0</v>
      </c>
      <c r="M10" s="451">
        <f>transport!M54</f>
        <v>89.135698611762024</v>
      </c>
      <c r="N10" s="451">
        <f>transport!N54</f>
        <v>0</v>
      </c>
      <c r="O10" s="451">
        <f>transport!O54</f>
        <v>0</v>
      </c>
      <c r="P10" s="452">
        <f>transport!P54</f>
        <v>0</v>
      </c>
      <c r="Q10" s="450">
        <f t="shared" si="0"/>
        <v>1658.6667051158952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603.85850634928204</v>
      </c>
      <c r="C14" s="458"/>
      <c r="D14" s="458">
        <f>'SEAP template'!E25</f>
        <v>1415.8393000000001</v>
      </c>
      <c r="E14" s="458"/>
      <c r="F14" s="458"/>
      <c r="G14" s="458"/>
      <c r="H14" s="458"/>
      <c r="I14" s="458"/>
      <c r="J14" s="458"/>
      <c r="K14" s="458"/>
      <c r="L14" s="458"/>
      <c r="M14" s="458"/>
      <c r="N14" s="458"/>
      <c r="O14" s="458"/>
      <c r="P14" s="459"/>
      <c r="Q14" s="450">
        <f t="shared" si="0"/>
        <v>2019.697806349282</v>
      </c>
    </row>
    <row r="15" spans="1:17" s="460" customFormat="1">
      <c r="A15" s="1005" t="s">
        <v>554</v>
      </c>
      <c r="B15" s="953">
        <f ca="1">SUM(B4:B14)</f>
        <v>47283.172466869211</v>
      </c>
      <c r="C15" s="953">
        <f t="shared" ref="C15:Q15" ca="1" si="1">SUM(C4:C14)</f>
        <v>1285.7142857142858</v>
      </c>
      <c r="D15" s="953">
        <f t="shared" ca="1" si="1"/>
        <v>140356.81714173252</v>
      </c>
      <c r="E15" s="953">
        <f t="shared" si="1"/>
        <v>1557.5508765104687</v>
      </c>
      <c r="F15" s="953">
        <f t="shared" ca="1" si="1"/>
        <v>4343.9071636696335</v>
      </c>
      <c r="G15" s="953">
        <f t="shared" si="1"/>
        <v>109999.76038534471</v>
      </c>
      <c r="H15" s="953">
        <f t="shared" si="1"/>
        <v>18276.682833137143</v>
      </c>
      <c r="I15" s="953">
        <f t="shared" si="1"/>
        <v>0</v>
      </c>
      <c r="J15" s="953">
        <f t="shared" si="1"/>
        <v>57.51911496097123</v>
      </c>
      <c r="K15" s="953">
        <f t="shared" si="1"/>
        <v>0</v>
      </c>
      <c r="L15" s="953">
        <f t="shared" ca="1" si="1"/>
        <v>0</v>
      </c>
      <c r="M15" s="953">
        <f t="shared" si="1"/>
        <v>6962.2816071292618</v>
      </c>
      <c r="N15" s="953">
        <f t="shared" ca="1" si="1"/>
        <v>9213.823156673594</v>
      </c>
      <c r="O15" s="953">
        <f t="shared" si="1"/>
        <v>186.03666666666666</v>
      </c>
      <c r="P15" s="953">
        <f t="shared" si="1"/>
        <v>476.66666666666663</v>
      </c>
      <c r="Q15" s="953">
        <f t="shared" ca="1" si="1"/>
        <v>339999.93236507516</v>
      </c>
    </row>
    <row r="17" spans="1:17">
      <c r="A17" s="461" t="s">
        <v>555</v>
      </c>
      <c r="B17" s="760">
        <f ca="1">huishoudens!B10</f>
        <v>0.20138800026879733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5939.1851921113384</v>
      </c>
      <c r="C22" s="451">
        <f t="shared" ref="C22:C32" ca="1" si="3">C4*$C$17</f>
        <v>0</v>
      </c>
      <c r="D22" s="451">
        <f t="shared" ref="D22:D32" si="4">D4*$D$17</f>
        <v>18350.586058731784</v>
      </c>
      <c r="E22" s="451">
        <f t="shared" ref="E22:E32" si="5">E4*$E$17</f>
        <v>188.47041164934214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24478.241662492463</v>
      </c>
    </row>
    <row r="23" spans="1:17">
      <c r="A23" s="450" t="s">
        <v>155</v>
      </c>
      <c r="B23" s="451">
        <f t="shared" ca="1" si="2"/>
        <v>2285.9077364313939</v>
      </c>
      <c r="C23" s="451">
        <f t="shared" ca="1" si="3"/>
        <v>0</v>
      </c>
      <c r="D23" s="451">
        <f t="shared" ca="1" si="4"/>
        <v>3504.8943153871242</v>
      </c>
      <c r="E23" s="451">
        <f t="shared" si="5"/>
        <v>45.346474642355673</v>
      </c>
      <c r="F23" s="451">
        <f t="shared" ca="1" si="6"/>
        <v>518.00120968899489</v>
      </c>
      <c r="G23" s="451">
        <f t="shared" si="7"/>
        <v>0</v>
      </c>
      <c r="H23" s="451">
        <f t="shared" si="8"/>
        <v>0</v>
      </c>
      <c r="I23" s="451">
        <f t="shared" si="9"/>
        <v>0</v>
      </c>
      <c r="J23" s="451">
        <f t="shared" si="10"/>
        <v>3.9480608416024247E-3</v>
      </c>
      <c r="K23" s="451">
        <f t="shared" si="11"/>
        <v>0</v>
      </c>
      <c r="L23" s="451">
        <f t="shared" ca="1" si="12"/>
        <v>0</v>
      </c>
      <c r="M23" s="451">
        <f t="shared" si="13"/>
        <v>0</v>
      </c>
      <c r="N23" s="451">
        <f t="shared" ca="1" si="14"/>
        <v>0</v>
      </c>
      <c r="O23" s="451">
        <f t="shared" si="15"/>
        <v>0</v>
      </c>
      <c r="P23" s="452">
        <f t="shared" si="16"/>
        <v>0</v>
      </c>
      <c r="Q23" s="450">
        <f t="shared" ref="Q23:Q32" ca="1" si="17">SUM(B23:P23)</f>
        <v>6354.1536842107116</v>
      </c>
    </row>
    <row r="24" spans="1:17">
      <c r="A24" s="450" t="s">
        <v>193</v>
      </c>
      <c r="B24" s="451">
        <f t="shared" ca="1" si="2"/>
        <v>175.53038519828456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175.53038519828456</v>
      </c>
    </row>
    <row r="25" spans="1:17">
      <c r="A25" s="450" t="s">
        <v>111</v>
      </c>
      <c r="B25" s="451">
        <f t="shared" ca="1" si="2"/>
        <v>67.201566625281089</v>
      </c>
      <c r="C25" s="451">
        <f t="shared" ca="1" si="3"/>
        <v>0</v>
      </c>
      <c r="D25" s="451">
        <f t="shared" si="4"/>
        <v>35.102147212000006</v>
      </c>
      <c r="E25" s="451">
        <f t="shared" si="5"/>
        <v>2.2264676176864997</v>
      </c>
      <c r="F25" s="451">
        <f t="shared" si="6"/>
        <v>371.16814960666738</v>
      </c>
      <c r="G25" s="451">
        <f t="shared" si="7"/>
        <v>0</v>
      </c>
      <c r="H25" s="451">
        <f t="shared" si="8"/>
        <v>0</v>
      </c>
      <c r="I25" s="451">
        <f t="shared" si="9"/>
        <v>0</v>
      </c>
      <c r="J25" s="451">
        <f t="shared" si="10"/>
        <v>17.114061376940022</v>
      </c>
      <c r="K25" s="451">
        <f t="shared" si="11"/>
        <v>0</v>
      </c>
      <c r="L25" s="451">
        <f t="shared" si="12"/>
        <v>0</v>
      </c>
      <c r="M25" s="451">
        <f t="shared" si="13"/>
        <v>0</v>
      </c>
      <c r="N25" s="451">
        <f t="shared" si="14"/>
        <v>0</v>
      </c>
      <c r="O25" s="451">
        <f t="shared" si="15"/>
        <v>0</v>
      </c>
      <c r="P25" s="452">
        <f t="shared" si="16"/>
        <v>0</v>
      </c>
      <c r="Q25" s="450">
        <f t="shared" ca="1" si="17"/>
        <v>492.81239243857499</v>
      </c>
    </row>
    <row r="26" spans="1:17">
      <c r="A26" s="450" t="s">
        <v>634</v>
      </c>
      <c r="B26" s="451">
        <f t="shared" ca="1" si="2"/>
        <v>924.9452476357892</v>
      </c>
      <c r="C26" s="451">
        <f t="shared" ca="1" si="3"/>
        <v>305.54621848739504</v>
      </c>
      <c r="D26" s="451">
        <f t="shared" si="4"/>
        <v>6154.1920646538283</v>
      </c>
      <c r="E26" s="451">
        <f t="shared" si="5"/>
        <v>71.206273297025717</v>
      </c>
      <c r="F26" s="451">
        <f t="shared" si="6"/>
        <v>270.6538534041299</v>
      </c>
      <c r="G26" s="451">
        <f t="shared" si="7"/>
        <v>0</v>
      </c>
      <c r="H26" s="451">
        <f t="shared" si="8"/>
        <v>0</v>
      </c>
      <c r="I26" s="451">
        <f t="shared" si="9"/>
        <v>0</v>
      </c>
      <c r="J26" s="451">
        <f t="shared" si="10"/>
        <v>3.2437572584021881</v>
      </c>
      <c r="K26" s="451">
        <f t="shared" si="11"/>
        <v>0</v>
      </c>
      <c r="L26" s="451">
        <f t="shared" si="12"/>
        <v>0</v>
      </c>
      <c r="M26" s="451">
        <f t="shared" si="13"/>
        <v>0</v>
      </c>
      <c r="N26" s="451">
        <f t="shared" si="14"/>
        <v>0</v>
      </c>
      <c r="O26" s="451">
        <f t="shared" si="15"/>
        <v>0</v>
      </c>
      <c r="P26" s="452">
        <f t="shared" si="16"/>
        <v>0</v>
      </c>
      <c r="Q26" s="450">
        <f t="shared" ca="1" si="17"/>
        <v>7729.7874147365701</v>
      </c>
    </row>
    <row r="27" spans="1:17" s="456" customFormat="1">
      <c r="A27" s="454" t="s">
        <v>560</v>
      </c>
      <c r="B27" s="754">
        <f t="shared" ca="1" si="2"/>
        <v>7.8835644263754023</v>
      </c>
      <c r="C27" s="455">
        <f t="shared" ca="1" si="3"/>
        <v>0</v>
      </c>
      <c r="D27" s="455">
        <f t="shared" si="4"/>
        <v>21.302938045240129</v>
      </c>
      <c r="E27" s="455">
        <f t="shared" si="5"/>
        <v>46.314421761466413</v>
      </c>
      <c r="F27" s="455">
        <f t="shared" si="6"/>
        <v>0</v>
      </c>
      <c r="G27" s="455">
        <f t="shared" si="7"/>
        <v>28950.871244150436</v>
      </c>
      <c r="H27" s="455">
        <f t="shared" si="8"/>
        <v>4550.894025451149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33577.266193834665</v>
      </c>
    </row>
    <row r="28" spans="1:17">
      <c r="A28" s="450" t="s">
        <v>550</v>
      </c>
      <c r="B28" s="451">
        <f t="shared" ca="1" si="2"/>
        <v>0</v>
      </c>
      <c r="C28" s="451">
        <f t="shared" ca="1" si="3"/>
        <v>0</v>
      </c>
      <c r="D28" s="451">
        <f t="shared" si="4"/>
        <v>0</v>
      </c>
      <c r="E28" s="451">
        <f t="shared" si="5"/>
        <v>0</v>
      </c>
      <c r="F28" s="451">
        <f t="shared" si="6"/>
        <v>0</v>
      </c>
      <c r="G28" s="451">
        <f t="shared" si="7"/>
        <v>419.06477873660356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419.06477873660356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121.60985703898477</v>
      </c>
      <c r="C32" s="451">
        <f t="shared" ca="1" si="3"/>
        <v>0</v>
      </c>
      <c r="D32" s="451">
        <f t="shared" si="4"/>
        <v>285.99953860000005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407.60939563898484</v>
      </c>
    </row>
    <row r="33" spans="1:17" s="460" customFormat="1">
      <c r="A33" s="1005" t="s">
        <v>554</v>
      </c>
      <c r="B33" s="953">
        <f ca="1">SUM(B22:B32)</f>
        <v>9522.263549467445</v>
      </c>
      <c r="C33" s="953">
        <f t="shared" ref="C33:Q33" ca="1" si="18">SUM(C22:C32)</f>
        <v>305.54621848739504</v>
      </c>
      <c r="D33" s="953">
        <f t="shared" ca="1" si="18"/>
        <v>28352.077062629978</v>
      </c>
      <c r="E33" s="953">
        <f t="shared" si="18"/>
        <v>353.56404896787643</v>
      </c>
      <c r="F33" s="953">
        <f t="shared" ca="1" si="18"/>
        <v>1159.8232126997923</v>
      </c>
      <c r="G33" s="953">
        <f t="shared" si="18"/>
        <v>29369.936022887039</v>
      </c>
      <c r="H33" s="953">
        <f t="shared" si="18"/>
        <v>4550.894025451149</v>
      </c>
      <c r="I33" s="953">
        <f t="shared" si="18"/>
        <v>0</v>
      </c>
      <c r="J33" s="953">
        <f t="shared" si="18"/>
        <v>20.36176669618381</v>
      </c>
      <c r="K33" s="953">
        <f t="shared" si="18"/>
        <v>0</v>
      </c>
      <c r="L33" s="953">
        <f t="shared" ca="1" si="18"/>
        <v>0</v>
      </c>
      <c r="M33" s="953">
        <f t="shared" si="18"/>
        <v>0</v>
      </c>
      <c r="N33" s="953">
        <f t="shared" ca="1" si="18"/>
        <v>0</v>
      </c>
      <c r="O33" s="953">
        <f t="shared" si="18"/>
        <v>0</v>
      </c>
      <c r="P33" s="953">
        <f t="shared" si="18"/>
        <v>0</v>
      </c>
      <c r="Q33" s="953">
        <f t="shared" ca="1" si="18"/>
        <v>73634.465907286867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4263.8005368860895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900</v>
      </c>
      <c r="D8" s="1022">
        <f>'SEAP template'!D76</f>
        <v>1058.8235294117646</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213.88235294117646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4263.8005368860895</v>
      </c>
      <c r="C10" s="1026">
        <f>SUM(C4:C9)</f>
        <v>900</v>
      </c>
      <c r="D10" s="1026">
        <f t="shared" ref="D10:H10" si="0">SUM(D8:D9)</f>
        <v>1058.8235294117646</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213.88235294117646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0.20138800026879733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1285.7142857142858</v>
      </c>
      <c r="D17" s="1023">
        <f>'SEAP template'!D87</f>
        <v>1512.6050420168069</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305.54621848739504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1285.7142857142858</v>
      </c>
      <c r="D20" s="1026">
        <f t="shared" ref="D20:H20" si="2">SUM(D17:D19)</f>
        <v>1512.6050420168069</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305.54621848739504</v>
      </c>
    </row>
    <row r="22" spans="1:16">
      <c r="A22" s="461" t="s">
        <v>848</v>
      </c>
      <c r="B22" s="760" t="s">
        <v>842</v>
      </c>
      <c r="C22" s="760">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0.20138800026879733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1</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19.066666666666666</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2020-06-20T15:39:20Z</dcterms:modified>
</cp:coreProperties>
</file>