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I49" i="18"/>
  <c r="H17" i="18" s="1"/>
  <c r="F49" i="18"/>
  <c r="I8" i="18"/>
  <c r="O8" i="18" s="1"/>
  <c r="O10"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3" i="14" l="1"/>
  <c r="O8" i="48"/>
  <c r="O26" i="48" s="1"/>
  <c r="F24" i="14"/>
  <c r="F26" i="14" s="1"/>
  <c r="E7" i="48"/>
  <c r="E25" i="48" s="1"/>
  <c r="Q63" i="14"/>
  <c r="P16" i="14"/>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K10" i="14"/>
  <c r="J5" i="48"/>
  <c r="J23" i="48"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J26" i="48" s="1"/>
  <c r="J15" i="48"/>
  <c r="E8" i="48"/>
  <c r="E26" i="48" s="1"/>
  <c r="E33" i="48" s="1"/>
  <c r="F13" i="14"/>
  <c r="F16" i="14" s="1"/>
  <c r="F27" i="14"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<sst xmlns="http://schemas.openxmlformats.org/spreadsheetml/2006/main" count="2398" uniqueCount="887">
  <si>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</si>
  <si>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</si>
  <si>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</si>
  <si>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</si>
  <si>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</si>
  <si>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</si>
  <si>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</si>
  <si>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</si>
  <si>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</si>
  <si>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</si>
  <si>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</si>
  <si>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</si>
  <si>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</si>
  <si>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</si>
  <si>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</si>
  <si>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</si>
  <si>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</si>
  <si>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</si>
  <si>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</si>
  <si>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</si>
  <si>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</si>
  <si>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</si>
  <si>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</si>
  <si>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</si>
  <si>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</si>
  <si>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</si>
  <si>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</si>
  <si>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</si>
  <si>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</si>
  <si>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</si>
  <si>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</si>
  <si>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</si>
  <si>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</si>
  <si>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</si>
  <si>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</si>
  <si>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</si>
  <si>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</si>
  <si>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</si>
  <si>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</si>
  <si>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</si>
  <si>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</si>
  <si>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</si>
  <si>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</si>
  <si>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</si>
  <si>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</si>
  <si>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</si>
  <si>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</si>
  <si>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</si>
  <si>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</si>
  <si>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</si>
  <si>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</si>
  <si>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</si>
  <si>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</si>
  <si>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</si>
  <si>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</si>
  <si>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</si>
  <si>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</si>
  <si>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</si>
  <si>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</si>
  <si>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</si>
  <si>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</si>
  <si>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</si>
  <si>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</si>
  <si>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</si>
  <si>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</si>
  <si>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</si>
  <si>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</si>
  <si>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</si>
  <si>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</si>
  <si>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</si>
  <si>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</si>
  <si>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</si>
  <si>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</si>
  <si>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</si>
  <si>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</si>
  <si>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</si>
  <si>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</si>
  <si>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</si>
  <si>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</si>
  <si>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</si>
  <si>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</si>
  <si>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</si>
  <si>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</si>
  <si>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</si>
  <si>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</si>
  <si>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</si>
  <si>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</si>
  <si>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</si>
  <si>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</si>
  <si>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</si>
  <si>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</si>
  <si>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</si>
  <si>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</si>
  <si>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</si>
  <si>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</si>
  <si>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</si>
  <si>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</si>
  <si>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</si>
  <si>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</si>
  <si>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</si>
  <si>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</si>
  <si>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</si>
  <si>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</si>
  <si>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</si>
  <si>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</si>
  <si>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</si>
  <si>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</si>
  <si>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</si>
  <si>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</si>
  <si>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</si>
  <si>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</si>
  <si>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</si>
  <si>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</si>
  <si>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</si>
  <si>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</si>
  <si>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</si>
  <si>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</si>
  <si>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</si>
  <si>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</si>
  <si>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</si>
  <si>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</si>
  <si>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</si>
  <si>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</si>
  <si>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</si>
  <si>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</si>
  <si>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</si>
  <si>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</si>
  <si>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</si>
  <si>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</si>
  <si>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</si>
  <si>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</si>
  <si>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</si>
  <si>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</si>
  <si>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</si>
  <si>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</si>
  <si>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</si>
  <si>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</si>
  <si>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</si>
  <si>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</si>
  <si>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</si>
  <si>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</si>
  <si>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</si>
  <si>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</si>
  <si>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</si>
  <si>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</si>
  <si>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</si>
  <si>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</si>
  <si>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</si>
  <si>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</si>
  <si>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</si>
  <si>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</si>
  <si>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</si>
  <si>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</si>
  <si>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</si>
  <si>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</si>
  <si>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</si>
  <si>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</si>
  <si>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</si>
  <si>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</si>
  <si>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</si>
  <si>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</si>
  <si>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</si>
  <si>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</si>
  <si>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</si>
  <si>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</si>
  <si>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</si>
  <si>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</si>
  <si>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</si>
  <si>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</si>
  <si>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</si>
  <si>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</si>
  <si>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</si>
  <si>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</si>
  <si>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</si>
  <si>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</si>
  <si>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</si>
  <si>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</si>
  <si>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</si>
  <si>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</si>
  <si>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</si>
  <si>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</si>
  <si>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</si>
  <si>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</si>
  <si>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</si>
  <si>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</si>
  <si>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</si>
  <si>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</si>
  <si>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</si>
  <si>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</si>
  <si>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</si>
  <si>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</si>
  <si>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</si>
  <si>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</si>
  <si>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</si>
  <si>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</si>
  <si>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</si>
  <si>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</si>
  <si>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</si>
  <si>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</si>
  <si>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</si>
  <si>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</si>
  <si>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</si>
  <si>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</si>
  <si>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</si>
  <si>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</si>
  <si>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</si>
  <si>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</si>
  <si>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</si>
  <si>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</si>
  <si>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</si>
  <si>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</si>
  <si>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</si>
  <si>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</si>
  <si>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</si>
  <si>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</si>
  <si>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</si>
  <si>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</si>
  <si>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</si>
  <si>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</si>
  <si>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</si>
  <si>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</si>
  <si>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</si>
  <si>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</si>
  <si>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</si>
  <si>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</si>
  <si>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</si>
  <si>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</si>
  <si>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</si>
  <si>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</si>
  <si>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</si>
  <si>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</si>
  <si>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</si>
  <si>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</si>
  <si>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</si>
  <si>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</si>
  <si>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</si>
  <si>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</si>
  <si>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</si>
  <si>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</si>
  <si>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</si>
  <si>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</si>
  <si>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</si>
  <si>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</si>
  <si>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</si>
  <si>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</si>
  <si>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</si>
  <si>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</si>
  <si>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</si>
  <si>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</si>
  <si>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</si>
  <si>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</si>
  <si>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</si>
  <si>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</si>
  <si>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</si>
  <si>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</si>
  <si>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</si>
  <si>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</si>
  <si>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</si>
  <si>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</si>
  <si>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</si>
  <si>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</si>
  <si>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</si>
  <si>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</si>
  <si>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</si>
  <si>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</si>
  <si>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</si>
  <si>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</si>
  <si>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</si>
  <si>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</si>
  <si>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</si>
  <si>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</si>
  <si>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</si>
  <si>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</si>
  <si>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</si>
  <si>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</si>
  <si>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</si>
  <si>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</si>
  <si>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</si>
  <si>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</si>
  <si>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</si>
  <si>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</si>
  <si>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</si>
  <si>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</si>
  <si>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</si>
  <si>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</si>
  <si>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</si>
  <si>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</si>
  <si>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</si>
  <si>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</si>
  <si>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</si>
  <si>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</si>
  <si>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</si>
  <si>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</si>
  <si>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</si>
  <si>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</si>
  <si>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</si>
  <si>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</si>
  <si>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</si>
  <si>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</si>
  <si>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</si>
  <si>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</si>
  <si>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</si>
  <si>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</si>
  <si>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</si>
  <si>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</si>
  <si>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</si>
  <si>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</si>
  <si>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</si>
  <si>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</si>
  <si>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</si>
  <si>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</si>
  <si>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</si>
  <si>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</si>
  <si>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</si>
  <si>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</si>
  <si>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</si>
  <si>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</si>
  <si>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</si>
  <si>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</si>
  <si>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</si>
  <si>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</si>
  <si>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</si>
  <si>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</si>
  <si>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</si>
  <si>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</si>
  <si>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</si>
  <si>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</si>
  <si>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</si>
  <si>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</si>
  <si>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</si>
  <si>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</si>
  <si>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</si>
  <si>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</si>
  <si>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</si>
  <si>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</si>
  <si>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</si>
  <si>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</si>
  <si>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</si>
  <si>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</si>
  <si>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</si>
  <si>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</si>
  <si>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</si>
  <si>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</si>
  <si>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</si>
  <si>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</si>
  <si>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</si>
  <si>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</si>
  <si>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</si>
  <si>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</si>
  <si>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</si>
  <si>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</si>
  <si>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</si>
  <si>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</si>
  <si>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</si>
  <si>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</si>
  <si>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</si>
  <si>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</si>
  <si>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</si>
  <si>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</si>
  <si>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</si>
  <si>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</si>
  <si>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</si>
  <si>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</si>
  <si>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</si>
  <si>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</si>
  <si>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</si>
  <si>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</si>
  <si>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</si>
  <si>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</si>
  <si>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</si>
  <si>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</si>
  <si>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</si>
  <si>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</si>
  <si>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</si>
  <si>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</si>
  <si>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</si>
  <si>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</si>
  <si>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</si>
  <si>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</si>
  <si>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</si>
  <si>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</si>
  <si>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</si>
  <si>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</si>
  <si>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</si>
  <si>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</si>
  <si>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</si>
  <si>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</si>
  <si>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</si>
  <si>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</si>
  <si>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</si>
  <si>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</si>
  <si>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</si>
  <si>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</si>
  <si>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</si>
  <si>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</si>
  <si>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</si>
  <si>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</si>
  <si>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</si>
  <si>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</si>
  <si>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</si>
  <si>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</si>
  <si>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</si>
  <si>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</si>
  <si>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</si>
  <si>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</si>
  <si>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</si>
  <si>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</si>
  <si>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</si>
  <si>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</si>
  <si>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</si>
  <si>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</si>
  <si>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</si>
  <si>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</si>
  <si>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</si>
  <si>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</si>
  <si>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</si>
  <si>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</si>
  <si>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</si>
  <si>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</si>
  <si>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</si>
  <si>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</si>
  <si>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</si>
  <si>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</si>
  <si>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</si>
  <si>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</si>
  <si>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</si>
  <si>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</si>
  <si>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</si>
  <si>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</si>
  <si>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</si>
  <si>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</si>
  <si>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</si>
  <si>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</si>
  <si>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</si>
  <si>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</si>
  <si>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</si>
  <si>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</si>
  <si>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</si>
  <si>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</si>
  <si>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</si>
  <si>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</si>
  <si>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</si>
  <si>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</si>
  <si>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</si>
  <si>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</si>
  <si>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</si>
  <si>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</si>
  <si>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</si>
  <si>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</si>
  <si>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</si>
  <si>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</si>
  <si>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</si>
  <si>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</si>
  <si>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</si>
  <si>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</si>
  <si>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</si>
  <si>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</si>
  <si>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</si>
  <si>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</si>
  <si>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</si>
  <si>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</si>
  <si>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</si>
  <si>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</si>
  <si>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</si>
  <si>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</si>
  <si>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</si>
  <si>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</si>
  <si>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</si>
  <si>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</si>
  <si>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</si>
  <si>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</si>
  <si>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</si>
  <si>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</si>
  <si>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</si>
  <si>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</si>
  <si>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</si>
  <si>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</si>
  <si>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</si>
  <si>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</si>
  <si>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</si>
  <si>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</si>
  <si>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</si>
  <si>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</si>
  <si>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</si>
  <si>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</si>
  <si>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</si>
  <si>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</si>
  <si>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</si>
  <si>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</si>
  <si>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</si>
  <si>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</si>
  <si>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</si>
  <si>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</si>
  <si>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</si>
  <si>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</si>
  <si>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</si>
  <si>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</si>
  <si>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</si>
  <si>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</si>
  <si>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</si>
  <si>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</si>
  <si>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</si>
  <si>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</si>
  <si>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</si>
  <si>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</si>
  <si>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</si>
  <si>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</si>
  <si>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</si>
  <si>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</si>
  <si>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</si>
  <si>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</si>
  <si>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</si>
  <si>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</si>
  <si>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</si>
  <si>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</si>
  <si>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</si>
  <si>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</si>
  <si>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</si>
  <si>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</si>
  <si>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</si>
  <si>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</si>
  <si>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</si>
  <si>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</si>
  <si>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</si>
  <si>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</si>
  <si>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</si>
  <si>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</si>
  <si>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</si>
  <si>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</si>
  <si>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</si>
  <si>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</si>
  <si>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</si>
  <si>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</si>
  <si>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</si>
  <si>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</si>
  <si>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</si>
  <si>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</si>
  <si>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</si>
  <si>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</si>
  <si>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</si>
  <si>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</si>
  <si>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</si>
  <si>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</si>
  <si>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</si>
  <si>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</si>
  <si>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</si>
  <si>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</si>
  <si>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</si>
  <si>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</si>
  <si>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</si>
  <si>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</si>
  <si>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</si>
  <si>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</si>
  <si>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</si>
  <si>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</si>
  <si>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</si>
  <si>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</si>
  <si>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</si>
  <si>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</si>
  <si>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</si>
  <si>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</si>
  <si>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</si>
  <si>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</si>
  <si>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</si>
  <si>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</si>
  <si>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</si>
  <si>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</si>
  <si>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</si>
  <si>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</si>
  <si>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</si>
  <si>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</si>
  <si>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</si>
  <si>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</si>
  <si>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</si>
  <si>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</si>
  <si>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</si>
  <si>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</si>
  <si>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</si>
  <si>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</si>
  <si>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</si>
  <si>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</si>
  <si>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</si>
  <si>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</si>
  <si>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</si>
  <si>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</si>
  <si>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</si>
  <si>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</si>
  <si>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</si>
  <si>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</si>
  <si>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</si>
  <si>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</si>
  <si>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</si>
  <si>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</si>
  <si>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</si>
  <si>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</si>
  <si>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</si>
  <si>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</si>
  <si>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</si>
  <si>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</si>
  <si>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</si>
  <si>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</si>
  <si>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</si>
  <si>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</si>
  <si>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</si>
  <si>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</si>
  <si>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</si>
  <si>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</si>
  <si>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</si>
  <si>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</si>
  <si>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</si>
  <si>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</si>
  <si>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</si>
  <si>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</si>
  <si>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</si>
  <si>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</si>
  <si>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</si>
  <si>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</si>
  <si>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</si>
  <si>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</si>
  <si>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</si>
  <si>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</si>
  <si>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</si>
  <si>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</si>
  <si>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</si>
  <si>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</si>
  <si>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</si>
  <si>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</si>
  <si>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</si>
  <si>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</si>
  <si>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</si>
  <si>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</si>
  <si>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</si>
  <si>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</si>
  <si>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</si>
  <si>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</si>
  <si>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</si>
  <si>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</si>
  <si>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</si>
  <si>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</si>
  <si>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</si>
  <si>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</si>
  <si>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</si>
  <si>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</si>
  <si>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</si>
  <si>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</si>
  <si>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</si>
  <si>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</si>
  <si>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</si>
  <si>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</si>
  <si>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</si>
  <si>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</si>
  <si>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</si>
  <si>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</si>
  <si>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</si>
  <si>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</si>
  <si>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</si>
  <si>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</si>
  <si>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</si>
  <si>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</si>
  <si>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</si>
  <si>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</si>
  <si>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</si>
  <si>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</si>
  <si>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</si>
  <si>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</si>
  <si>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</si>
  <si>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</si>
  <si>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</si>
  <si>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</si>
  <si>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</si>
  <si>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</si>
  <si>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</si>
  <si>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</si>
  <si>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</si>
  <si>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</si>
  <si>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</si>
  <si>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</si>
  <si>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</si>
  <si>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</si>
  <si>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</si>
  <si>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</si>
  <si>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</si>
  <si>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</si>
  <si>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</si>
  <si>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</si>
  <si>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</si>
  <si>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</si>
  <si>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</si>
  <si>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</si>
  <si>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</si>
  <si>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</si>
  <si>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</si>
  <si>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</si>
  <si>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</si>
  <si>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</si>
  <si>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</si>
  <si>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</si>
  <si>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</si>
  <si>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</si>
  <si>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</si>
  <si>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</si>
  <si>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</si>
  <si>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</si>
  <si>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</si>
  <si>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</si>
  <si>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</si>
  <si>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</si>
  <si>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</si>
  <si>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</si>
  <si>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</si>
  <si>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</si>
  <si>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</si>
  <si>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</si>
  <si>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</si>
  <si>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</si>
  <si>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</si>
  <si>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</si>
  <si>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</si>
  <si>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</si>
  <si>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</si>
  <si>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</si>
  <si>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</si>
  <si>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</si>
  <si>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</si>
  <si>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</si>
  <si>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</si>
  <si>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</si>
  <si>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</si>
  <si>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</si>
  <si>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</si>
  <si>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</si>
  <si>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</si>
  <si>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</si>
  <si>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</si>
  <si>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</si>
  <si>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</si>
  <si>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</si>
  <si>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</si>
  <si>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</si>
  <si>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</si>
  <si>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</si>
  <si>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</si>
  <si>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</si>
  <si>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</si>
  <si>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</si>
  <si>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</si>
  <si>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</si>
  <si>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</si>
  <si>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</si>
  <si>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</si>
  <si>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</si>
  <si>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</si>
  <si>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</si>
  <si>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</si>
  <si>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</si>
  <si>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</si>
  <si>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</si>
  <si>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</si>
  <si>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</si>
  <si>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</si>
  <si>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</si>
  <si>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</si>
  <si>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</si>
  <si>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</si>
  <si>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</si>
  <si>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</si>
  <si>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</si>
  <si>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</si>
  <si>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</si>
  <si>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</si>
  <si>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</si>
  <si>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</si>
  <si>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</si>
  <si>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</si>
  <si>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</si>
  <si>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</si>
  <si>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</si>
  <si>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</si>
  <si>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</si>
  <si>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</si>
  <si>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</si>
  <si>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</si>
  <si>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</si>
  <si>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</si>
  <si>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</si>
  <si>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</si>
  <si>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</si>
  <si>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</si>
  <si>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</si>
  <si>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</si>
  <si>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</si>
  <si>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</si>
  <si>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</si>
  <si>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</si>
  <si>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</si>
  <si>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</si>
  <si>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</si>
  <si>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</si>
  <si>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</si>
  <si>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</si>
  <si>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</si>
  <si>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</si>
  <si>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</si>
  <si>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</si>
  <si>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</si>
  <si>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</si>
  <si>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</si>
  <si>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</si>
  <si>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</si>
  <si>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</si>
  <si>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</si>
  <si>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</si>
  <si>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</si>
  <si>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</si>
  <si>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</si>
  <si>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</si>
  <si>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</si>
  <si>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</si>
  <si>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</si>
  <si>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</si>
  <si>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</si>
  <si>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</si>
  <si>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</si>
  <si>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</si>
  <si>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</si>
  <si>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</si>
  <si>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</si>
  <si>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</si>
  <si>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</si>
  <si>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</si>
  <si>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</si>
  <si>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</si>
  <si>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</si>
  <si>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</si>
  <si>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</si>
  <si>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</si>
  <si>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</si>
  <si>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</si>
  <si>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</si>
  <si>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</si>
  <si>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</si>
  <si>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</si>
  <si>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</si>
  <si>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</si>
  <si>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</si>
  <si>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</si>
  <si>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</si>
  <si>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</si>
  <si>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</si>
  <si>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</si>
  <si>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</si>
  <si>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</si>
  <si>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</si>
  <si>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</si>
  <si>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</si>
  <si>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</si>
  <si>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</si>
  <si>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</si>
  <si>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</si>
  <si>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</si>
  <si>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</si>
  <si>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</si>
  <si>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</si>
  <si>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</si>
  <si>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</si>
  <si>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</si>
  <si>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</si>
  <si>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</si>
  <si>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</si>
  <si>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</si>
  <si>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</si>
  <si>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</si>
  <si>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</si>
  <si>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</si>
  <si>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</si>
  <si>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</si>
  <si>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</si>
  <si>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</si>
  <si>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</si>
  <si>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</si>
  <si>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</si>
  <si>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</si>
  <si>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</si>
  <si>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11038</t>
  </si>
  <si>
    <t>SCHELLE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</si>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</sst>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57423.083343943967</c:v>
                </c:pt>
                <c:pt idx="1">
                  <c:v>29495.740606483094</c:v>
                </c:pt>
                <c:pt idx="2">
                  <c:v>415.46499999999997</c:v>
                </c:pt>
                <c:pt idx="3">
                  <c:v>1005.3260133013058</c:v>
                </c:pt>
                <c:pt idx="4">
                  <c:v>5763.0942179800159</c:v>
                </c:pt>
                <c:pt idx="5">
                  <c:v>68544.104412891946</c:v>
                </c:pt>
                <c:pt idx="6">
                  <c:v>675.47335354513348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57423.083343943967</c:v>
                </c:pt>
                <c:pt idx="1">
                  <c:v>29495.740606483094</c:v>
                </c:pt>
                <c:pt idx="2">
                  <c:v>415.46499999999997</c:v>
                </c:pt>
                <c:pt idx="3">
                  <c:v>1005.3260133013058</c:v>
                </c:pt>
                <c:pt idx="4">
                  <c:v>5763.0942179800159</c:v>
                </c:pt>
                <c:pt idx="5">
                  <c:v>68544.104412891946</c:v>
                </c:pt>
                <c:pt idx="6">
                  <c:v>675.47335354513348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10137.019308924626</c:v>
                </c:pt>
                <c:pt idx="2">
                  <c:v>5210.8882782412138</c:v>
                </c:pt>
                <c:pt idx="3">
                  <c:v>61.206758285628084</c:v>
                </c:pt>
                <c:pt idx="4">
                  <c:v>247.18016767859245</c:v>
                </c:pt>
                <c:pt idx="5">
                  <c:v>1113.4826895795002</c:v>
                </c:pt>
                <c:pt idx="6">
                  <c:v>17189.472272408661</c:v>
                </c:pt>
                <c:pt idx="7">
                  <c:v>170.65941612789794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10137.019308924626</c:v>
                </c:pt>
                <c:pt idx="2">
                  <c:v>5210.8882782412138</c:v>
                </c:pt>
                <c:pt idx="3">
                  <c:v>61.206758285628084</c:v>
                </c:pt>
                <c:pt idx="4">
                  <c:v>247.18016767859245</c:v>
                </c:pt>
                <c:pt idx="5">
                  <c:v>1113.4826895795002</c:v>
                </c:pt>
                <c:pt idx="6">
                  <c:v>17189.472272408661</c:v>
                </c:pt>
                <c:pt idx="7">
                  <c:v>170.65941612789794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11038</v>
      </c>
      <c r="B6" s="390"/>
      <c r="C6" s="391"/>
    </row>
    <row r="7" spans="1:7" s="388" customFormat="1" ht="15.75" customHeight="1">
      <c r="A7" s="392" t="str">
        <f>txtMunicipality</f>
        <v>SCHELLE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0.14732109392037376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0.14732109392037376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3382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275.73</v>
      </c>
      <c r="C14" s="330"/>
      <c r="D14" s="330"/>
      <c r="E14" s="330"/>
      <c r="F14" s="330"/>
    </row>
    <row r="15" spans="1:6">
      <c r="A15" s="1293" t="s">
        <v>183</v>
      </c>
      <c r="B15" s="1294">
        <v>1</v>
      </c>
      <c r="C15" s="330"/>
      <c r="D15" s="330"/>
      <c r="E15" s="330"/>
      <c r="F15" s="330"/>
    </row>
    <row r="16" spans="1:6">
      <c r="A16" s="1293" t="s">
        <v>6</v>
      </c>
      <c r="B16" s="1294">
        <v>159</v>
      </c>
      <c r="C16" s="330"/>
      <c r="D16" s="330"/>
      <c r="E16" s="330"/>
      <c r="F16" s="330"/>
    </row>
    <row r="17" spans="1:6">
      <c r="A17" s="1293" t="s">
        <v>7</v>
      </c>
      <c r="B17" s="1294">
        <v>15</v>
      </c>
      <c r="C17" s="330"/>
      <c r="D17" s="330"/>
      <c r="E17" s="330"/>
      <c r="F17" s="330"/>
    </row>
    <row r="18" spans="1:6">
      <c r="A18" s="1293" t="s">
        <v>8</v>
      </c>
      <c r="B18" s="1294">
        <v>57</v>
      </c>
      <c r="C18" s="330"/>
      <c r="D18" s="330"/>
      <c r="E18" s="330"/>
      <c r="F18" s="330"/>
    </row>
    <row r="19" spans="1:6">
      <c r="A19" s="1293" t="s">
        <v>9</v>
      </c>
      <c r="B19" s="1294">
        <v>54</v>
      </c>
      <c r="C19" s="330"/>
      <c r="D19" s="330"/>
      <c r="E19" s="330"/>
      <c r="F19" s="330"/>
    </row>
    <row r="20" spans="1:6">
      <c r="A20" s="1293" t="s">
        <v>10</v>
      </c>
      <c r="B20" s="1294">
        <v>53</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138</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14</v>
      </c>
      <c r="C29" s="336"/>
      <c r="D29" s="336"/>
      <c r="E29" s="336"/>
      <c r="F29" s="336"/>
    </row>
    <row r="30" spans="1:6">
      <c r="A30" s="1288" t="s">
        <v>735</v>
      </c>
      <c r="B30" s="1297">
        <v>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54927.251856969997</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12331.7070952416</v>
      </c>
    </row>
    <row r="39" spans="1:6">
      <c r="A39" s="1293" t="s">
        <v>29</v>
      </c>
      <c r="B39" s="1293" t="s">
        <v>30</v>
      </c>
      <c r="C39" s="1294">
        <v>2791</v>
      </c>
      <c r="D39" s="1294">
        <v>43072433.343713701</v>
      </c>
      <c r="E39" s="1294">
        <v>3391</v>
      </c>
      <c r="F39" s="1294">
        <v>12760169.236017499</v>
      </c>
    </row>
    <row r="40" spans="1:6">
      <c r="A40" s="1293" t="s">
        <v>29</v>
      </c>
      <c r="B40" s="1293" t="s">
        <v>28</v>
      </c>
      <c r="C40" s="1294">
        <v>0</v>
      </c>
      <c r="D40" s="1294">
        <v>0</v>
      </c>
      <c r="E40" s="1294">
        <v>0</v>
      </c>
      <c r="F40" s="1294">
        <v>0</v>
      </c>
    </row>
    <row r="41" spans="1:6">
      <c r="A41" s="1293" t="s">
        <v>31</v>
      </c>
      <c r="B41" s="1293" t="s">
        <v>32</v>
      </c>
      <c r="C41" s="1294">
        <v>20</v>
      </c>
      <c r="D41" s="1294">
        <v>983548.46523771097</v>
      </c>
      <c r="E41" s="1294">
        <v>42</v>
      </c>
      <c r="F41" s="1294">
        <v>757734.87677656102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23615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21</v>
      </c>
      <c r="D48" s="1294">
        <v>505904.89054979302</v>
      </c>
      <c r="E48" s="1294">
        <v>26</v>
      </c>
      <c r="F48" s="1294">
        <v>295341.21483221301</v>
      </c>
    </row>
    <row r="49" spans="1:6">
      <c r="A49" s="1293" t="s">
        <v>31</v>
      </c>
      <c r="B49" s="1293" t="s">
        <v>39</v>
      </c>
      <c r="C49" s="1294">
        <v>0</v>
      </c>
      <c r="D49" s="1294">
        <v>0</v>
      </c>
      <c r="E49" s="1294">
        <v>0</v>
      </c>
      <c r="F49" s="1294">
        <v>0</v>
      </c>
    </row>
    <row r="50" spans="1:6">
      <c r="A50" s="1293" t="s">
        <v>31</v>
      </c>
      <c r="B50" s="1293" t="s">
        <v>40</v>
      </c>
      <c r="C50" s="1294">
        <v>8</v>
      </c>
      <c r="D50" s="1294">
        <v>2118140.8408975299</v>
      </c>
      <c r="E50" s="1294">
        <v>8</v>
      </c>
      <c r="F50" s="1294">
        <v>390547.44383791601</v>
      </c>
    </row>
    <row r="51" spans="1:6">
      <c r="A51" s="1293" t="s">
        <v>41</v>
      </c>
      <c r="B51" s="1293" t="s">
        <v>42</v>
      </c>
      <c r="C51" s="1294">
        <v>0</v>
      </c>
      <c r="D51" s="1294">
        <v>0</v>
      </c>
      <c r="E51" s="1294">
        <v>4</v>
      </c>
      <c r="F51" s="1294">
        <v>44539.054954724801</v>
      </c>
    </row>
    <row r="52" spans="1:6">
      <c r="A52" s="1293" t="s">
        <v>41</v>
      </c>
      <c r="B52" s="1293" t="s">
        <v>28</v>
      </c>
      <c r="C52" s="1294">
        <v>1</v>
      </c>
      <c r="D52" s="1294">
        <v>21394.278730686401</v>
      </c>
      <c r="E52" s="1294">
        <v>4</v>
      </c>
      <c r="F52" s="1294">
        <v>140102.931283062</v>
      </c>
    </row>
    <row r="53" spans="1:6">
      <c r="A53" s="1293" t="s">
        <v>43</v>
      </c>
      <c r="B53" s="1293" t="s">
        <v>44</v>
      </c>
      <c r="C53" s="1294">
        <v>54</v>
      </c>
      <c r="D53" s="1294">
        <v>896190.26956333697</v>
      </c>
      <c r="E53" s="1294">
        <v>150</v>
      </c>
      <c r="F53" s="1294">
        <v>630613.57341814495</v>
      </c>
    </row>
    <row r="54" spans="1:6">
      <c r="A54" s="1293" t="s">
        <v>45</v>
      </c>
      <c r="B54" s="1293" t="s">
        <v>46</v>
      </c>
      <c r="C54" s="1294">
        <v>0</v>
      </c>
      <c r="D54" s="1294">
        <v>0</v>
      </c>
      <c r="E54" s="1294">
        <v>1</v>
      </c>
      <c r="F54" s="1294">
        <v>415465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11</v>
      </c>
      <c r="D57" s="1294">
        <v>1143978.3242763099</v>
      </c>
      <c r="E57" s="1294">
        <v>27</v>
      </c>
      <c r="F57" s="1294">
        <v>912001.532864357</v>
      </c>
    </row>
    <row r="58" spans="1:6">
      <c r="A58" s="1293" t="s">
        <v>48</v>
      </c>
      <c r="B58" s="1293" t="s">
        <v>50</v>
      </c>
      <c r="C58" s="1294">
        <v>3</v>
      </c>
      <c r="D58" s="1294">
        <v>131754.41514404101</v>
      </c>
      <c r="E58" s="1294">
        <v>9</v>
      </c>
      <c r="F58" s="1294">
        <v>84631.869144356693</v>
      </c>
    </row>
    <row r="59" spans="1:6">
      <c r="A59" s="1293" t="s">
        <v>48</v>
      </c>
      <c r="B59" s="1293" t="s">
        <v>51</v>
      </c>
      <c r="C59" s="1294">
        <v>48</v>
      </c>
      <c r="D59" s="1294">
        <v>2690869.4981492199</v>
      </c>
      <c r="E59" s="1294">
        <v>72</v>
      </c>
      <c r="F59" s="1294">
        <v>3664116.7304721</v>
      </c>
    </row>
    <row r="60" spans="1:6">
      <c r="A60" s="1293" t="s">
        <v>48</v>
      </c>
      <c r="B60" s="1293" t="s">
        <v>52</v>
      </c>
      <c r="C60" s="1294">
        <v>15</v>
      </c>
      <c r="D60" s="1294">
        <v>1082014.46246511</v>
      </c>
      <c r="E60" s="1294">
        <v>22</v>
      </c>
      <c r="F60" s="1294">
        <v>1111894.48486778</v>
      </c>
    </row>
    <row r="61" spans="1:6">
      <c r="A61" s="1293" t="s">
        <v>48</v>
      </c>
      <c r="B61" s="1293" t="s">
        <v>53</v>
      </c>
      <c r="C61" s="1294">
        <v>74</v>
      </c>
      <c r="D61" s="1294">
        <v>4694473.4585036896</v>
      </c>
      <c r="E61" s="1294">
        <v>118</v>
      </c>
      <c r="F61" s="1294">
        <v>2939119.7969577601</v>
      </c>
    </row>
    <row r="62" spans="1:6">
      <c r="A62" s="1293" t="s">
        <v>48</v>
      </c>
      <c r="B62" s="1293" t="s">
        <v>54</v>
      </c>
      <c r="C62" s="1294">
        <v>0</v>
      </c>
      <c r="D62" s="1294">
        <v>0</v>
      </c>
      <c r="E62" s="1294">
        <v>3</v>
      </c>
      <c r="F62" s="1294">
        <v>36334.762183837804</v>
      </c>
    </row>
    <row r="63" spans="1:6">
      <c r="A63" s="1293" t="s">
        <v>48</v>
      </c>
      <c r="B63" s="1293" t="s">
        <v>28</v>
      </c>
      <c r="C63" s="1294">
        <v>90</v>
      </c>
      <c r="D63" s="1294">
        <v>5638792.4067788301</v>
      </c>
      <c r="E63" s="1294">
        <v>98</v>
      </c>
      <c r="F63" s="1294">
        <v>3426085.29587097</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1109.5179750338</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3</v>
      </c>
      <c r="D68" s="1297">
        <v>85707.299044416199</v>
      </c>
      <c r="E68" s="1297">
        <v>8</v>
      </c>
      <c r="F68" s="1297">
        <v>268367.16014456999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56503630</v>
      </c>
      <c r="E73" s="449"/>
      <c r="F73" s="330"/>
    </row>
    <row r="74" spans="1:6">
      <c r="A74" s="1293" t="s">
        <v>63</v>
      </c>
      <c r="B74" s="1293" t="s">
        <v>656</v>
      </c>
      <c r="C74" s="1307" t="s">
        <v>658</v>
      </c>
      <c r="D74" s="1308">
        <v>10881874.5</v>
      </c>
      <c r="E74" s="449"/>
      <c r="F74" s="330"/>
    </row>
    <row r="75" spans="1:6">
      <c r="A75" s="1293" t="s">
        <v>64</v>
      </c>
      <c r="B75" s="1293" t="s">
        <v>655</v>
      </c>
      <c r="C75" s="1307" t="s">
        <v>659</v>
      </c>
      <c r="D75" s="1308">
        <v>3533313</v>
      </c>
      <c r="E75" s="449"/>
      <c r="F75" s="330"/>
    </row>
    <row r="76" spans="1:6">
      <c r="A76" s="1293" t="s">
        <v>64</v>
      </c>
      <c r="B76" s="1293" t="s">
        <v>656</v>
      </c>
      <c r="C76" s="1307" t="s">
        <v>660</v>
      </c>
      <c r="D76" s="1308">
        <v>84022.5</v>
      </c>
      <c r="E76" s="449"/>
      <c r="F76" s="330"/>
    </row>
    <row r="77" spans="1:6">
      <c r="A77" s="1293" t="s">
        <v>65</v>
      </c>
      <c r="B77" s="1293" t="s">
        <v>655</v>
      </c>
      <c r="C77" s="1307" t="s">
        <v>661</v>
      </c>
      <c r="D77" s="1308">
        <v>463825</v>
      </c>
      <c r="E77" s="449"/>
      <c r="F77" s="330"/>
    </row>
    <row r="78" spans="1:6">
      <c r="A78" s="1288" t="s">
        <v>65</v>
      </c>
      <c r="B78" s="1288" t="s">
        <v>656</v>
      </c>
      <c r="C78" s="1288" t="s">
        <v>662</v>
      </c>
      <c r="D78" s="1309">
        <v>54498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184223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7751.016563645846</v>
      </c>
      <c r="C90" s="330"/>
      <c r="D90" s="330"/>
      <c r="E90" s="330"/>
      <c r="F90" s="330"/>
    </row>
    <row r="91" spans="1:6">
      <c r="A91" s="1293" t="s">
        <v>67</v>
      </c>
      <c r="B91" s="1294">
        <v>1463.4470605634626</v>
      </c>
      <c r="C91" s="330"/>
      <c r="D91" s="330"/>
      <c r="E91" s="330"/>
      <c r="F91" s="330"/>
    </row>
    <row r="92" spans="1:6">
      <c r="A92" s="1288" t="s">
        <v>68</v>
      </c>
      <c r="B92" s="1289">
        <v>492.48003892680327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2045</v>
      </c>
      <c r="C97" s="330"/>
      <c r="D97" s="330"/>
      <c r="E97" s="330"/>
      <c r="F97" s="330"/>
    </row>
    <row r="98" spans="1:6">
      <c r="A98" s="1293" t="s">
        <v>71</v>
      </c>
      <c r="B98" s="1294">
        <v>5</v>
      </c>
      <c r="C98" s="330"/>
      <c r="D98" s="330"/>
      <c r="E98" s="330"/>
      <c r="F98" s="330"/>
    </row>
    <row r="99" spans="1:6">
      <c r="A99" s="1293" t="s">
        <v>72</v>
      </c>
      <c r="B99" s="1294">
        <v>12</v>
      </c>
      <c r="C99" s="330"/>
      <c r="D99" s="330"/>
      <c r="E99" s="330"/>
      <c r="F99" s="330"/>
    </row>
    <row r="100" spans="1:6">
      <c r="A100" s="1293" t="s">
        <v>73</v>
      </c>
      <c r="B100" s="1294">
        <v>386</v>
      </c>
      <c r="C100" s="330"/>
      <c r="D100" s="330"/>
      <c r="E100" s="330"/>
      <c r="F100" s="330"/>
    </row>
    <row r="101" spans="1:6">
      <c r="A101" s="1293" t="s">
        <v>74</v>
      </c>
      <c r="B101" s="1294">
        <v>32</v>
      </c>
      <c r="C101" s="330"/>
      <c r="D101" s="330"/>
      <c r="E101" s="330"/>
      <c r="F101" s="330"/>
    </row>
    <row r="102" spans="1:6">
      <c r="A102" s="1293" t="s">
        <v>75</v>
      </c>
      <c r="B102" s="1294">
        <v>51</v>
      </c>
      <c r="C102" s="330"/>
      <c r="D102" s="330"/>
      <c r="E102" s="330"/>
      <c r="F102" s="330"/>
    </row>
    <row r="103" spans="1:6">
      <c r="A103" s="1293" t="s">
        <v>76</v>
      </c>
      <c r="B103" s="1294">
        <v>72</v>
      </c>
      <c r="C103" s="330"/>
      <c r="D103" s="330"/>
      <c r="E103" s="330"/>
      <c r="F103" s="330"/>
    </row>
    <row r="104" spans="1:6">
      <c r="A104" s="1293" t="s">
        <v>77</v>
      </c>
      <c r="B104" s="1294">
        <v>379</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v>
      </c>
      <c r="C123" s="1294">
        <v>9</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63</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29115.993487127558</v>
      </c>
      <c r="C3" s="43" t="s">
        <v>169</v>
      </c>
      <c r="D3" s="43"/>
      <c r="E3" s="154"/>
      <c r="F3" s="43"/>
      <c r="G3" s="43"/>
      <c r="H3" s="43"/>
      <c r="I3" s="43"/>
      <c r="J3" s="43"/>
      <c r="K3" s="96"/>
    </row>
    <row r="4" spans="1:11">
      <c r="A4" s="358" t="s">
        <v>170</v>
      </c>
      <c r="B4" s="49">
        <f>IF(ISERROR('SEAP template'!B78+'SEAP template'!C78),0,'SEAP template'!B78+'SEAP template'!C78)</f>
        <v>9706.9436631361114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0.14732109392037376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415.46499999999997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415.46499999999997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0.14732109392037376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61.206758285628084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12760.169236017498</v>
      </c>
      <c r="C5" s="17">
        <f>IF(ISERROR('Eigen informatie GS &amp; warmtenet'!B57),0,'Eigen informatie GS &amp; warmtenet'!B57)</f>
        <v>0</v>
      </c>
      <c r="D5" s="30">
        <f>(SUM(HH_hh_gas_kWh,HH_rest_gas_kWh)/1000)*0.902</f>
        <v>38851.334876029759</v>
      </c>
      <c r="E5" s="17">
        <f>B46*B57</f>
        <v>852.91168128039976</v>
      </c>
      <c r="F5" s="17">
        <f>B51*B62</f>
        <v>0</v>
      </c>
      <c r="G5" s="18"/>
      <c r="H5" s="17"/>
      <c r="I5" s="17"/>
      <c r="J5" s="17">
        <f>B50*B61+C50*C61</f>
        <v>0</v>
      </c>
      <c r="K5" s="17"/>
      <c r="L5" s="17"/>
      <c r="M5" s="17"/>
      <c r="N5" s="17">
        <f>B48*B59+C48*C59</f>
        <v>3134.793823386176</v>
      </c>
      <c r="O5" s="17">
        <f>B69*B70*B71</f>
        <v>112.56000000000002</v>
      </c>
      <c r="P5" s="17">
        <f>B77*B78*B79/1000-B77*B78*B79/1000/B80</f>
        <v>247.86666666666667</v>
      </c>
    </row>
    <row r="6" spans="1:16">
      <c r="A6" s="16" t="s">
        <v>620</v>
      </c>
      <c r="B6" s="762">
        <f>kWh_PV_kleiner_dan_10kW</f>
        <v>1463.4470605634626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14223.616296580962</v>
      </c>
      <c r="C8" s="21">
        <f>C5</f>
        <v>0</v>
      </c>
      <c r="D8" s="21">
        <f>D5</f>
        <v>38851.334876029759</v>
      </c>
      <c r="E8" s="21">
        <f>E5</f>
        <v>852.91168128039976</v>
      </c>
      <c r="F8" s="21">
        <f>F5</f>
        <v>0</v>
      </c>
      <c r="G8" s="21"/>
      <c r="H8" s="21"/>
      <c r="I8" s="21"/>
      <c r="J8" s="21">
        <f>J5</f>
        <v>0</v>
      </c>
      <c r="K8" s="21"/>
      <c r="L8" s="21">
        <f>L5</f>
        <v>0</v>
      </c>
      <c r="M8" s="21">
        <f>M5</f>
        <v>0</v>
      </c>
      <c r="N8" s="21">
        <f>N5</f>
        <v>3134.793823386176</v>
      </c>
      <c r="O8" s="21">
        <f>O5</f>
        <v>112.56000000000002</v>
      </c>
      <c r="P8" s="21">
        <f>P5</f>
        <v>247.86666666666667</v>
      </c>
    </row>
    <row r="9" spans="1:16">
      <c r="B9" s="19"/>
      <c r="C9" s="19"/>
      <c r="D9" s="258"/>
      <c r="E9" s="19"/>
      <c r="F9" s="19"/>
      <c r="G9" s="19"/>
      <c r="H9" s="19"/>
      <c r="I9" s="19"/>
      <c r="J9" s="19"/>
      <c r="K9" s="19"/>
      <c r="L9" s="19"/>
      <c r="M9" s="19"/>
      <c r="N9" s="19"/>
      <c r="O9" s="19"/>
      <c r="P9" s="19"/>
    </row>
    <row r="10" spans="1:16">
      <c r="A10" s="24" t="s">
        <v>213</v>
      </c>
      <c r="B10" s="25">
        <f ca="1">'EF ele_warmte'!B12</f>
        <v>0.14732109392037376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2095.4387123159627</v>
      </c>
      <c r="C12" s="23">
        <f ca="1">C10*C8</f>
        <v>0</v>
      </c>
      <c r="D12" s="23">
        <f>D8*D10</f>
        <v>7847.9696449580115</v>
      </c>
      <c r="E12" s="23">
        <f>E10*E8</f>
        <v>193.61095165065075</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2045</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2.7906976744186047</v>
      </c>
      <c r="D20" s="229"/>
      <c r="E20" s="15"/>
    </row>
    <row r="21" spans="1:7">
      <c r="A21" s="171" t="s">
        <v>73</v>
      </c>
      <c r="B21" s="37">
        <f>aantalw2001_elektriciteit</f>
        <v>386</v>
      </c>
      <c r="C21" s="167">
        <f>IF(ISERROR(B21/SUM($B$20,$B$21,$B$22)*100),0,B21/SUM($B$20,$B$21,$B$22)*100)</f>
        <v>89.767441860465112</v>
      </c>
      <c r="D21" s="229"/>
      <c r="E21" s="15"/>
    </row>
    <row r="22" spans="1:7">
      <c r="A22" s="171" t="s">
        <v>74</v>
      </c>
      <c r="B22" s="37">
        <f>aantalw2001_hout</f>
        <v>32</v>
      </c>
      <c r="C22" s="167">
        <f>IF(ISERROR(B22/SUM($B$20,$B$21,$B$22)*100),0,B22/SUM($B$20,$B$21,$B$22)*100)</f>
        <v>7.441860465116279</v>
      </c>
      <c r="D22" s="229"/>
      <c r="E22" s="15"/>
    </row>
    <row r="23" spans="1:7">
      <c r="A23" s="171" t="s">
        <v>75</v>
      </c>
      <c r="B23" s="37">
        <f>aantalw2001_niet_gespec</f>
        <v>51</v>
      </c>
      <c r="C23" s="166" t="s">
        <v>110</v>
      </c>
      <c r="D23" s="228"/>
      <c r="E23" s="15"/>
    </row>
    <row r="24" spans="1:7">
      <c r="A24" s="171" t="s">
        <v>76</v>
      </c>
      <c r="B24" s="37">
        <f>aantalw2001_steenkool</f>
        <v>72</v>
      </c>
      <c r="C24" s="166" t="s">
        <v>110</v>
      </c>
      <c r="D24" s="229"/>
      <c r="E24" s="15"/>
    </row>
    <row r="25" spans="1:7">
      <c r="A25" s="171" t="s">
        <v>77</v>
      </c>
      <c r="B25" s="37">
        <f>aantalw2001_stookolie</f>
        <v>379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3382</v>
      </c>
      <c r="C28" s="36"/>
      <c r="D28" s="228"/>
    </row>
    <row r="29" spans="1:7" s="15" customFormat="1">
      <c r="A29" s="230" t="s">
        <v>781</v>
      </c>
      <c r="B29" s="37">
        <f>SUM(HH_hh_gas_aantal,HH_rest_gas_aantal)</f>
        <v>2791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2791</v>
      </c>
      <c r="C32" s="167">
        <f>IF(ISERROR(B32/SUM($B$32,$B$34,$B$35,$B$36,$B$38,$B$39)*100),0,B32/SUM($B$32,$B$34,$B$35,$B$36,$B$38,$B$39)*100)</f>
        <v>82.843573760759867</v>
      </c>
      <c r="D32" s="233"/>
      <c r="G32" s="15"/>
    </row>
    <row r="33" spans="1:7">
      <c r="A33" s="171" t="s">
        <v>71</v>
      </c>
      <c r="B33" s="34" t="s">
        <v>110</v>
      </c>
      <c r="C33" s="167"/>
      <c r="D33" s="233"/>
      <c r="G33" s="15"/>
    </row>
    <row r="34" spans="1:7">
      <c r="A34" s="171" t="s">
        <v>72</v>
      </c>
      <c r="B34" s="33">
        <f>IF((($B$28-$B$32-$B$39-$B$77-$B$38)*C20/100)&lt;0,0,($B$28-$B$32-$B$39-$B$77-$B$38)*C20/100)</f>
        <v>16.130232558139536</v>
      </c>
      <c r="C34" s="167">
        <f>IF(ISERROR(B34/SUM($B$32,$B$34,$B$35,$B$36,$B$38,$B$39)*100),0,B34/SUM($B$32,$B$34,$B$35,$B$36,$B$38,$B$39)*100)</f>
        <v>0.47878398807181766</v>
      </c>
      <c r="D34" s="233"/>
      <c r="G34" s="15"/>
    </row>
    <row r="35" spans="1:7">
      <c r="A35" s="171" t="s">
        <v>73</v>
      </c>
      <c r="B35" s="33">
        <f>IF((($B$28-$B$32-$B$39-$B$77-$B$38)*C21/100)&lt;0,0,($B$28-$B$32-$B$39-$B$77-$B$38)*C21/100)</f>
        <v>518.85581395348834</v>
      </c>
      <c r="C35" s="167">
        <f>IF(ISERROR(B35/SUM($B$32,$B$34,$B$35,$B$36,$B$38,$B$39)*100),0,B35/SUM($B$32,$B$34,$B$35,$B$36,$B$38,$B$39)*100)</f>
        <v>15.400884949643464</v>
      </c>
      <c r="D35" s="233"/>
      <c r="G35" s="15"/>
    </row>
    <row r="36" spans="1:7">
      <c r="A36" s="171" t="s">
        <v>74</v>
      </c>
      <c r="B36" s="33">
        <f>IF((($B$28-$B$32-$B$39-$B$77-$B$38)*C22/100)&lt;0,0,($B$28-$B$32-$B$39-$B$77-$B$38)*C22/100)</f>
        <v>43.013953488372088</v>
      </c>
      <c r="C36" s="167">
        <f>IF(ISERROR(B36/SUM($B$32,$B$34,$B$35,$B$36,$B$38,$B$39)*100),0,B36/SUM($B$32,$B$34,$B$35,$B$36,$B$38,$B$39)*100)</f>
        <v>1.2767573015248468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2791</v>
      </c>
      <c r="C44" s="34" t="s">
        <v>110</v>
      </c>
      <c r="D44" s="174"/>
    </row>
    <row r="45" spans="1:7">
      <c r="A45" s="171" t="s">
        <v>71</v>
      </c>
      <c r="B45" s="33" t="str">
        <f t="shared" si="0"/>
        <v>-</v>
      </c>
      <c r="C45" s="34" t="s">
        <v>110</v>
      </c>
      <c r="D45" s="174"/>
    </row>
    <row r="46" spans="1:7">
      <c r="A46" s="171" t="s">
        <v>72</v>
      </c>
      <c r="B46" s="33">
        <f t="shared" si="0"/>
        <v>16.130232558139536</v>
      </c>
      <c r="C46" s="34" t="s">
        <v>110</v>
      </c>
      <c r="D46" s="174"/>
    </row>
    <row r="47" spans="1:7">
      <c r="A47" s="171" t="s">
        <v>73</v>
      </c>
      <c r="B47" s="33">
        <f t="shared" si="0"/>
        <v>518.85581395348834</v>
      </c>
      <c r="C47" s="34" t="s">
        <v>110</v>
      </c>
      <c r="D47" s="174"/>
    </row>
    <row r="48" spans="1:7">
      <c r="A48" s="171" t="s">
        <v>74</v>
      </c>
      <c r="B48" s="33">
        <f t="shared" si="0"/>
        <v>43.013953488372088</v>
      </c>
      <c r="C48" s="33">
        <f>B48*10</f>
        <v>430.1395348837209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12174.184472361161</v>
      </c>
      <c r="C5" s="17">
        <f>IF(ISERROR('Eigen informatie GS &amp; warmtenet'!B58),0,'Eigen informatie GS &amp; warmtenet'!B58)</f>
        <v>0</v>
      </c>
      <c r="D5" s="30">
        <f>SUM(D6:D12)</f>
        <v>13874.458073916114</v>
      </c>
      <c r="E5" s="17">
        <f>SUM(E6:E12)</f>
        <v>193.02329906395309</v>
      </c>
      <c r="F5" s="17">
        <f>SUM(F6:F12)</f>
        <v>2138.2297366330558</v>
      </c>
      <c r="G5" s="18"/>
      <c r="H5" s="17"/>
      <c r="I5" s="17"/>
      <c r="J5" s="17">
        <f>SUM(J6:J12)</f>
        <v>2.8092330337602913E-2</v>
      </c>
      <c r="K5" s="17"/>
      <c r="L5" s="17"/>
      <c r="M5" s="17"/>
      <c r="N5" s="17">
        <f>SUM(N6:N12)</f>
        <v>1115.8169321784731</v>
      </c>
      <c r="O5" s="17">
        <f>B38*B39*B40</f>
        <v>0</v>
      </c>
      <c r="P5" s="17">
        <f>B46*B47*B48/1000-B46*B47*B48/1000/B49</f>
        <v>0</v>
      </c>
      <c r="R5" s="32"/>
    </row>
    <row r="6" spans="1:18">
      <c r="A6" s="32" t="s">
        <v>53</v>
      </c>
      <c r="B6" s="37">
        <f>B26</f>
        <v>2939.1197969577602</v>
      </c>
      <c r="C6" s="33"/>
      <c r="D6" s="37">
        <f>IF(ISERROR(TER_kantoor_gas_kWh/1000),0,TER_kantoor_gas_kWh/1000)*0.902</f>
        <v>4234.4150595703277</v>
      </c>
      <c r="E6" s="33">
        <f>$C$26*'E Balans VL '!I12/100/3.6*1000000</f>
        <v>1.8421425351401247E-2</v>
      </c>
      <c r="F6" s="33">
        <f>$C$26*('E Balans VL '!L12+'E Balans VL '!N12)/100/3.6*1000000</f>
        <v>441.6675786428786</v>
      </c>
      <c r="G6" s="34"/>
      <c r="H6" s="33"/>
      <c r="I6" s="33"/>
      <c r="J6" s="33">
        <f>$C$26*('E Balans VL '!D12+'E Balans VL '!E12)/100/3.6*1000000</f>
        <v>0</v>
      </c>
      <c r="K6" s="33"/>
      <c r="L6" s="33"/>
      <c r="M6" s="33"/>
      <c r="N6" s="33">
        <f>$C$26*'E Balans VL '!Y12/100/3.6*1000000</f>
        <v>2.8108323134567272</v>
      </c>
      <c r="O6" s="33"/>
      <c r="P6" s="33"/>
      <c r="R6" s="32"/>
    </row>
    <row r="7" spans="1:18">
      <c r="A7" s="32" t="s">
        <v>52</v>
      </c>
      <c r="B7" s="37">
        <f t="shared" ref="B7:B12" si="0">B27</f>
        <v>1111.89448486778</v>
      </c>
      <c r="C7" s="33"/>
      <c r="D7" s="37">
        <f>IF(ISERROR(TER_horeca_gas_kWh/1000),0,TER_horeca_gas_kWh/1000)*0.902</f>
        <v>975.97704514352927</v>
      </c>
      <c r="E7" s="33">
        <f>$C$27*'E Balans VL '!I9/100/3.6*1000000</f>
        <v>15.922143817040956</v>
      </c>
      <c r="F7" s="33">
        <f>$C$27*('E Balans VL '!L9+'E Balans VL '!N9)/100/3.6*1000000</f>
        <v>140.80251347718055</v>
      </c>
      <c r="G7" s="34"/>
      <c r="H7" s="33"/>
      <c r="I7" s="33"/>
      <c r="J7" s="33">
        <f>$C$27*('E Balans VL '!D9+'E Balans VL '!E9)/100/3.6*1000000</f>
        <v>0</v>
      </c>
      <c r="K7" s="33"/>
      <c r="L7" s="33"/>
      <c r="M7" s="33"/>
      <c r="N7" s="33">
        <f>$C$27*'E Balans VL '!Y9/100/3.6*1000000</f>
        <v>0.31964514923046933</v>
      </c>
      <c r="O7" s="33"/>
      <c r="P7" s="33"/>
      <c r="R7" s="32"/>
    </row>
    <row r="8" spans="1:18">
      <c r="A8" s="6" t="s">
        <v>51</v>
      </c>
      <c r="B8" s="37">
        <f t="shared" si="0"/>
        <v>3664.1167304720998</v>
      </c>
      <c r="C8" s="33"/>
      <c r="D8" s="37">
        <f>IF(ISERROR(TER_handel_gas_kWh/1000),0,TER_handel_gas_kWh/1000)*0.902</f>
        <v>2427.1642873305964</v>
      </c>
      <c r="E8" s="33">
        <f>$C$28*'E Balans VL '!I13/100/3.6*1000000</f>
        <v>132.8970619755909</v>
      </c>
      <c r="F8" s="33">
        <f>$C$28*('E Balans VL '!L13+'E Balans VL '!N13)/100/3.6*1000000</f>
        <v>705.74598382966474</v>
      </c>
      <c r="G8" s="34"/>
      <c r="H8" s="33"/>
      <c r="I8" s="33"/>
      <c r="J8" s="33">
        <f>$C$28*('E Balans VL '!D13+'E Balans VL '!E13)/100/3.6*1000000</f>
        <v>0</v>
      </c>
      <c r="K8" s="33"/>
      <c r="L8" s="33"/>
      <c r="M8" s="33"/>
      <c r="N8" s="33">
        <f>$C$28*'E Balans VL '!Y13/100/3.6*1000000</f>
        <v>5.0756447473634916</v>
      </c>
      <c r="O8" s="33"/>
      <c r="P8" s="33"/>
      <c r="R8" s="32"/>
    </row>
    <row r="9" spans="1:18">
      <c r="A9" s="32" t="s">
        <v>50</v>
      </c>
      <c r="B9" s="37">
        <f t="shared" si="0"/>
        <v>84.631869144356699</v>
      </c>
      <c r="C9" s="33"/>
      <c r="D9" s="37">
        <f>IF(ISERROR(TER_gezond_gas_kWh/1000),0,TER_gezond_gas_kWh/1000)*0.902</f>
        <v>118.84248245992501</v>
      </c>
      <c r="E9" s="33">
        <f>$C$29*'E Balans VL '!I10/100/3.6*1000000</f>
        <v>5.2987905971866927E-3</v>
      </c>
      <c r="F9" s="33">
        <f>$C$29*('E Balans VL '!L10+'E Balans VL '!N10)/100/3.6*1000000</f>
        <v>12.572321840895631</v>
      </c>
      <c r="G9" s="34"/>
      <c r="H9" s="33"/>
      <c r="I9" s="33"/>
      <c r="J9" s="33">
        <f>$C$29*('E Balans VL '!D10+'E Balans VL '!E10)/100/3.6*1000000</f>
        <v>0</v>
      </c>
      <c r="K9" s="33"/>
      <c r="L9" s="33"/>
      <c r="M9" s="33"/>
      <c r="N9" s="33">
        <f>$C$29*'E Balans VL '!Y10/100/3.6*1000000</f>
        <v>1.3090939182022268</v>
      </c>
      <c r="O9" s="33"/>
      <c r="P9" s="33"/>
      <c r="R9" s="32"/>
    </row>
    <row r="10" spans="1:18">
      <c r="A10" s="32" t="s">
        <v>49</v>
      </c>
      <c r="B10" s="37">
        <f t="shared" si="0"/>
        <v>912.00153286435705</v>
      </c>
      <c r="C10" s="33"/>
      <c r="D10" s="37">
        <f>IF(ISERROR(TER_ander_gas_kWh/1000),0,TER_ander_gas_kWh/1000)*0.902</f>
        <v>1031.8684484972316</v>
      </c>
      <c r="E10" s="33">
        <f>$C$30*'E Balans VL '!I14/100/3.6*1000000</f>
        <v>1.0870732377461747</v>
      </c>
      <c r="F10" s="33">
        <f>$C$30*('E Balans VL '!L14+'E Balans VL '!N14)/100/3.6*1000000</f>
        <v>238.62014540098207</v>
      </c>
      <c r="G10" s="34"/>
      <c r="H10" s="33"/>
      <c r="I10" s="33"/>
      <c r="J10" s="33">
        <f>$C$30*('E Balans VL '!D14+'E Balans VL '!E14)/100/3.6*1000000</f>
        <v>1.9795978331187663E-2</v>
      </c>
      <c r="K10" s="33"/>
      <c r="L10" s="33"/>
      <c r="M10" s="33"/>
      <c r="N10" s="33">
        <f>$C$30*'E Balans VL '!Y14/100/3.6*1000000</f>
        <v>774.44938534502796</v>
      </c>
      <c r="O10" s="33"/>
      <c r="P10" s="33"/>
      <c r="R10" s="32"/>
    </row>
    <row r="11" spans="1:18">
      <c r="A11" s="32" t="s">
        <v>54</v>
      </c>
      <c r="B11" s="37">
        <f t="shared" si="0"/>
        <v>36.334762183837803</v>
      </c>
      <c r="C11" s="33"/>
      <c r="D11" s="37">
        <f>IF(ISERROR(TER_onderwijs_gas_kWh/1000),0,TER_onderwijs_gas_kWh/1000)*0.902</f>
        <v>0</v>
      </c>
      <c r="E11" s="33">
        <f>$C$31*'E Balans VL '!I11/100/3.6*1000000</f>
        <v>0.54823303865470985</v>
      </c>
      <c r="F11" s="33">
        <f>$C$31*('E Balans VL '!L11+'E Balans VL '!N11)/100/3.6*1000000</f>
        <v>6.3664307997029121</v>
      </c>
      <c r="G11" s="34"/>
      <c r="H11" s="33"/>
      <c r="I11" s="33"/>
      <c r="J11" s="33">
        <f>$C$31*('E Balans VL '!D11+'E Balans VL '!E11)/100/3.6*1000000</f>
        <v>0</v>
      </c>
      <c r="K11" s="33"/>
      <c r="L11" s="33"/>
      <c r="M11" s="33"/>
      <c r="N11" s="33">
        <f>$C$31*'E Balans VL '!Y11/100/3.6*1000000</f>
        <v>0.10224878305913335</v>
      </c>
      <c r="O11" s="33"/>
      <c r="P11" s="33"/>
      <c r="R11" s="32"/>
    </row>
    <row r="12" spans="1:18">
      <c r="A12" s="32" t="s">
        <v>259</v>
      </c>
      <c r="B12" s="37">
        <f t="shared" si="0"/>
        <v>3426.0852958709702</v>
      </c>
      <c r="C12" s="33"/>
      <c r="D12" s="37">
        <f>IF(ISERROR(TER_rest_gas_kWh/1000),0,TER_rest_gas_kWh/1000)*0.902</f>
        <v>5086.1907509145049</v>
      </c>
      <c r="E12" s="33">
        <f>$C$32*'E Balans VL '!I8/100/3.6*1000000</f>
        <v>42.54506677897178</v>
      </c>
      <c r="F12" s="33">
        <f>$C$32*('E Balans VL '!L8+'E Balans VL '!N8)/100/3.6*1000000</f>
        <v>592.45476264175147</v>
      </c>
      <c r="G12" s="34"/>
      <c r="H12" s="33"/>
      <c r="I12" s="33"/>
      <c r="J12" s="33">
        <f>$C$32*('E Balans VL '!D8+'E Balans VL '!E8)/100/3.6*1000000</f>
        <v>8.2963520064152502E-3</v>
      </c>
      <c r="K12" s="33"/>
      <c r="L12" s="33"/>
      <c r="M12" s="33"/>
      <c r="N12" s="33">
        <f>$C$32*'E Balans VL '!Y8/100/3.6*1000000</f>
        <v>331.75008192213312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12174.184472361161</v>
      </c>
      <c r="C16" s="21">
        <f t="shared" ca="1" si="1"/>
        <v>0</v>
      </c>
      <c r="D16" s="21">
        <f t="shared" ca="1" si="1"/>
        <v>13874.458073916114</v>
      </c>
      <c r="E16" s="21">
        <f t="shared" si="1"/>
        <v>193.02329906395309</v>
      </c>
      <c r="F16" s="21">
        <f t="shared" ca="1" si="1"/>
        <v>2138.2297366330558</v>
      </c>
      <c r="G16" s="21">
        <f t="shared" si="1"/>
        <v>0</v>
      </c>
      <c r="H16" s="21">
        <f t="shared" si="1"/>
        <v>0</v>
      </c>
      <c r="I16" s="21">
        <f t="shared" si="1"/>
        <v>0</v>
      </c>
      <c r="J16" s="21">
        <f t="shared" si="1"/>
        <v>2.8092330337602913E-2</v>
      </c>
      <c r="K16" s="21">
        <f t="shared" si="1"/>
        <v>0</v>
      </c>
      <c r="L16" s="21">
        <f t="shared" ca="1" si="1"/>
        <v>0</v>
      </c>
      <c r="M16" s="21">
        <f t="shared" si="1"/>
        <v>0</v>
      </c>
      <c r="N16" s="21">
        <f t="shared" ca="1" si="1"/>
        <v>1115.8169321784731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0.14732109392037376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1793.5141740566746</v>
      </c>
      <c r="C20" s="23">
        <f t="shared" ref="C20:P20" ca="1" si="2">C16*C18</f>
        <v>0</v>
      </c>
      <c r="D20" s="23">
        <f t="shared" ca="1" si="2"/>
        <v>2802.6405309310553</v>
      </c>
      <c r="E20" s="23">
        <f t="shared" si="2"/>
        <v>43.816288887517352</v>
      </c>
      <c r="F20" s="23">
        <f t="shared" ca="1" si="2"/>
        <v>570.90733968102597</v>
      </c>
      <c r="G20" s="23">
        <f t="shared" si="2"/>
        <v>0</v>
      </c>
      <c r="H20" s="23">
        <f t="shared" si="2"/>
        <v>0</v>
      </c>
      <c r="I20" s="23">
        <f t="shared" si="2"/>
        <v>0</v>
      </c>
      <c r="J20" s="23">
        <f t="shared" si="2"/>
        <v>9.944684939511431E-3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2939.1197969577602</v>
      </c>
      <c r="C26" s="39">
        <f>IF(ISERROR(B26*3.6/1000000/'E Balans VL '!Z12*100),0,B26*3.6/1000000/'E Balans VL '!Z12*100)</f>
        <v>6.2128336565844634E-2</v>
      </c>
      <c r="D26" s="237" t="s">
        <v>744</v>
      </c>
      <c r="F26" s="6"/>
    </row>
    <row r="27" spans="1:18">
      <c r="A27" s="231" t="s">
        <v>52</v>
      </c>
      <c r="B27" s="33">
        <f>IF(ISERROR(TER_horeca_ele_kWh/1000),0,TER_horeca_ele_kWh/1000)</f>
        <v>1111.89448486778</v>
      </c>
      <c r="C27" s="39">
        <f>IF(ISERROR(B27*3.6/1000000/'E Balans VL '!Z9*100),0,B27*3.6/1000000/'E Balans VL '!Z9*100)</f>
        <v>8.7650227817895457E-2</v>
      </c>
      <c r="D27" s="237" t="s">
        <v>744</v>
      </c>
      <c r="F27" s="6"/>
    </row>
    <row r="28" spans="1:18">
      <c r="A28" s="171" t="s">
        <v>51</v>
      </c>
      <c r="B28" s="33">
        <f>IF(ISERROR(TER_handel_ele_kWh/1000),0,TER_handel_ele_kWh/1000)</f>
        <v>3664.1167304720998</v>
      </c>
      <c r="C28" s="39">
        <f>IF(ISERROR(B28*3.6/1000000/'E Balans VL '!Z13*100),0,B28*3.6/1000000/'E Balans VL '!Z13*100)</f>
        <v>0.10634747220884738</v>
      </c>
      <c r="D28" s="237" t="s">
        <v>744</v>
      </c>
      <c r="F28" s="6"/>
    </row>
    <row r="29" spans="1:18">
      <c r="A29" s="231" t="s">
        <v>50</v>
      </c>
      <c r="B29" s="33">
        <f>IF(ISERROR(TER_gezond_ele_kWh/1000),0,TER_gezond_ele_kWh/1000)</f>
        <v>84.631869144356699</v>
      </c>
      <c r="C29" s="39">
        <f>IF(ISERROR(B29*3.6/1000000/'E Balans VL '!Z10*100),0,B29*3.6/1000000/'E Balans VL '!Z10*100)</f>
        <v>8.9131255128746065E-3</v>
      </c>
      <c r="D29" s="237" t="s">
        <v>744</v>
      </c>
      <c r="F29" s="6"/>
    </row>
    <row r="30" spans="1:18">
      <c r="A30" s="231" t="s">
        <v>49</v>
      </c>
      <c r="B30" s="33">
        <f>IF(ISERROR(TER_ander_ele_kWh/1000),0,TER_ander_ele_kWh/1000)</f>
        <v>912.00153286435705</v>
      </c>
      <c r="C30" s="39">
        <f>IF(ISERROR(B30*3.6/1000000/'E Balans VL '!Z14*100),0,B30*3.6/1000000/'E Balans VL '!Z14*100)</f>
        <v>6.7269431149822562E-2</v>
      </c>
      <c r="D30" s="237" t="s">
        <v>744</v>
      </c>
      <c r="F30" s="6"/>
    </row>
    <row r="31" spans="1:18">
      <c r="A31" s="231" t="s">
        <v>54</v>
      </c>
      <c r="B31" s="33">
        <f>IF(ISERROR(TER_onderwijs_ele_kWh/1000),0,TER_onderwijs_ele_kWh/1000)</f>
        <v>36.334762183837803</v>
      </c>
      <c r="C31" s="39">
        <f>IF(ISERROR(B31*3.6/1000000/'E Balans VL '!Z11*100),0,B31*3.6/1000000/'E Balans VL '!Z11*100)</f>
        <v>9.0236234707431109E-3</v>
      </c>
      <c r="D31" s="237" t="s">
        <v>744</v>
      </c>
    </row>
    <row r="32" spans="1:18">
      <c r="A32" s="231" t="s">
        <v>259</v>
      </c>
      <c r="B32" s="33">
        <f>IF(ISERROR(TER_rest_ele_kWh/1000),0,TER_rest_ele_kWh/1000)</f>
        <v>3426.0852958709702</v>
      </c>
      <c r="C32" s="39">
        <f>IF(ISERROR(B32*3.6/1000000/'E Balans VL '!Z8*100),0,B32*3.6/1000000/'E Balans VL '!Z8*100)</f>
        <v>2.8192134319070059E-2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1467.2385354466899</v>
      </c>
      <c r="C5" s="17">
        <f>IF(ISERROR('Eigen informatie GS &amp; warmtenet'!B59),0,'Eigen informatie GS &amp; warmtenet'!B59)</f>
        <v>0</v>
      </c>
      <c r="D5" s="30">
        <f>SUM(D6:D15)</f>
        <v>3254.0499654099008</v>
      </c>
      <c r="E5" s="17">
        <f>SUM(E6:E15)</f>
        <v>238.8515253012346</v>
      </c>
      <c r="F5" s="17">
        <f>SUM(F6:F15)</f>
        <v>694.4412898835368</v>
      </c>
      <c r="G5" s="18"/>
      <c r="H5" s="17"/>
      <c r="I5" s="17"/>
      <c r="J5" s="17">
        <f>SUM(J6:J15)</f>
        <v>1.0573159330007178</v>
      </c>
      <c r="K5" s="17"/>
      <c r="L5" s="17"/>
      <c r="M5" s="17"/>
      <c r="N5" s="17">
        <f>SUM(N6:N15)</f>
        <v>107.45558600565265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23.614999999999998</v>
      </c>
      <c r="C8" s="33"/>
      <c r="D8" s="37">
        <f>IF( ISERROR(IND_metaal_Gas_kWH/1000),0,IND_metaal_Gas_kWH/1000)*0.902</f>
        <v>0</v>
      </c>
      <c r="E8" s="33">
        <f>C30*'E Balans VL '!I18/100/3.6*1000000</f>
        <v>0.21711711741609921</v>
      </c>
      <c r="F8" s="33">
        <f>C30*'E Balans VL '!L18/100/3.6*1000000+C30*'E Balans VL '!N18/100/3.6*1000000</f>
        <v>2.2143007770649099</v>
      </c>
      <c r="G8" s="34"/>
      <c r="H8" s="33"/>
      <c r="I8" s="33"/>
      <c r="J8" s="40">
        <f>C30*'E Balans VL '!D18/100/3.6*1000000+C30*'E Balans VL '!E18/100/3.6*1000000</f>
        <v>0</v>
      </c>
      <c r="K8" s="33"/>
      <c r="L8" s="33"/>
      <c r="M8" s="33"/>
      <c r="N8" s="33">
        <f>C30*'E Balans VL '!Y18/100/3.6*1000000</f>
        <v>0.33690700043090177</v>
      </c>
      <c r="O8" s="33"/>
      <c r="P8" s="33"/>
      <c r="R8" s="32"/>
    </row>
    <row r="9" spans="1:18">
      <c r="A9" s="6" t="s">
        <v>32</v>
      </c>
      <c r="B9" s="37">
        <f t="shared" si="0"/>
        <v>757.73487677656101</v>
      </c>
      <c r="C9" s="33"/>
      <c r="D9" s="37">
        <f>IF( ISERROR(IND_andere_gas_kWh/1000),0,IND_andere_gas_kWh/1000)*0.902</f>
        <v>887.16071564441529</v>
      </c>
      <c r="E9" s="33">
        <f>C31*'E Balans VL '!I19/100/3.6*1000000</f>
        <v>221.50065583992694</v>
      </c>
      <c r="F9" s="33">
        <f>C31*'E Balans VL '!L19/100/3.6*1000000+C31*'E Balans VL '!N19/100/3.6*1000000</f>
        <v>608.89732874999777</v>
      </c>
      <c r="G9" s="34"/>
      <c r="H9" s="33"/>
      <c r="I9" s="33"/>
      <c r="J9" s="40">
        <f>C31*'E Balans VL '!D19/100/3.6*1000000+C31*'E Balans VL '!E19/100/3.6*1000000</f>
        <v>0</v>
      </c>
      <c r="K9" s="33"/>
      <c r="L9" s="33"/>
      <c r="M9" s="33"/>
      <c r="N9" s="33">
        <f>C31*'E Balans VL '!Y19/100/3.6*1000000</f>
        <v>59.435694602431973</v>
      </c>
      <c r="O9" s="33"/>
      <c r="P9" s="33"/>
      <c r="R9" s="32"/>
    </row>
    <row r="10" spans="1:18">
      <c r="A10" s="6" t="s">
        <v>40</v>
      </c>
      <c r="B10" s="37">
        <f t="shared" si="0"/>
        <v>390.54744383791603</v>
      </c>
      <c r="C10" s="33"/>
      <c r="D10" s="37">
        <f>IF( ISERROR(IND_voed_gas_kWh/1000),0,IND_voed_gas_kWh/1000)*0.902</f>
        <v>1910.5630384895719</v>
      </c>
      <c r="E10" s="33">
        <f>C32*'E Balans VL '!I20/100/3.6*1000000</f>
        <v>0.82620917294894869</v>
      </c>
      <c r="F10" s="33">
        <f>C32*'E Balans VL '!L20/100/3.6*1000000+C32*'E Balans VL '!N20/100/3.6*1000000</f>
        <v>24.83140541173006</v>
      </c>
      <c r="G10" s="34"/>
      <c r="H10" s="33"/>
      <c r="I10" s="33"/>
      <c r="J10" s="40">
        <f>C32*'E Balans VL '!D20/100/3.6*1000000+C32*'E Balans VL '!E20/100/3.6*1000000</f>
        <v>0</v>
      </c>
      <c r="K10" s="33"/>
      <c r="L10" s="33"/>
      <c r="M10" s="33"/>
      <c r="N10" s="33">
        <f>C32*'E Balans VL '!Y20/100/3.6*1000000</f>
        <v>26.951627641163274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295.34121483221298</v>
      </c>
      <c r="C15" s="33"/>
      <c r="D15" s="37">
        <f>IF( ISERROR(IND_rest_gas_kWh/1000),0,IND_rest_gas_kWh/1000)*0.902</f>
        <v>456.32621127591335</v>
      </c>
      <c r="E15" s="33">
        <f>C37*'E Balans VL '!I15/100/3.6*1000000</f>
        <v>16.307543170942601</v>
      </c>
      <c r="F15" s="33">
        <f>C37*'E Balans VL '!L15/100/3.6*1000000+C37*'E Balans VL '!N15/100/3.6*1000000</f>
        <v>58.498254944744062</v>
      </c>
      <c r="G15" s="34"/>
      <c r="H15" s="33"/>
      <c r="I15" s="33"/>
      <c r="J15" s="40">
        <f>C37*'E Balans VL '!D15/100/3.6*1000000+C37*'E Balans VL '!E15/100/3.6*1000000</f>
        <v>1.0573159330007178</v>
      </c>
      <c r="K15" s="33"/>
      <c r="L15" s="33"/>
      <c r="M15" s="33"/>
      <c r="N15" s="33">
        <f>C37*'E Balans VL '!Y15/100/3.6*1000000</f>
        <v>20.731356761626497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1467.2385354466899</v>
      </c>
      <c r="C18" s="21">
        <f>C5+C16</f>
        <v>0</v>
      </c>
      <c r="D18" s="21">
        <f>MAX((D5+D16),0)</f>
        <v>3254.0499654099008</v>
      </c>
      <c r="E18" s="21">
        <f>MAX((E5+E16),0)</f>
        <v>238.8515253012346</v>
      </c>
      <c r="F18" s="21">
        <f>MAX((F5+F16),0)</f>
        <v>694.4412898835368</v>
      </c>
      <c r="G18" s="21"/>
      <c r="H18" s="21"/>
      <c r="I18" s="21"/>
      <c r="J18" s="21">
        <f>MAX((J5+J16),0)</f>
        <v>1.0573159330007178</v>
      </c>
      <c r="K18" s="21"/>
      <c r="L18" s="21">
        <f>MAX((L5+L16),0)</f>
        <v>0</v>
      </c>
      <c r="M18" s="21"/>
      <c r="N18" s="21">
        <f>MAX((N5+N16),0)</f>
        <v>107.45558600565265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0.14732109392037376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216.15518608413345</v>
      </c>
      <c r="C22" s="23">
        <f ca="1">C18*C20</f>
        <v>0</v>
      </c>
      <c r="D22" s="23">
        <f>D18*D20</f>
        <v>657.31809301279998</v>
      </c>
      <c r="E22" s="23">
        <f>E18*E20</f>
        <v>54.219296243380256</v>
      </c>
      <c r="F22" s="23">
        <f>F18*F20</f>
        <v>185.41582439890433</v>
      </c>
      <c r="G22" s="23"/>
      <c r="H22" s="23"/>
      <c r="I22" s="23"/>
      <c r="J22" s="23">
        <f>J18*J20</f>
        <v>0.37428984028225409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23.614999999999998</v>
      </c>
      <c r="C30" s="39">
        <f>IF(ISERROR(B30*3.6/1000000/'E Balans VL '!Z18*100),0,B30*3.6/1000000/'E Balans VL '!Z18*100)</f>
        <v>1.3383226028204475E-3</v>
      </c>
      <c r="D30" s="237" t="s">
        <v>744</v>
      </c>
    </row>
    <row r="31" spans="1:18">
      <c r="A31" s="6" t="s">
        <v>32</v>
      </c>
      <c r="B31" s="37">
        <f>IF( ISERROR(IND_ander_ele_kWh/1000),0,IND_ander_ele_kWh/1000)</f>
        <v>757.73487677656101</v>
      </c>
      <c r="C31" s="39">
        <f>IF(ISERROR(B31*3.6/1000000/'E Balans VL '!Z19*100),0,B31*3.6/1000000/'E Balans VL '!Z19*100)</f>
        <v>3.436769885747238E-2</v>
      </c>
      <c r="D31" s="237" t="s">
        <v>744</v>
      </c>
    </row>
    <row r="32" spans="1:18">
      <c r="A32" s="171" t="s">
        <v>40</v>
      </c>
      <c r="B32" s="37">
        <f>IF( ISERROR(IND_voed_ele_kWh/1000),0,IND_voed_ele_kWh/1000)</f>
        <v>390.54744383791603</v>
      </c>
      <c r="C32" s="39">
        <f>IF(ISERROR(B32*3.6/1000000/'E Balans VL '!Z20*100),0,B32*3.6/1000000/'E Balans VL '!Z20*100)</f>
        <v>1.2081405373603065E-2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295.34121483221298</v>
      </c>
      <c r="C37" s="39">
        <f>IF(ISERROR(B37*3.6/1000000/'E Balans VL '!Z15*100),0,B37*3.6/1000000/'E Balans VL '!Z15*100)</f>
        <v>2.3409418410529027E-3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184.6419862377868</v>
      </c>
      <c r="C5" s="17">
        <f>'Eigen informatie GS &amp; warmtenet'!B60</f>
        <v>0</v>
      </c>
      <c r="D5" s="30">
        <f>IF(ISERROR(SUM(LB_lb_gas_kWh,LB_rest_gas_kWh)/1000),0,SUM(LB_lb_gas_kWh,LB_rest_gas_kWh)/1000)*0.902</f>
        <v>19.297639415079136</v>
      </c>
      <c r="E5" s="17">
        <f>B17*'E Balans VL '!I25/3.6*1000000/100</f>
        <v>5.4271919372478301</v>
      </c>
      <c r="F5" s="17">
        <f>B17*('E Balans VL '!L25/3.6*1000000+'E Balans VL '!N25/3.6*1000000)/100</f>
        <v>769.20853713738074</v>
      </c>
      <c r="G5" s="18"/>
      <c r="H5" s="17"/>
      <c r="I5" s="17"/>
      <c r="J5" s="17">
        <f>('E Balans VL '!D25+'E Balans VL '!E25)/3.6*1000000*landbouw!B17/100</f>
        <v>26.75065857381129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184.6419862377868</v>
      </c>
      <c r="C8" s="21">
        <f>C5+C6</f>
        <v>0</v>
      </c>
      <c r="D8" s="21">
        <f>MAX((D5+D6),0)</f>
        <v>19.297639415079136</v>
      </c>
      <c r="E8" s="21">
        <f>MAX((E5+E6),0)</f>
        <v>5.4271919372478301</v>
      </c>
      <c r="F8" s="21">
        <f>MAX((F5+F6),0)</f>
        <v>769.20853713738074</v>
      </c>
      <c r="G8" s="21"/>
      <c r="H8" s="21"/>
      <c r="I8" s="21"/>
      <c r="J8" s="21">
        <f>MAX((J5+J6),0)</f>
        <v>26.75065857381129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0.14732109392037376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27.201659396181348</v>
      </c>
      <c r="C12" s="23">
        <f ca="1">C8*C10</f>
        <v>0</v>
      </c>
      <c r="D12" s="23">
        <f>D8*D10</f>
        <v>3.8981231618459855</v>
      </c>
      <c r="E12" s="23">
        <f>E8*E10</f>
        <v>1.2319725697552575</v>
      </c>
      <c r="F12" s="23">
        <f>F8*F10</f>
        <v>205.37867941568066</v>
      </c>
      <c r="G12" s="23"/>
      <c r="H12" s="23"/>
      <c r="I12" s="23"/>
      <c r="J12" s="23">
        <f>J8*J10</f>
        <v>9.4697331351291965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2.6201277143707024E-2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33.464346680407864</v>
      </c>
      <c r="C26" s="247">
        <f>B26*'GWP N2O_CH4'!B5</f>
        <v>702.75128028856511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6.5270737856988275</v>
      </c>
      <c r="C27" s="247">
        <f>B27*'GWP N2O_CH4'!B5</f>
        <v>137.06854949967538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0.31049163450049766</v>
      </c>
      <c r="C28" s="247">
        <f>B28*'GWP N2O_CH4'!B4</f>
        <v>96.252406695154278</v>
      </c>
      <c r="D28" s="50"/>
    </row>
    <row r="29" spans="1:4">
      <c r="A29" s="41" t="s">
        <v>276</v>
      </c>
      <c r="B29" s="247">
        <f>B34*'ha_N2O bodem landbouw'!B4</f>
        <v>1.7939656613613582</v>
      </c>
      <c r="C29" s="247">
        <f>B29*'GWP N2O_CH4'!B4</f>
        <v>556.12935502202106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4.0937678164196126E-4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7.2841043098115194E-5</v>
      </c>
      <c r="C5" s="437" t="s">
        <v>210</v>
      </c>
      <c r="D5" s="422">
        <f>SUM(D6:D11)</f>
        <v>1.8779374566621951E-4</v>
      </c>
      <c r="E5" s="422">
        <f>SUM(E6:E11)</f>
        <v>3.2144102825516367E-4</v>
      </c>
      <c r="F5" s="435" t="s">
        <v>210</v>
      </c>
      <c r="G5" s="422">
        <f>SUM(G6:G11)</f>
        <v>0.20160757553491224</v>
      </c>
      <c r="H5" s="422">
        <f>SUM(H6:H11)</f>
        <v>3.1852389721524474E-2</v>
      </c>
      <c r="I5" s="437" t="s">
        <v>210</v>
      </c>
      <c r="J5" s="437" t="s">
        <v>210</v>
      </c>
      <c r="K5" s="437" t="s">
        <v>210</v>
      </c>
      <c r="L5" s="437" t="s">
        <v>210</v>
      </c>
      <c r="M5" s="422">
        <f>SUM(M6:M11)</f>
        <v>1.271673481295482E-2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6.8028613257106995E-5</v>
      </c>
      <c r="C6" s="423"/>
      <c r="D6" s="865">
        <f>vkm_GW_PW*SUMIFS(TableVerdeelsleutelVkm[CNG],TableVerdeelsleutelVkm[Voertuigtype],"Lichte voertuigen")*SUMIFS(TableECFTransport[EnergieConsumptieFactor (PJ per km)],TableECFTransport[Index],CONCATENATE($A6,"_CNG_CNG"))</f>
        <v>1.6859151409377691E-4</v>
      </c>
      <c r="E6" s="865">
        <f>vkm_GW_PW*SUMIFS(TableVerdeelsleutelVkm[LPG],TableVerdeelsleutelVkm[Voertuigtype],"Lichte voertuigen")*SUMIFS(TableECFTransport[EnergieConsumptieFactor (PJ per km)],TableECFTransport[Index],CONCATENATE($A6,"_LPG_LPG"))</f>
        <v>2.8942953006869538E-4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8.8685411096561542E-2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2.8644402522133929E-2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6.0248004892803795E-3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0.10223388192337576</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1.7101868836117529E-6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5.9730713951821682E-3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4.2539989659657004E-6</v>
      </c>
      <c r="C8" s="423"/>
      <c r="D8" s="425">
        <f>vkm_NGW_PW*SUMIFS(TableVerdeelsleutelVkm[CNG],TableVerdeelsleutelVkm[Voertuigtype],"Lichte voertuigen")*SUMIFS(TableECFTransport[EnergieConsumptieFactor (PJ per km)],TableECFTransport[Index],CONCATENATE($A8,"_CNG_CNG"))</f>
        <v>1.7819024655734424E-5</v>
      </c>
      <c r="E8" s="425">
        <f>vkm_NGW_PW*SUMIFS(TableVerdeelsleutelVkm[LPG],TableVerdeelsleutelVkm[Voertuigtype],"Lichte voertuigen")*SUMIFS(TableECFTransport[EnergieConsumptieFactor (PJ per km)],TableECFTransport[Index],CONCATENATE($A8,"_LPG_LPG"))</f>
        <v>2.905078202102596E-5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8.3731248692725923E-3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2.960937627336221E-3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5.7637640343308108E-4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1.0156012864509648E-3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2.0928436621366926E-8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5.9337185833087631E-5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5.5843087504249999E-7</v>
      </c>
      <c r="C10" s="423"/>
      <c r="D10" s="425">
        <f>vkm_SW_PW*SUMIFS(TableVerdeelsleutelVkm[CNG],TableVerdeelsleutelVkm[Voertuigtype],"Lichte voertuigen")*SUMIFS(TableECFTransport[EnergieConsumptieFactor (PJ per km)],TableECFTransport[Index],CONCATENATE($A10,"_CNG_CNG"))</f>
        <v>1.3832069167081772E-6</v>
      </c>
      <c r="E10" s="425">
        <f>vkm_SW_PW*SUMIFS(TableVerdeelsleutelVkm[LPG],TableVerdeelsleutelVkm[Voertuigtype],"Lichte voertuigen")*SUMIFS(TableECFTransport[EnergieConsumptieFactor (PJ per km)],TableECFTransport[Index],CONCATENATE($A10,"_LPG_LPG"))</f>
        <v>2.9607161654423011E-6</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8.1161707903720771E-4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2.4530976174455256E-4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5.4641199794509388E-5</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4.8793928021417007E-4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8.6949895341145276E-9</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2.8508139431593352E-5</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20.233623082809775</v>
      </c>
      <c r="C14" s="21"/>
      <c r="D14" s="21">
        <f t="shared" ref="D14:M14" si="0">((D5)*10^9/3600)+D12</f>
        <v>52.164929351727643</v>
      </c>
      <c r="E14" s="21">
        <f t="shared" si="0"/>
        <v>89.289174515323253</v>
      </c>
      <c r="F14" s="21"/>
      <c r="G14" s="21">
        <f t="shared" si="0"/>
        <v>56002.104315253397</v>
      </c>
      <c r="H14" s="21">
        <f t="shared" si="0"/>
        <v>8847.8860337567985</v>
      </c>
      <c r="I14" s="21"/>
      <c r="J14" s="21"/>
      <c r="K14" s="21"/>
      <c r="L14" s="21"/>
      <c r="M14" s="21">
        <f t="shared" si="0"/>
        <v>3532.4263369318946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0.14732109392037376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2.9808394865320613</v>
      </c>
      <c r="C18" s="23"/>
      <c r="D18" s="23">
        <f t="shared" ref="D18:M18" si="1">D14*D16</f>
        <v>10.537315729048984</v>
      </c>
      <c r="E18" s="23">
        <f t="shared" si="1"/>
        <v>20.268642614978379</v>
      </c>
      <c r="F18" s="23"/>
      <c r="G18" s="23">
        <f t="shared" si="1"/>
        <v>14952.561852172657</v>
      </c>
      <c r="H18" s="23">
        <f t="shared" si="1"/>
        <v>2203.1236224054428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2.3010258354323313E-3</v>
      </c>
      <c r="H50" s="319">
        <f t="shared" si="2"/>
        <v>0</v>
      </c>
      <c r="I50" s="319">
        <f t="shared" si="2"/>
        <v>0</v>
      </c>
      <c r="J50" s="319">
        <f t="shared" si="2"/>
        <v>0</v>
      </c>
      <c r="K50" s="319">
        <f t="shared" si="2"/>
        <v>0</v>
      </c>
      <c r="L50" s="319">
        <f t="shared" si="2"/>
        <v>0</v>
      </c>
      <c r="M50" s="319">
        <f t="shared" si="2"/>
        <v>1.3067823733014868E-4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2.3010258354323313E-3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1.3067823733014868E-4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639.17384317564768</v>
      </c>
      <c r="H54" s="21">
        <f t="shared" si="3"/>
        <v>0</v>
      </c>
      <c r="I54" s="21">
        <f t="shared" si="3"/>
        <v>0</v>
      </c>
      <c r="J54" s="21">
        <f t="shared" si="3"/>
        <v>0</v>
      </c>
      <c r="K54" s="21">
        <f t="shared" si="3"/>
        <v>0</v>
      </c>
      <c r="L54" s="21">
        <f t="shared" si="3"/>
        <v>0</v>
      </c>
      <c r="M54" s="21">
        <f t="shared" si="3"/>
        <v>36.299510369485745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0.14732109392037376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170.65941612789794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12589.649472361161</v>
      </c>
      <c r="D10" s="979">
        <f ca="1">tertiair!C16</f>
        <v>0</v>
      </c>
      <c r="E10" s="979">
        <f ca="1">tertiair!D16</f>
        <v>13874.458073916114</v>
      </c>
      <c r="F10" s="979">
        <f>tertiair!E16</f>
        <v>193.02329906395309</v>
      </c>
      <c r="G10" s="979">
        <f ca="1">tertiair!F16</f>
        <v>2138.2297366330558</v>
      </c>
      <c r="H10" s="979">
        <f>tertiair!G16</f>
        <v>0</v>
      </c>
      <c r="I10" s="979">
        <f>tertiair!H16</f>
        <v>0</v>
      </c>
      <c r="J10" s="979">
        <f>tertiair!I16</f>
        <v>0</v>
      </c>
      <c r="K10" s="979">
        <f>tertiair!J16</f>
        <v>2.8092330337602913E-2</v>
      </c>
      <c r="L10" s="979">
        <f>tertiair!K16</f>
        <v>0</v>
      </c>
      <c r="M10" s="979">
        <f ca="1">tertiair!L16</f>
        <v>0</v>
      </c>
      <c r="N10" s="979">
        <f>tertiair!M16</f>
        <v>0</v>
      </c>
      <c r="O10" s="979">
        <f ca="1">tertiair!N16</f>
        <v>1115.8169321784731</v>
      </c>
      <c r="P10" s="979">
        <f>tertiair!O16</f>
        <v>0</v>
      </c>
      <c r="Q10" s="980">
        <f>tertiair!P16</f>
        <v>0</v>
      </c>
      <c r="R10" s="674">
        <f ca="1">SUM(C10:Q10)</f>
        <v>29911.205606483094</v>
      </c>
      <c r="S10" s="67"/>
    </row>
    <row r="11" spans="1:19" s="447" customFormat="1">
      <c r="A11" s="783" t="s">
        <v>224</v>
      </c>
      <c r="B11" s="788"/>
      <c r="C11" s="979">
        <f>huishoudens!B8</f>
        <v>14223.616296580962</v>
      </c>
      <c r="D11" s="979">
        <f>huishoudens!C8</f>
        <v>0</v>
      </c>
      <c r="E11" s="979">
        <f>huishoudens!D8</f>
        <v>38851.334876029759</v>
      </c>
      <c r="F11" s="979">
        <f>huishoudens!E8</f>
        <v>852.91168128039976</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3134.793823386176</v>
      </c>
      <c r="P11" s="979">
        <f>huishoudens!O8</f>
        <v>112.56000000000002</v>
      </c>
      <c r="Q11" s="980">
        <f>huishoudens!P8</f>
        <v>247.86666666666667</v>
      </c>
      <c r="R11" s="674">
        <f>SUM(C11:Q11)</f>
        <v>57423.083343943967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1467.2385354466899</v>
      </c>
      <c r="D13" s="979">
        <f>industrie!C18</f>
        <v>0</v>
      </c>
      <c r="E13" s="979">
        <f>industrie!D18</f>
        <v>3254.0499654099008</v>
      </c>
      <c r="F13" s="979">
        <f>industrie!E18</f>
        <v>238.8515253012346</v>
      </c>
      <c r="G13" s="979">
        <f>industrie!F18</f>
        <v>694.4412898835368</v>
      </c>
      <c r="H13" s="979">
        <f>industrie!G18</f>
        <v>0</v>
      </c>
      <c r="I13" s="979">
        <f>industrie!H18</f>
        <v>0</v>
      </c>
      <c r="J13" s="979">
        <f>industrie!I18</f>
        <v>0</v>
      </c>
      <c r="K13" s="979">
        <f>industrie!J18</f>
        <v>1.0573159330007178</v>
      </c>
      <c r="L13" s="979">
        <f>industrie!K18</f>
        <v>0</v>
      </c>
      <c r="M13" s="979">
        <f>industrie!L18</f>
        <v>0</v>
      </c>
      <c r="N13" s="979">
        <f>industrie!M18</f>
        <v>0</v>
      </c>
      <c r="O13" s="979">
        <f>industrie!N18</f>
        <v>107.45558600565265</v>
      </c>
      <c r="P13" s="979">
        <f>industrie!O18</f>
        <v>0</v>
      </c>
      <c r="Q13" s="980">
        <f>industrie!P18</f>
        <v>0</v>
      </c>
      <c r="R13" s="674">
        <f>SUM(C13:Q13)</f>
        <v>5763.0942179800159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28280.504304388814</v>
      </c>
      <c r="D16" s="706">
        <f t="shared" ref="D16:R16" ca="1" si="0">SUM(D9:D15)</f>
        <v>0</v>
      </c>
      <c r="E16" s="706">
        <f t="shared" ca="1" si="0"/>
        <v>55979.842915355774</v>
      </c>
      <c r="F16" s="706">
        <f t="shared" si="0"/>
        <v>1284.7865056455876</v>
      </c>
      <c r="G16" s="706">
        <f t="shared" ca="1" si="0"/>
        <v>2832.6710265165925</v>
      </c>
      <c r="H16" s="706">
        <f t="shared" si="0"/>
        <v>0</v>
      </c>
      <c r="I16" s="706">
        <f t="shared" si="0"/>
        <v>0</v>
      </c>
      <c r="J16" s="706">
        <f t="shared" si="0"/>
        <v>0</v>
      </c>
      <c r="K16" s="706">
        <f t="shared" si="0"/>
        <v>1.0854082633383206</v>
      </c>
      <c r="L16" s="706">
        <f t="shared" si="0"/>
        <v>0</v>
      </c>
      <c r="M16" s="706">
        <f t="shared" ca="1" si="0"/>
        <v>0</v>
      </c>
      <c r="N16" s="706">
        <f t="shared" si="0"/>
        <v>0</v>
      </c>
      <c r="O16" s="706">
        <f t="shared" ca="1" si="0"/>
        <v>4358.0663415703011</v>
      </c>
      <c r="P16" s="706">
        <f t="shared" si="0"/>
        <v>112.56000000000002</v>
      </c>
      <c r="Q16" s="706">
        <f t="shared" si="0"/>
        <v>247.86666666666667</v>
      </c>
      <c r="R16" s="706">
        <f t="shared" ca="1" si="0"/>
        <v>93097.383168407076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639.17384317564768</v>
      </c>
      <c r="I19" s="979">
        <f>transport!H54</f>
        <v>0</v>
      </c>
      <c r="J19" s="979">
        <f>transport!I54</f>
        <v>0</v>
      </c>
      <c r="K19" s="979">
        <f>transport!J54</f>
        <v>0</v>
      </c>
      <c r="L19" s="979">
        <f>transport!K54</f>
        <v>0</v>
      </c>
      <c r="M19" s="979">
        <f>transport!L54</f>
        <v>0</v>
      </c>
      <c r="N19" s="979">
        <f>transport!M54</f>
        <v>36.299510369485745</v>
      </c>
      <c r="O19" s="979">
        <f>transport!N54</f>
        <v>0</v>
      </c>
      <c r="P19" s="979">
        <f>transport!O54</f>
        <v>0</v>
      </c>
      <c r="Q19" s="980">
        <f>transport!P54</f>
        <v>0</v>
      </c>
      <c r="R19" s="674">
        <f>SUM(C19:Q19)</f>
        <v>675.47335354513348</v>
      </c>
      <c r="S19" s="67"/>
    </row>
    <row r="20" spans="1:19" s="447" customFormat="1">
      <c r="A20" s="783" t="s">
        <v>306</v>
      </c>
      <c r="B20" s="788"/>
      <c r="C20" s="979">
        <f>transport!B14</f>
        <v>20.233623082809775</v>
      </c>
      <c r="D20" s="979">
        <f>transport!C14</f>
        <v>0</v>
      </c>
      <c r="E20" s="979">
        <f>transport!D14</f>
        <v>52.164929351727643</v>
      </c>
      <c r="F20" s="979">
        <f>transport!E14</f>
        <v>89.289174515323253</v>
      </c>
      <c r="G20" s="979">
        <f>transport!F14</f>
        <v>0</v>
      </c>
      <c r="H20" s="979">
        <f>transport!G14</f>
        <v>56002.104315253397</v>
      </c>
      <c r="I20" s="979">
        <f>transport!H14</f>
        <v>8847.8860337567985</v>
      </c>
      <c r="J20" s="979">
        <f>transport!I14</f>
        <v>0</v>
      </c>
      <c r="K20" s="979">
        <f>transport!J14</f>
        <v>0</v>
      </c>
      <c r="L20" s="979">
        <f>transport!K14</f>
        <v>0</v>
      </c>
      <c r="M20" s="979">
        <f>transport!L14</f>
        <v>0</v>
      </c>
      <c r="N20" s="979">
        <f>transport!M14</f>
        <v>3532.4263369318946</v>
      </c>
      <c r="O20" s="979">
        <f>transport!N14</f>
        <v>0</v>
      </c>
      <c r="P20" s="979">
        <f>transport!O14</f>
        <v>0</v>
      </c>
      <c r="Q20" s="980">
        <f>transport!P14</f>
        <v>0</v>
      </c>
      <c r="R20" s="674">
        <f>SUM(C20:Q20)</f>
        <v>68544.104412891946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20.233623082809775</v>
      </c>
      <c r="D22" s="786">
        <f t="shared" ref="D22:R22" si="1">SUM(D18:D21)</f>
        <v>0</v>
      </c>
      <c r="E22" s="786">
        <f t="shared" si="1"/>
        <v>52.164929351727643</v>
      </c>
      <c r="F22" s="786">
        <f t="shared" si="1"/>
        <v>89.289174515323253</v>
      </c>
      <c r="G22" s="786">
        <f t="shared" si="1"/>
        <v>0</v>
      </c>
      <c r="H22" s="786">
        <f t="shared" si="1"/>
        <v>56641.278158429042</v>
      </c>
      <c r="I22" s="786">
        <f t="shared" si="1"/>
        <v>8847.8860337567985</v>
      </c>
      <c r="J22" s="786">
        <f t="shared" si="1"/>
        <v>0</v>
      </c>
      <c r="K22" s="786">
        <f t="shared" si="1"/>
        <v>0</v>
      </c>
      <c r="L22" s="786">
        <f t="shared" si="1"/>
        <v>0</v>
      </c>
      <c r="M22" s="786">
        <f t="shared" si="1"/>
        <v>0</v>
      </c>
      <c r="N22" s="786">
        <f t="shared" si="1"/>
        <v>3568.7258473013803</v>
      </c>
      <c r="O22" s="786">
        <f t="shared" si="1"/>
        <v>0</v>
      </c>
      <c r="P22" s="786">
        <f t="shared" si="1"/>
        <v>0</v>
      </c>
      <c r="Q22" s="786">
        <f t="shared" si="1"/>
        <v>0</v>
      </c>
      <c r="R22" s="786">
        <f t="shared" si="1"/>
        <v>69219.577766437083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184.6419862377868</v>
      </c>
      <c r="D24" s="979">
        <f>+landbouw!C8</f>
        <v>0</v>
      </c>
      <c r="E24" s="979">
        <f>+landbouw!D8</f>
        <v>19.297639415079136</v>
      </c>
      <c r="F24" s="979">
        <f>+landbouw!E8</f>
        <v>5.4271919372478301</v>
      </c>
      <c r="G24" s="979">
        <f>+landbouw!F8</f>
        <v>769.20853713738074</v>
      </c>
      <c r="H24" s="979">
        <f>+landbouw!G8</f>
        <v>0</v>
      </c>
      <c r="I24" s="979">
        <f>+landbouw!H8</f>
        <v>0</v>
      </c>
      <c r="J24" s="979">
        <f>+landbouw!I8</f>
        <v>0</v>
      </c>
      <c r="K24" s="979">
        <f>+landbouw!J8</f>
        <v>26.75065857381129</v>
      </c>
      <c r="L24" s="979">
        <f>+landbouw!K8</f>
        <v>0</v>
      </c>
      <c r="M24" s="979">
        <f>+landbouw!L8</f>
        <v>0</v>
      </c>
      <c r="N24" s="979">
        <f>+landbouw!M8</f>
        <v>0</v>
      </c>
      <c r="O24" s="979">
        <f>+landbouw!N8</f>
        <v>0</v>
      </c>
      <c r="P24" s="979">
        <f>+landbouw!O8</f>
        <v>0</v>
      </c>
      <c r="Q24" s="980">
        <f>+landbouw!P8</f>
        <v>0</v>
      </c>
      <c r="R24" s="674">
        <f>SUM(C24:Q24)</f>
        <v>1005.3260133013058</v>
      </c>
      <c r="S24" s="67"/>
    </row>
    <row r="25" spans="1:19" s="447" customFormat="1" ht="15" thickBot="1">
      <c r="A25" s="805" t="s">
        <v>823</v>
      </c>
      <c r="B25" s="982"/>
      <c r="C25" s="983">
        <f>IF(Onbekend_ele_kWh="---",0,Onbekend_ele_kWh)/1000+IF(REST_rest_ele_kWh="---",0,REST_rest_ele_kWh)/1000</f>
        <v>630.61357341814494</v>
      </c>
      <c r="D25" s="983"/>
      <c r="E25" s="983">
        <f>IF(onbekend_gas_kWh="---",0,onbekend_gas_kWh)/1000+IF(REST_rest_gas_kWh="---",0,REST_rest_gas_kWh)/1000</f>
        <v>896.19026956333698</v>
      </c>
      <c r="F25" s="983"/>
      <c r="G25" s="983"/>
      <c r="H25" s="983"/>
      <c r="I25" s="983"/>
      <c r="J25" s="983"/>
      <c r="K25" s="983"/>
      <c r="L25" s="983"/>
      <c r="M25" s="983"/>
      <c r="N25" s="983"/>
      <c r="O25" s="983"/>
      <c r="P25" s="983"/>
      <c r="Q25" s="984"/>
      <c r="R25" s="674">
        <f>SUM(C25:Q25)</f>
        <v>1526.8038429814819</v>
      </c>
      <c r="S25" s="67"/>
    </row>
    <row r="26" spans="1:19" s="447" customFormat="1" ht="15.75" thickBot="1">
      <c r="A26" s="679" t="s">
        <v>824</v>
      </c>
      <c r="B26" s="791"/>
      <c r="C26" s="786">
        <f>SUM(C24:C25)</f>
        <v>815.25555965593173</v>
      </c>
      <c r="D26" s="786">
        <f t="shared" ref="D26:R26" si="2">SUM(D24:D25)</f>
        <v>0</v>
      </c>
      <c r="E26" s="786">
        <f t="shared" si="2"/>
        <v>915.48790897841616</v>
      </c>
      <c r="F26" s="786">
        <f t="shared" si="2"/>
        <v>5.4271919372478301</v>
      </c>
      <c r="G26" s="786">
        <f t="shared" si="2"/>
        <v>769.20853713738074</v>
      </c>
      <c r="H26" s="786">
        <f t="shared" si="2"/>
        <v>0</v>
      </c>
      <c r="I26" s="786">
        <f t="shared" si="2"/>
        <v>0</v>
      </c>
      <c r="J26" s="786">
        <f t="shared" si="2"/>
        <v>0</v>
      </c>
      <c r="K26" s="786">
        <f t="shared" si="2"/>
        <v>26.75065857381129</v>
      </c>
      <c r="L26" s="786">
        <f t="shared" si="2"/>
        <v>0</v>
      </c>
      <c r="M26" s="786">
        <f t="shared" si="2"/>
        <v>0</v>
      </c>
      <c r="N26" s="786">
        <f t="shared" si="2"/>
        <v>0</v>
      </c>
      <c r="O26" s="786">
        <f t="shared" si="2"/>
        <v>0</v>
      </c>
      <c r="P26" s="786">
        <f t="shared" si="2"/>
        <v>0</v>
      </c>
      <c r="Q26" s="786">
        <f t="shared" si="2"/>
        <v>0</v>
      </c>
      <c r="R26" s="786">
        <f t="shared" si="2"/>
        <v>2532.1298562827878</v>
      </c>
      <c r="S26" s="67"/>
    </row>
    <row r="27" spans="1:19" s="447" customFormat="1" ht="17.25" thickTop="1" thickBot="1">
      <c r="A27" s="680" t="s">
        <v>115</v>
      </c>
      <c r="B27" s="779"/>
      <c r="C27" s="681">
        <f ca="1">C22+C16+C26</f>
        <v>29115.993487127558</v>
      </c>
      <c r="D27" s="681">
        <f t="shared" ref="D27:R27" ca="1" si="3">D22+D16+D26</f>
        <v>0</v>
      </c>
      <c r="E27" s="681">
        <f t="shared" ca="1" si="3"/>
        <v>56947.495753685915</v>
      </c>
      <c r="F27" s="681">
        <f t="shared" si="3"/>
        <v>1379.5028720981588</v>
      </c>
      <c r="G27" s="681">
        <f t="shared" ca="1" si="3"/>
        <v>3601.8795636539735</v>
      </c>
      <c r="H27" s="681">
        <f t="shared" si="3"/>
        <v>56641.278158429042</v>
      </c>
      <c r="I27" s="681">
        <f t="shared" si="3"/>
        <v>8847.8860337567985</v>
      </c>
      <c r="J27" s="681">
        <f t="shared" si="3"/>
        <v>0</v>
      </c>
      <c r="K27" s="681">
        <f t="shared" si="3"/>
        <v>27.836066837149609</v>
      </c>
      <c r="L27" s="681">
        <f t="shared" si="3"/>
        <v>0</v>
      </c>
      <c r="M27" s="681">
        <f t="shared" ca="1" si="3"/>
        <v>0</v>
      </c>
      <c r="N27" s="681">
        <f t="shared" si="3"/>
        <v>3568.7258473013803</v>
      </c>
      <c r="O27" s="681">
        <f t="shared" ca="1" si="3"/>
        <v>4358.0663415703011</v>
      </c>
      <c r="P27" s="681">
        <f t="shared" si="3"/>
        <v>112.56000000000002</v>
      </c>
      <c r="Q27" s="681">
        <f t="shared" si="3"/>
        <v>247.86666666666667</v>
      </c>
      <c r="R27" s="681">
        <f t="shared" ca="1" si="3"/>
        <v>164849.09079112695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1854.7209323423026</v>
      </c>
      <c r="D40" s="979">
        <f ca="1">tertiair!C20</f>
        <v>0</v>
      </c>
      <c r="E40" s="979">
        <f ca="1">tertiair!D20</f>
        <v>2802.6405309310553</v>
      </c>
      <c r="F40" s="979">
        <f>tertiair!E20</f>
        <v>43.816288887517352</v>
      </c>
      <c r="G40" s="979">
        <f ca="1">tertiair!F20</f>
        <v>570.90733968102597</v>
      </c>
      <c r="H40" s="979">
        <f>tertiair!G20</f>
        <v>0</v>
      </c>
      <c r="I40" s="979">
        <f>tertiair!H20</f>
        <v>0</v>
      </c>
      <c r="J40" s="979">
        <f>tertiair!I20</f>
        <v>0</v>
      </c>
      <c r="K40" s="979">
        <f>tertiair!J20</f>
        <v>9.944684939511431E-3</v>
      </c>
      <c r="L40" s="979">
        <f>tertiair!K20</f>
        <v>0</v>
      </c>
      <c r="M40" s="979">
        <f ca="1">tertiair!L20</f>
        <v>0</v>
      </c>
      <c r="N40" s="979">
        <f>tertiair!M20</f>
        <v>0</v>
      </c>
      <c r="O40" s="979">
        <f ca="1">tertiair!N20</f>
        <v>0</v>
      </c>
      <c r="P40" s="979">
        <f>tertiair!O20</f>
        <v>0</v>
      </c>
      <c r="Q40" s="748">
        <f>tertiair!P20</f>
        <v>0</v>
      </c>
      <c r="R40" s="824">
        <f t="shared" ca="1" si="4"/>
        <v>5272.0950365268418</v>
      </c>
    </row>
    <row r="41" spans="1:18">
      <c r="A41" s="796" t="s">
        <v>224</v>
      </c>
      <c r="B41" s="803"/>
      <c r="C41" s="979">
        <f ca="1">huishoudens!B12</f>
        <v>2095.4387123159627</v>
      </c>
      <c r="D41" s="979">
        <f ca="1">huishoudens!C12</f>
        <v>0</v>
      </c>
      <c r="E41" s="979">
        <f>huishoudens!D12</f>
        <v>7847.9696449580115</v>
      </c>
      <c r="F41" s="979">
        <f>huishoudens!E12</f>
        <v>193.61095165065075</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10137.019308924626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216.15518608413345</v>
      </c>
      <c r="D43" s="979">
        <f ca="1">industrie!C22</f>
        <v>0</v>
      </c>
      <c r="E43" s="979">
        <f>industrie!D22</f>
        <v>657.31809301279998</v>
      </c>
      <c r="F43" s="979">
        <f>industrie!E22</f>
        <v>54.219296243380256</v>
      </c>
      <c r="G43" s="979">
        <f>industrie!F22</f>
        <v>185.41582439890433</v>
      </c>
      <c r="H43" s="979">
        <f>industrie!G22</f>
        <v>0</v>
      </c>
      <c r="I43" s="979">
        <f>industrie!H22</f>
        <v>0</v>
      </c>
      <c r="J43" s="979">
        <f>industrie!I22</f>
        <v>0</v>
      </c>
      <c r="K43" s="979">
        <f>industrie!J22</f>
        <v>0.37428984028225409</v>
      </c>
      <c r="L43" s="979">
        <f>industrie!K22</f>
        <v>0</v>
      </c>
      <c r="M43" s="979">
        <f>industrie!L22</f>
        <v>0</v>
      </c>
      <c r="N43" s="979">
        <f>industrie!M22</f>
        <v>0</v>
      </c>
      <c r="O43" s="979">
        <f>industrie!N22</f>
        <v>0</v>
      </c>
      <c r="P43" s="979">
        <f>industrie!O22</f>
        <v>0</v>
      </c>
      <c r="Q43" s="748">
        <f>industrie!P22</f>
        <v>0</v>
      </c>
      <c r="R43" s="823">
        <f t="shared" ca="1" si="4"/>
        <v>1113.4826895795002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4166.314830742399</v>
      </c>
      <c r="D46" s="706">
        <f t="shared" ref="D46:Q46" ca="1" si="5">SUM(D39:D45)</f>
        <v>0</v>
      </c>
      <c r="E46" s="706">
        <f t="shared" ca="1" si="5"/>
        <v>11307.928268901867</v>
      </c>
      <c r="F46" s="706">
        <f t="shared" si="5"/>
        <v>291.64653678154832</v>
      </c>
      <c r="G46" s="706">
        <f t="shared" ca="1" si="5"/>
        <v>756.32316407993028</v>
      </c>
      <c r="H46" s="706">
        <f t="shared" si="5"/>
        <v>0</v>
      </c>
      <c r="I46" s="706">
        <f t="shared" si="5"/>
        <v>0</v>
      </c>
      <c r="J46" s="706">
        <f t="shared" si="5"/>
        <v>0</v>
      </c>
      <c r="K46" s="706">
        <f t="shared" si="5"/>
        <v>0.38423452522176554</v>
      </c>
      <c r="L46" s="706">
        <f t="shared" si="5"/>
        <v>0</v>
      </c>
      <c r="M46" s="706">
        <f t="shared" ca="1" si="5"/>
        <v>0</v>
      </c>
      <c r="N46" s="706">
        <f t="shared" si="5"/>
        <v>0</v>
      </c>
      <c r="O46" s="706">
        <f t="shared" ca="1" si="5"/>
        <v>0</v>
      </c>
      <c r="P46" s="706">
        <f t="shared" si="5"/>
        <v>0</v>
      </c>
      <c r="Q46" s="706">
        <f t="shared" si="5"/>
        <v>0</v>
      </c>
      <c r="R46" s="706">
        <f ca="1">SUM(R39:R45)</f>
        <v>16522.597035030969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170.65941612789794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170.65941612789794</v>
      </c>
    </row>
    <row r="50" spans="1:18">
      <c r="A50" s="799" t="s">
        <v>306</v>
      </c>
      <c r="B50" s="809"/>
      <c r="C50" s="677">
        <f ca="1">transport!B18</f>
        <v>2.9808394865320613</v>
      </c>
      <c r="D50" s="677">
        <f>transport!C18</f>
        <v>0</v>
      </c>
      <c r="E50" s="677">
        <f>transport!D18</f>
        <v>10.537315729048984</v>
      </c>
      <c r="F50" s="677">
        <f>transport!E18</f>
        <v>20.268642614978379</v>
      </c>
      <c r="G50" s="677">
        <f>transport!F18</f>
        <v>0</v>
      </c>
      <c r="H50" s="677">
        <f>transport!G18</f>
        <v>14952.561852172657</v>
      </c>
      <c r="I50" s="677">
        <f>transport!H18</f>
        <v>2203.1236224054428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17189.472272408661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2.9808394865320613</v>
      </c>
      <c r="D52" s="706">
        <f t="shared" ref="D52:Q52" ca="1" si="6">SUM(D48:D51)</f>
        <v>0</v>
      </c>
      <c r="E52" s="706">
        <f t="shared" si="6"/>
        <v>10.537315729048984</v>
      </c>
      <c r="F52" s="706">
        <f t="shared" si="6"/>
        <v>20.268642614978379</v>
      </c>
      <c r="G52" s="706">
        <f t="shared" si="6"/>
        <v>0</v>
      </c>
      <c r="H52" s="706">
        <f t="shared" si="6"/>
        <v>15123.221268300555</v>
      </c>
      <c r="I52" s="706">
        <f t="shared" si="6"/>
        <v>2203.1236224054428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17360.13168853656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27.201659396181348</v>
      </c>
      <c r="D54" s="677">
        <f ca="1">+landbouw!C12</f>
        <v>0</v>
      </c>
      <c r="E54" s="677">
        <f>+landbouw!D12</f>
        <v>3.8981231618459855</v>
      </c>
      <c r="F54" s="677">
        <f>+landbouw!E12</f>
        <v>1.2319725697552575</v>
      </c>
      <c r="G54" s="677">
        <f>+landbouw!F12</f>
        <v>205.37867941568066</v>
      </c>
      <c r="H54" s="677">
        <f>+landbouw!G12</f>
        <v>0</v>
      </c>
      <c r="I54" s="677">
        <f>+landbouw!H12</f>
        <v>0</v>
      </c>
      <c r="J54" s="677">
        <f>+landbouw!I12</f>
        <v>0</v>
      </c>
      <c r="K54" s="677">
        <f>+landbouw!J12</f>
        <v>9.4697331351291965</v>
      </c>
      <c r="L54" s="677">
        <f>+landbouw!K12</f>
        <v>0</v>
      </c>
      <c r="M54" s="677">
        <f>+landbouw!L12</f>
        <v>0</v>
      </c>
      <c r="N54" s="677">
        <f>+landbouw!M12</f>
        <v>0</v>
      </c>
      <c r="O54" s="677">
        <f>+landbouw!N12</f>
        <v>0</v>
      </c>
      <c r="P54" s="677">
        <f>+landbouw!O12</f>
        <v>0</v>
      </c>
      <c r="Q54" s="678">
        <f>+landbouw!P12</f>
        <v>0</v>
      </c>
      <c r="R54" s="705">
        <f ca="1">SUM(C54:Q54)</f>
        <v>247.18016767859245</v>
      </c>
    </row>
    <row r="55" spans="1:18" ht="15" thickBot="1">
      <c r="A55" s="799" t="s">
        <v>823</v>
      </c>
      <c r="B55" s="809"/>
      <c r="C55" s="677">
        <f ca="1">C25*'EF ele_warmte'!B12</f>
        <v>92.902681476997046</v>
      </c>
      <c r="D55" s="677"/>
      <c r="E55" s="677">
        <f>E25*EF_CO2_aardgas</f>
        <v>181.03043445179409</v>
      </c>
      <c r="F55" s="677"/>
      <c r="G55" s="677"/>
      <c r="H55" s="677"/>
      <c r="I55" s="677"/>
      <c r="J55" s="677"/>
      <c r="K55" s="677"/>
      <c r="L55" s="677"/>
      <c r="M55" s="677"/>
      <c r="N55" s="677"/>
      <c r="O55" s="677"/>
      <c r="P55" s="677"/>
      <c r="Q55" s="678"/>
      <c r="R55" s="705">
        <f ca="1">SUM(C55:Q55)</f>
        <v>273.93311592879115</v>
      </c>
    </row>
    <row r="56" spans="1:18" ht="15.75" thickBot="1">
      <c r="A56" s="797" t="s">
        <v>824</v>
      </c>
      <c r="B56" s="810"/>
      <c r="C56" s="706">
        <f ca="1">SUM(C54:C55)</f>
        <v>120.10434087317839</v>
      </c>
      <c r="D56" s="706">
        <f t="shared" ref="D56:Q56" ca="1" si="7">SUM(D54:D55)</f>
        <v>0</v>
      </c>
      <c r="E56" s="706">
        <f t="shared" si="7"/>
        <v>184.92855761364007</v>
      </c>
      <c r="F56" s="706">
        <f t="shared" si="7"/>
        <v>1.2319725697552575</v>
      </c>
      <c r="G56" s="706">
        <f t="shared" si="7"/>
        <v>205.37867941568066</v>
      </c>
      <c r="H56" s="706">
        <f t="shared" si="7"/>
        <v>0</v>
      </c>
      <c r="I56" s="706">
        <f t="shared" si="7"/>
        <v>0</v>
      </c>
      <c r="J56" s="706">
        <f t="shared" si="7"/>
        <v>0</v>
      </c>
      <c r="K56" s="706">
        <f t="shared" si="7"/>
        <v>9.4697331351291965</v>
      </c>
      <c r="L56" s="706">
        <f t="shared" si="7"/>
        <v>0</v>
      </c>
      <c r="M56" s="706">
        <f t="shared" si="7"/>
        <v>0</v>
      </c>
      <c r="N56" s="706">
        <f t="shared" si="7"/>
        <v>0</v>
      </c>
      <c r="O56" s="706">
        <f t="shared" si="7"/>
        <v>0</v>
      </c>
      <c r="P56" s="706">
        <f t="shared" si="7"/>
        <v>0</v>
      </c>
      <c r="Q56" s="707">
        <f t="shared" si="7"/>
        <v>0</v>
      </c>
      <c r="R56" s="708">
        <f ca="1">SUM(R54:R55)</f>
        <v>521.11328360738366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4289.4000111021096</v>
      </c>
      <c r="D61" s="714">
        <f t="shared" ref="D61:Q61" ca="1" si="8">D46+D52+D56</f>
        <v>0</v>
      </c>
      <c r="E61" s="714">
        <f t="shared" ca="1" si="8"/>
        <v>11503.394142244557</v>
      </c>
      <c r="F61" s="714">
        <f t="shared" si="8"/>
        <v>313.14715196628197</v>
      </c>
      <c r="G61" s="714">
        <f t="shared" ca="1" si="8"/>
        <v>961.701843495611</v>
      </c>
      <c r="H61" s="714">
        <f t="shared" si="8"/>
        <v>15123.221268300555</v>
      </c>
      <c r="I61" s="714">
        <f t="shared" si="8"/>
        <v>2203.1236224054428</v>
      </c>
      <c r="J61" s="714">
        <f t="shared" si="8"/>
        <v>0</v>
      </c>
      <c r="K61" s="714">
        <f t="shared" si="8"/>
        <v>9.8539676603509623</v>
      </c>
      <c r="L61" s="714">
        <f t="shared" si="8"/>
        <v>0</v>
      </c>
      <c r="M61" s="714">
        <f t="shared" ca="1" si="8"/>
        <v>0</v>
      </c>
      <c r="N61" s="714">
        <f t="shared" si="8"/>
        <v>0</v>
      </c>
      <c r="O61" s="714">
        <f t="shared" ca="1" si="8"/>
        <v>0</v>
      </c>
      <c r="P61" s="714">
        <f t="shared" si="8"/>
        <v>0</v>
      </c>
      <c r="Q61" s="714">
        <f t="shared" si="8"/>
        <v>0</v>
      </c>
      <c r="R61" s="714">
        <f ca="1">R46+R52+R56</f>
        <v>34403.842007174913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0.14732109392037376</v>
      </c>
      <c r="D63" s="755">
        <f t="shared" ca="1" si="9"/>
        <v>0</v>
      </c>
      <c r="E63" s="990">
        <f t="shared" ca="1" si="9"/>
        <v>0.20200000000000004</v>
      </c>
      <c r="F63" s="755">
        <f t="shared" si="9"/>
        <v>0.22699999999999992</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7751.016563645846</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1955.9270994902658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9706.9436631361114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7751.016563645846</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1955.9270994902658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9706.9436631361114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14223.616296580962</v>
      </c>
      <c r="C4" s="451">
        <f>huishoudens!C8</f>
        <v>0</v>
      </c>
      <c r="D4" s="451">
        <f>huishoudens!D8</f>
        <v>38851.334876029759</v>
      </c>
      <c r="E4" s="451">
        <f>huishoudens!E8</f>
        <v>852.91168128039976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3134.793823386176</v>
      </c>
      <c r="O4" s="451">
        <f>huishoudens!O8</f>
        <v>112.56000000000002</v>
      </c>
      <c r="P4" s="452">
        <f>huishoudens!P8</f>
        <v>247.86666666666667</v>
      </c>
      <c r="Q4" s="453">
        <f>SUM(B4:P4)</f>
        <v>57423.083343943967</v>
      </c>
    </row>
    <row r="5" spans="1:17">
      <c r="A5" s="450" t="s">
        <v>155</v>
      </c>
      <c r="B5" s="451">
        <f ca="1">tertiair!B16</f>
        <v>12174.184472361161</v>
      </c>
      <c r="C5" s="451">
        <f ca="1">tertiair!C16</f>
        <v>0</v>
      </c>
      <c r="D5" s="451">
        <f ca="1">tertiair!D16</f>
        <v>13874.458073916114</v>
      </c>
      <c r="E5" s="451">
        <f>tertiair!E16</f>
        <v>193.02329906395309</v>
      </c>
      <c r="F5" s="451">
        <f ca="1">tertiair!F16</f>
        <v>2138.2297366330558</v>
      </c>
      <c r="G5" s="451">
        <f>tertiair!G16</f>
        <v>0</v>
      </c>
      <c r="H5" s="451">
        <f>tertiair!H16</f>
        <v>0</v>
      </c>
      <c r="I5" s="451">
        <f>tertiair!I16</f>
        <v>0</v>
      </c>
      <c r="J5" s="451">
        <f>tertiair!J16</f>
        <v>2.8092330337602913E-2</v>
      </c>
      <c r="K5" s="451">
        <f>tertiair!K16</f>
        <v>0</v>
      </c>
      <c r="L5" s="451">
        <f ca="1">tertiair!L16</f>
        <v>0</v>
      </c>
      <c r="M5" s="451">
        <f>tertiair!M16</f>
        <v>0</v>
      </c>
      <c r="N5" s="451">
        <f ca="1">tertiair!N16</f>
        <v>1115.8169321784731</v>
      </c>
      <c r="O5" s="451">
        <f>tertiair!O16</f>
        <v>0</v>
      </c>
      <c r="P5" s="452">
        <f>tertiair!P16</f>
        <v>0</v>
      </c>
      <c r="Q5" s="450">
        <f t="shared" ref="Q5:Q14" ca="1" si="0">SUM(B5:P5)</f>
        <v>29495.740606483094</v>
      </c>
    </row>
    <row r="6" spans="1:17">
      <c r="A6" s="450" t="s">
        <v>193</v>
      </c>
      <c r="B6" s="451">
        <f>'openbare verlichting'!B8</f>
        <v>415.46499999999997</v>
      </c>
      <c r="C6" s="451"/>
      <c r="D6" s="451"/>
      <c r="E6" s="451"/>
      <c r="F6" s="451"/>
      <c r="G6" s="451"/>
      <c r="H6" s="451"/>
      <c r="I6" s="451"/>
      <c r="J6" s="451"/>
      <c r="K6" s="451"/>
      <c r="L6" s="451"/>
      <c r="M6" s="451"/>
      <c r="N6" s="451"/>
      <c r="O6" s="451"/>
      <c r="P6" s="452"/>
      <c r="Q6" s="450">
        <f t="shared" si="0"/>
        <v>415.46499999999997</v>
      </c>
    </row>
    <row r="7" spans="1:17">
      <c r="A7" s="450" t="s">
        <v>111</v>
      </c>
      <c r="B7" s="451">
        <f>landbouw!B8</f>
        <v>184.6419862377868</v>
      </c>
      <c r="C7" s="451">
        <f>landbouw!C8</f>
        <v>0</v>
      </c>
      <c r="D7" s="451">
        <f>landbouw!D8</f>
        <v>19.297639415079136</v>
      </c>
      <c r="E7" s="451">
        <f>landbouw!E8</f>
        <v>5.4271919372478301</v>
      </c>
      <c r="F7" s="451">
        <f>landbouw!F8</f>
        <v>769.20853713738074</v>
      </c>
      <c r="G7" s="451">
        <f>landbouw!G8</f>
        <v>0</v>
      </c>
      <c r="H7" s="451">
        <f>landbouw!H8</f>
        <v>0</v>
      </c>
      <c r="I7" s="451">
        <f>landbouw!I8</f>
        <v>0</v>
      </c>
      <c r="J7" s="451">
        <f>landbouw!J8</f>
        <v>26.75065857381129</v>
      </c>
      <c r="K7" s="451">
        <f>landbouw!K8</f>
        <v>0</v>
      </c>
      <c r="L7" s="451">
        <f>landbouw!L8</f>
        <v>0</v>
      </c>
      <c r="M7" s="451">
        <f>landbouw!M8</f>
        <v>0</v>
      </c>
      <c r="N7" s="451">
        <f>landbouw!N8</f>
        <v>0</v>
      </c>
      <c r="O7" s="451">
        <f>landbouw!O8</f>
        <v>0</v>
      </c>
      <c r="P7" s="452">
        <f>landbouw!P8</f>
        <v>0</v>
      </c>
      <c r="Q7" s="450">
        <f t="shared" si="0"/>
        <v>1005.3260133013058</v>
      </c>
    </row>
    <row r="8" spans="1:17">
      <c r="A8" s="450" t="s">
        <v>634</v>
      </c>
      <c r="B8" s="451">
        <f>industrie!B18</f>
        <v>1467.2385354466899</v>
      </c>
      <c r="C8" s="451">
        <f>industrie!C18</f>
        <v>0</v>
      </c>
      <c r="D8" s="451">
        <f>industrie!D18</f>
        <v>3254.0499654099008</v>
      </c>
      <c r="E8" s="451">
        <f>industrie!E18</f>
        <v>238.8515253012346</v>
      </c>
      <c r="F8" s="451">
        <f>industrie!F18</f>
        <v>694.4412898835368</v>
      </c>
      <c r="G8" s="451">
        <f>industrie!G18</f>
        <v>0</v>
      </c>
      <c r="H8" s="451">
        <f>industrie!H18</f>
        <v>0</v>
      </c>
      <c r="I8" s="451">
        <f>industrie!I18</f>
        <v>0</v>
      </c>
      <c r="J8" s="451">
        <f>industrie!J18</f>
        <v>1.0573159330007178</v>
      </c>
      <c r="K8" s="451">
        <f>industrie!K18</f>
        <v>0</v>
      </c>
      <c r="L8" s="451">
        <f>industrie!L18</f>
        <v>0</v>
      </c>
      <c r="M8" s="451">
        <f>industrie!M18</f>
        <v>0</v>
      </c>
      <c r="N8" s="451">
        <f>industrie!N18</f>
        <v>107.45558600565265</v>
      </c>
      <c r="O8" s="451">
        <f>industrie!O18</f>
        <v>0</v>
      </c>
      <c r="P8" s="452">
        <f>industrie!P18</f>
        <v>0</v>
      </c>
      <c r="Q8" s="450">
        <f t="shared" si="0"/>
        <v>5763.0942179800159</v>
      </c>
    </row>
    <row r="9" spans="1:17" s="456" customFormat="1">
      <c r="A9" s="454" t="s">
        <v>560</v>
      </c>
      <c r="B9" s="455">
        <f>transport!B14</f>
        <v>20.233623082809775</v>
      </c>
      <c r="C9" s="455">
        <f>transport!C14</f>
        <v>0</v>
      </c>
      <c r="D9" s="455">
        <f>transport!D14</f>
        <v>52.164929351727643</v>
      </c>
      <c r="E9" s="455">
        <f>transport!E14</f>
        <v>89.289174515323253</v>
      </c>
      <c r="F9" s="455">
        <f>transport!F14</f>
        <v>0</v>
      </c>
      <c r="G9" s="455">
        <f>transport!G14</f>
        <v>56002.104315253397</v>
      </c>
      <c r="H9" s="455">
        <f>transport!H14</f>
        <v>8847.8860337567985</v>
      </c>
      <c r="I9" s="455">
        <f>transport!I14</f>
        <v>0</v>
      </c>
      <c r="J9" s="455">
        <f>transport!J14</f>
        <v>0</v>
      </c>
      <c r="K9" s="455">
        <f>transport!K14</f>
        <v>0</v>
      </c>
      <c r="L9" s="455">
        <f>transport!L14</f>
        <v>0</v>
      </c>
      <c r="M9" s="455">
        <f>transport!M14</f>
        <v>3532.4263369318946</v>
      </c>
      <c r="N9" s="455">
        <f>transport!N14</f>
        <v>0</v>
      </c>
      <c r="O9" s="455">
        <f>transport!O14</f>
        <v>0</v>
      </c>
      <c r="P9" s="455">
        <f>transport!P14</f>
        <v>0</v>
      </c>
      <c r="Q9" s="454">
        <f>SUM(B9:P9)</f>
        <v>68544.104412891946</v>
      </c>
    </row>
    <row r="10" spans="1:17">
      <c r="A10" s="450" t="s">
        <v>550</v>
      </c>
      <c r="B10" s="451">
        <f>transport!B54</f>
        <v>0</v>
      </c>
      <c r="C10" s="451">
        <f>transport!C54</f>
        <v>0</v>
      </c>
      <c r="D10" s="451">
        <f>transport!D54</f>
        <v>0</v>
      </c>
      <c r="E10" s="451">
        <f>transport!E54</f>
        <v>0</v>
      </c>
      <c r="F10" s="451">
        <f>transport!F54</f>
        <v>0</v>
      </c>
      <c r="G10" s="451">
        <f>transport!G54</f>
        <v>639.17384317564768</v>
      </c>
      <c r="H10" s="451">
        <f>transport!H54</f>
        <v>0</v>
      </c>
      <c r="I10" s="451">
        <f>transport!I54</f>
        <v>0</v>
      </c>
      <c r="J10" s="451">
        <f>transport!J54</f>
        <v>0</v>
      </c>
      <c r="K10" s="451">
        <f>transport!K54</f>
        <v>0</v>
      </c>
      <c r="L10" s="451">
        <f>transport!L54</f>
        <v>0</v>
      </c>
      <c r="M10" s="451">
        <f>transport!M54</f>
        <v>36.299510369485745</v>
      </c>
      <c r="N10" s="451">
        <f>transport!N54</f>
        <v>0</v>
      </c>
      <c r="O10" s="451">
        <f>transport!O54</f>
        <v>0</v>
      </c>
      <c r="P10" s="452">
        <f>transport!P54</f>
        <v>0</v>
      </c>
      <c r="Q10" s="450">
        <f t="shared" si="0"/>
        <v>675.47335354513348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630.61357341814494</v>
      </c>
      <c r="C14" s="458"/>
      <c r="D14" s="458">
        <f>'SEAP template'!E25</f>
        <v>896.19026956333698</v>
      </c>
      <c r="E14" s="458"/>
      <c r="F14" s="458"/>
      <c r="G14" s="458"/>
      <c r="H14" s="458"/>
      <c r="I14" s="458"/>
      <c r="J14" s="458"/>
      <c r="K14" s="458"/>
      <c r="L14" s="458"/>
      <c r="M14" s="458"/>
      <c r="N14" s="458"/>
      <c r="O14" s="458"/>
      <c r="P14" s="459"/>
      <c r="Q14" s="450">
        <f t="shared" si="0"/>
        <v>1526.8038429814819</v>
      </c>
    </row>
    <row r="15" spans="1:17" s="460" customFormat="1">
      <c r="A15" s="1005" t="s">
        <v>554</v>
      </c>
      <c r="B15" s="953">
        <f ca="1">SUM(B4:B14)</f>
        <v>29115.993487127555</v>
      </c>
      <c r="C15" s="953">
        <f t="shared" ref="C15:Q15" ca="1" si="1">SUM(C4:C14)</f>
        <v>0</v>
      </c>
      <c r="D15" s="953">
        <f t="shared" ca="1" si="1"/>
        <v>56947.495753685915</v>
      </c>
      <c r="E15" s="953">
        <f t="shared" si="1"/>
        <v>1379.5028720981588</v>
      </c>
      <c r="F15" s="953">
        <f t="shared" ca="1" si="1"/>
        <v>3601.879563653973</v>
      </c>
      <c r="G15" s="953">
        <f t="shared" si="1"/>
        <v>56641.278158429042</v>
      </c>
      <c r="H15" s="953">
        <f t="shared" si="1"/>
        <v>8847.8860337567985</v>
      </c>
      <c r="I15" s="953">
        <f t="shared" si="1"/>
        <v>0</v>
      </c>
      <c r="J15" s="953">
        <f t="shared" si="1"/>
        <v>27.836066837149612</v>
      </c>
      <c r="K15" s="953">
        <f t="shared" si="1"/>
        <v>0</v>
      </c>
      <c r="L15" s="953">
        <f t="shared" ca="1" si="1"/>
        <v>0</v>
      </c>
      <c r="M15" s="953">
        <f t="shared" si="1"/>
        <v>3568.7258473013803</v>
      </c>
      <c r="N15" s="953">
        <f t="shared" ca="1" si="1"/>
        <v>4358.0663415703011</v>
      </c>
      <c r="O15" s="953">
        <f t="shared" si="1"/>
        <v>112.56000000000002</v>
      </c>
      <c r="P15" s="953">
        <f t="shared" si="1"/>
        <v>247.86666666666667</v>
      </c>
      <c r="Q15" s="953">
        <f t="shared" ca="1" si="1"/>
        <v>164849.09079112695</v>
      </c>
    </row>
    <row r="17" spans="1:17">
      <c r="A17" s="461" t="s">
        <v>555</v>
      </c>
      <c r="B17" s="760">
        <f ca="1">huishoudens!B10</f>
        <v>0.14732109392037376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2095.4387123159627</v>
      </c>
      <c r="C22" s="451">
        <f t="shared" ref="C22:C32" ca="1" si="3">C4*$C$17</f>
        <v>0</v>
      </c>
      <c r="D22" s="451">
        <f t="shared" ref="D22:D32" si="4">D4*$D$17</f>
        <v>7847.9696449580115</v>
      </c>
      <c r="E22" s="451">
        <f t="shared" ref="E22:E32" si="5">E4*$E$17</f>
        <v>193.61095165065075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10137.019308924626</v>
      </c>
    </row>
    <row r="23" spans="1:17">
      <c r="A23" s="450" t="s">
        <v>155</v>
      </c>
      <c r="B23" s="451">
        <f t="shared" ca="1" si="2"/>
        <v>1793.5141740566746</v>
      </c>
      <c r="C23" s="451">
        <f t="shared" ca="1" si="3"/>
        <v>0</v>
      </c>
      <c r="D23" s="451">
        <f t="shared" ca="1" si="4"/>
        <v>2802.6405309310553</v>
      </c>
      <c r="E23" s="451">
        <f t="shared" si="5"/>
        <v>43.816288887517352</v>
      </c>
      <c r="F23" s="451">
        <f t="shared" ca="1" si="6"/>
        <v>570.90733968102597</v>
      </c>
      <c r="G23" s="451">
        <f t="shared" si="7"/>
        <v>0</v>
      </c>
      <c r="H23" s="451">
        <f t="shared" si="8"/>
        <v>0</v>
      </c>
      <c r="I23" s="451">
        <f t="shared" si="9"/>
        <v>0</v>
      </c>
      <c r="J23" s="451">
        <f t="shared" si="10"/>
        <v>9.944684939511431E-3</v>
      </c>
      <c r="K23" s="451">
        <f t="shared" si="11"/>
        <v>0</v>
      </c>
      <c r="L23" s="451">
        <f t="shared" ca="1" si="12"/>
        <v>0</v>
      </c>
      <c r="M23" s="451">
        <f t="shared" si="13"/>
        <v>0</v>
      </c>
      <c r="N23" s="451">
        <f t="shared" ca="1" si="14"/>
        <v>0</v>
      </c>
      <c r="O23" s="451">
        <f t="shared" si="15"/>
        <v>0</v>
      </c>
      <c r="P23" s="452">
        <f t="shared" si="16"/>
        <v>0</v>
      </c>
      <c r="Q23" s="450">
        <f t="shared" ref="Q23:Q32" ca="1" si="17">SUM(B23:P23)</f>
        <v>5210.8882782412138</v>
      </c>
    </row>
    <row r="24" spans="1:17">
      <c r="A24" s="450" t="s">
        <v>193</v>
      </c>
      <c r="B24" s="451">
        <f t="shared" ca="1" si="2"/>
        <v>61.206758285628084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61.206758285628084</v>
      </c>
    </row>
    <row r="25" spans="1:17">
      <c r="A25" s="450" t="s">
        <v>111</v>
      </c>
      <c r="B25" s="451">
        <f t="shared" ca="1" si="2"/>
        <v>27.201659396181348</v>
      </c>
      <c r="C25" s="451">
        <f t="shared" ca="1" si="3"/>
        <v>0</v>
      </c>
      <c r="D25" s="451">
        <f t="shared" si="4"/>
        <v>3.8981231618459855</v>
      </c>
      <c r="E25" s="451">
        <f t="shared" si="5"/>
        <v>1.2319725697552575</v>
      </c>
      <c r="F25" s="451">
        <f t="shared" si="6"/>
        <v>205.37867941568066</v>
      </c>
      <c r="G25" s="451">
        <f t="shared" si="7"/>
        <v>0</v>
      </c>
      <c r="H25" s="451">
        <f t="shared" si="8"/>
        <v>0</v>
      </c>
      <c r="I25" s="451">
        <f t="shared" si="9"/>
        <v>0</v>
      </c>
      <c r="J25" s="451">
        <f t="shared" si="10"/>
        <v>9.4697331351291965</v>
      </c>
      <c r="K25" s="451">
        <f t="shared" si="11"/>
        <v>0</v>
      </c>
      <c r="L25" s="451">
        <f t="shared" si="12"/>
        <v>0</v>
      </c>
      <c r="M25" s="451">
        <f t="shared" si="13"/>
        <v>0</v>
      </c>
      <c r="N25" s="451">
        <f t="shared" si="14"/>
        <v>0</v>
      </c>
      <c r="O25" s="451">
        <f t="shared" si="15"/>
        <v>0</v>
      </c>
      <c r="P25" s="452">
        <f t="shared" si="16"/>
        <v>0</v>
      </c>
      <c r="Q25" s="450">
        <f t="shared" ca="1" si="17"/>
        <v>247.18016767859245</v>
      </c>
    </row>
    <row r="26" spans="1:17">
      <c r="A26" s="450" t="s">
        <v>634</v>
      </c>
      <c r="B26" s="451">
        <f t="shared" ca="1" si="2"/>
        <v>216.15518608413345</v>
      </c>
      <c r="C26" s="451">
        <f t="shared" ca="1" si="3"/>
        <v>0</v>
      </c>
      <c r="D26" s="451">
        <f t="shared" si="4"/>
        <v>657.31809301279998</v>
      </c>
      <c r="E26" s="451">
        <f t="shared" si="5"/>
        <v>54.219296243380256</v>
      </c>
      <c r="F26" s="451">
        <f t="shared" si="6"/>
        <v>185.41582439890433</v>
      </c>
      <c r="G26" s="451">
        <f t="shared" si="7"/>
        <v>0</v>
      </c>
      <c r="H26" s="451">
        <f t="shared" si="8"/>
        <v>0</v>
      </c>
      <c r="I26" s="451">
        <f t="shared" si="9"/>
        <v>0</v>
      </c>
      <c r="J26" s="451">
        <f t="shared" si="10"/>
        <v>0.37428984028225409</v>
      </c>
      <c r="K26" s="451">
        <f t="shared" si="11"/>
        <v>0</v>
      </c>
      <c r="L26" s="451">
        <f t="shared" si="12"/>
        <v>0</v>
      </c>
      <c r="M26" s="451">
        <f t="shared" si="13"/>
        <v>0</v>
      </c>
      <c r="N26" s="451">
        <f t="shared" si="14"/>
        <v>0</v>
      </c>
      <c r="O26" s="451">
        <f t="shared" si="15"/>
        <v>0</v>
      </c>
      <c r="P26" s="452">
        <f t="shared" si="16"/>
        <v>0</v>
      </c>
      <c r="Q26" s="450">
        <f t="shared" ca="1" si="17"/>
        <v>1113.4826895795002</v>
      </c>
    </row>
    <row r="27" spans="1:17" s="456" customFormat="1">
      <c r="A27" s="454" t="s">
        <v>560</v>
      </c>
      <c r="B27" s="754">
        <f t="shared" ca="1" si="2"/>
        <v>2.9808394865320613</v>
      </c>
      <c r="C27" s="455">
        <f t="shared" ca="1" si="3"/>
        <v>0</v>
      </c>
      <c r="D27" s="455">
        <f t="shared" si="4"/>
        <v>10.537315729048984</v>
      </c>
      <c r="E27" s="455">
        <f t="shared" si="5"/>
        <v>20.268642614978379</v>
      </c>
      <c r="F27" s="455">
        <f t="shared" si="6"/>
        <v>0</v>
      </c>
      <c r="G27" s="455">
        <f t="shared" si="7"/>
        <v>14952.561852172657</v>
      </c>
      <c r="H27" s="455">
        <f t="shared" si="8"/>
        <v>2203.1236224054428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17189.472272408661</v>
      </c>
    </row>
    <row r="28" spans="1:17">
      <c r="A28" s="450" t="s">
        <v>550</v>
      </c>
      <c r="B28" s="451">
        <f t="shared" ca="1" si="2"/>
        <v>0</v>
      </c>
      <c r="C28" s="451">
        <f t="shared" ca="1" si="3"/>
        <v>0</v>
      </c>
      <c r="D28" s="451">
        <f t="shared" si="4"/>
        <v>0</v>
      </c>
      <c r="E28" s="451">
        <f t="shared" si="5"/>
        <v>0</v>
      </c>
      <c r="F28" s="451">
        <f t="shared" si="6"/>
        <v>0</v>
      </c>
      <c r="G28" s="451">
        <f t="shared" si="7"/>
        <v>170.65941612789794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170.65941612789794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92.902681476997046</v>
      </c>
      <c r="C32" s="451">
        <f t="shared" ca="1" si="3"/>
        <v>0</v>
      </c>
      <c r="D32" s="451">
        <f t="shared" si="4"/>
        <v>181.03043445179409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273.93311592879115</v>
      </c>
    </row>
    <row r="33" spans="1:17" s="460" customFormat="1">
      <c r="A33" s="1005" t="s">
        <v>554</v>
      </c>
      <c r="B33" s="953">
        <f ca="1">SUM(B22:B32)</f>
        <v>4289.4000111021087</v>
      </c>
      <c r="C33" s="953">
        <f t="shared" ref="C33:Q33" ca="1" si="18">SUM(C22:C32)</f>
        <v>0</v>
      </c>
      <c r="D33" s="953">
        <f t="shared" ca="1" si="18"/>
        <v>11503.394142244555</v>
      </c>
      <c r="E33" s="953">
        <f t="shared" si="18"/>
        <v>313.14715196628197</v>
      </c>
      <c r="F33" s="953">
        <f t="shared" ca="1" si="18"/>
        <v>961.701843495611</v>
      </c>
      <c r="G33" s="953">
        <f t="shared" si="18"/>
        <v>15123.221268300555</v>
      </c>
      <c r="H33" s="953">
        <f t="shared" si="18"/>
        <v>2203.1236224054428</v>
      </c>
      <c r="I33" s="953">
        <f t="shared" si="18"/>
        <v>0</v>
      </c>
      <c r="J33" s="953">
        <f t="shared" si="18"/>
        <v>9.8539676603509623</v>
      </c>
      <c r="K33" s="953">
        <f t="shared" si="18"/>
        <v>0</v>
      </c>
      <c r="L33" s="953">
        <f t="shared" ca="1" si="18"/>
        <v>0</v>
      </c>
      <c r="M33" s="953">
        <f t="shared" si="18"/>
        <v>0</v>
      </c>
      <c r="N33" s="953">
        <f t="shared" ca="1" si="18"/>
        <v>0</v>
      </c>
      <c r="O33" s="953">
        <f t="shared" si="18"/>
        <v>0</v>
      </c>
      <c r="P33" s="953">
        <f t="shared" si="18"/>
        <v>0</v>
      </c>
      <c r="Q33" s="953">
        <f t="shared" ca="1" si="18"/>
        <v>34403.842007174913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7751.016563645846</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1955.9270994902658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9706.9436631361114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0.14732109392037376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0.14732109392037376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2020-06-20T15:39:14Z</dcterms:modified>
</cp:coreProperties>
</file>