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M88" i="14" s="1"/>
  <c r="M18" i="61" s="1"/>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C9" i="18"/>
  <c r="B9" i="18"/>
  <c r="K22" i="18"/>
  <c r="J22" i="18"/>
  <c r="I22" i="18"/>
  <c r="H22" i="18"/>
  <c r="K12" i="18"/>
  <c r="J12" i="18"/>
  <c r="I12" i="18"/>
  <c r="H12" i="18"/>
  <c r="W47" i="18"/>
  <c r="V47" i="18"/>
  <c r="U47" i="18"/>
  <c r="T47" i="18"/>
  <c r="S47" i="18"/>
  <c r="R47" i="18"/>
  <c r="Q47" i="18"/>
  <c r="P47" i="18"/>
  <c r="D6" i="17" s="1"/>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I9" i="18" s="1"/>
  <c r="S44" i="18"/>
  <c r="R44" i="18"/>
  <c r="Q44" i="18"/>
  <c r="J9" i="18" s="1"/>
  <c r="J77" i="14" s="1"/>
  <c r="J9" i="61" s="1"/>
  <c r="P44" i="18"/>
  <c r="O44" i="18"/>
  <c r="N44" i="18"/>
  <c r="M44" i="18"/>
  <c r="W40" i="18"/>
  <c r="V40" i="18"/>
  <c r="U40" i="18"/>
  <c r="T40" i="18"/>
  <c r="L6" i="17" s="1"/>
  <c r="S40" i="18"/>
  <c r="R40" i="18"/>
  <c r="Q40" i="18"/>
  <c r="N6" i="17" s="1"/>
  <c r="P40" i="18"/>
  <c r="O40" i="18"/>
  <c r="N40" i="18"/>
  <c r="M40" i="18"/>
  <c r="W39" i="18"/>
  <c r="V39" i="18"/>
  <c r="U39" i="18"/>
  <c r="T39" i="18"/>
  <c r="S39" i="18"/>
  <c r="R39" i="18"/>
  <c r="Q39" i="18"/>
  <c r="P39" i="18"/>
  <c r="D13" i="15" s="1"/>
  <c r="O39" i="18"/>
  <c r="C13" i="15" s="1"/>
  <c r="N39" i="18"/>
  <c r="M39" i="18"/>
  <c r="W38" i="18"/>
  <c r="V38" i="18"/>
  <c r="U38" i="18"/>
  <c r="T38" i="18"/>
  <c r="S38" i="18"/>
  <c r="R38" i="18"/>
  <c r="Q38" i="18"/>
  <c r="P38" i="18"/>
  <c r="O38" i="18"/>
  <c r="N38" i="18"/>
  <c r="M38" i="18"/>
  <c r="W37" i="18"/>
  <c r="V37" i="18"/>
  <c r="U37" i="18"/>
  <c r="T37" i="18"/>
  <c r="S37" i="18"/>
  <c r="R37" i="18"/>
  <c r="Q37" i="18"/>
  <c r="P37" i="18"/>
  <c r="O37" i="18"/>
  <c r="N37" i="18"/>
  <c r="C53" i="18" s="1"/>
  <c r="M37" i="18"/>
  <c r="G22" i="18"/>
  <c r="F22" i="18"/>
  <c r="E22" i="18"/>
  <c r="D22" i="18"/>
  <c r="C22" i="18"/>
  <c r="B17" i="18"/>
  <c r="G12" i="18"/>
  <c r="F12" i="18"/>
  <c r="E12" i="18"/>
  <c r="D12" i="18"/>
  <c r="C12" i="18"/>
  <c r="L10" i="18"/>
  <c r="E77" i="14"/>
  <c r="E9" i="61" s="1"/>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E88" i="14"/>
  <c r="H9" i="18"/>
  <c r="M77" i="14" s="1"/>
  <c r="M9" i="61" s="1"/>
  <c r="F6" i="17"/>
  <c r="B8" i="18"/>
  <c r="B53" i="18"/>
  <c r="H57"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6" i="18"/>
  <c r="H8" i="18" s="1"/>
  <c r="E56" i="18"/>
  <c r="E8" i="18" s="1"/>
  <c r="G56" i="18"/>
  <c r="F56" i="18"/>
  <c r="H56" i="18"/>
  <c r="D56" i="18"/>
  <c r="C56" i="18"/>
  <c r="B56" i="18"/>
  <c r="C8" i="18" s="1"/>
  <c r="C57" i="18"/>
  <c r="B57"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7" i="18"/>
  <c r="E17" i="18" s="1"/>
  <c r="I57" i="18"/>
  <c r="H17" i="18" s="1"/>
  <c r="F57" i="18"/>
  <c r="G57" i="18"/>
  <c r="D57"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O8" i="48"/>
  <c r="O26" i="48" s="1"/>
  <c r="P16" i="14"/>
  <c r="P27" i="14" s="1"/>
  <c r="E7" i="48"/>
  <c r="E25" i="48" s="1"/>
  <c r="F24" i="14"/>
  <c r="F26"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I20" i="14"/>
  <c r="I22" i="14" s="1"/>
  <c r="I27" i="14" s="1"/>
  <c r="J20" i="15"/>
  <c r="K40" i="14" s="1"/>
  <c r="M18" i="22"/>
  <c r="N50" i="14" s="1"/>
  <c r="N52" i="14" s="1"/>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13" i="14" l="1"/>
  <c r="F16" i="14" s="1"/>
  <c r="F27" i="14" s="1"/>
  <c r="E8" i="48"/>
  <c r="E26" i="48" s="1"/>
  <c r="E33" i="48" s="1"/>
  <c r="K13" i="14"/>
  <c r="K16" i="14" s="1"/>
  <c r="K27" i="14" s="1"/>
  <c r="J8" i="48"/>
  <c r="J26" i="48" s="1"/>
  <c r="J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<sst xmlns="http://schemas.openxmlformats.org/spreadsheetml/2006/main" count="2477" uniqueCount="917">
  <si>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</si>
  <si>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</si>
  <si>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</si>
  <si>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</si>
  <si>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</si>
  <si>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</si>
  <si>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</si>
  <si>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</si>
  <si>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</si>
  <si>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</si>
  <si>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</si>
  <si>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</si>
  <si>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</si>
  <si>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</si>
  <si>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</si>
  <si>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</si>
  <si>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</si>
  <si>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</si>
  <si>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</si>
  <si>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</si>
  <si>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</si>
  <si>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</si>
  <si>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</si>
  <si>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</si>
  <si>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</si>
  <si>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</si>
  <si>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</si>
  <si>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</si>
  <si>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</si>
  <si>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</si>
  <si>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</si>
  <si>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</si>
  <si>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</si>
  <si>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</si>
  <si>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</si>
  <si>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</si>
  <si>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</si>
  <si>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</si>
  <si>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</si>
  <si>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</si>
  <si>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</si>
  <si>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</si>
  <si>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</si>
  <si>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</si>
  <si>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</si>
  <si>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</si>
  <si>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</si>
  <si>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</si>
  <si>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</si>
  <si>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</si>
  <si>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</si>
  <si>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</si>
  <si>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</si>
  <si>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</si>
  <si>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</si>
  <si>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</si>
  <si>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</si>
  <si>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</si>
  <si>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</si>
  <si>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</si>
  <si>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</si>
  <si>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</si>
  <si>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</si>
  <si>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</si>
  <si>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</si>
  <si>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</si>
  <si>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</si>
  <si>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</si>
  <si>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</si>
  <si>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</si>
  <si>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</si>
  <si>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</si>
  <si>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</si>
  <si>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</si>
  <si>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</si>
  <si>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</si>
  <si>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</si>
  <si>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</si>
  <si>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</si>
  <si>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</si>
  <si>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</si>
  <si>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</si>
  <si>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</si>
  <si>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</si>
  <si>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</si>
  <si>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</si>
  <si>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</si>
  <si>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</si>
  <si>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</si>
  <si>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</si>
  <si>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</si>
  <si>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</si>
  <si>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</si>
  <si>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</si>
  <si>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</si>
  <si>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</si>
  <si>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</si>
  <si>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</si>
  <si>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</si>
  <si>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</si>
  <si>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</si>
  <si>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</si>
  <si>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</si>
  <si>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</si>
  <si>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</si>
  <si>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</si>
  <si>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</si>
  <si>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</si>
  <si>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</si>
  <si>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</si>
  <si>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</si>
  <si>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</si>
  <si>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</si>
  <si>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</si>
  <si>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</si>
  <si>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</si>
  <si>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</si>
  <si>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</si>
  <si>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</si>
  <si>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</si>
  <si>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</si>
  <si>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</si>
  <si>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</si>
  <si>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</si>
  <si>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</si>
  <si>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</si>
  <si>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</si>
  <si>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</si>
  <si>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</si>
  <si>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</si>
  <si>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</si>
  <si>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</si>
  <si>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</si>
  <si>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</si>
  <si>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</si>
  <si>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</si>
  <si>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</si>
  <si>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</si>
  <si>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</si>
  <si>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</si>
  <si>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</si>
  <si>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</si>
  <si>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</si>
  <si>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</si>
  <si>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</si>
  <si>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</si>
  <si>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</si>
  <si>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</si>
  <si>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</si>
  <si>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</si>
  <si>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</si>
  <si>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</si>
  <si>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</si>
  <si>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</si>
  <si>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</si>
  <si>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</si>
  <si>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</si>
  <si>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</si>
  <si>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</si>
  <si>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</si>
  <si>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</si>
  <si>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</si>
  <si>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</si>
  <si>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</si>
  <si>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</si>
  <si>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</si>
  <si>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</si>
  <si>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</si>
  <si>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</si>
  <si>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</si>
  <si>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</si>
  <si>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</si>
  <si>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</si>
  <si>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</si>
  <si>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</si>
  <si>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</si>
  <si>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</si>
  <si>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</si>
  <si>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</si>
  <si>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</si>
  <si>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</si>
  <si>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</si>
  <si>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</si>
  <si>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</si>
  <si>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</si>
  <si>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</si>
  <si>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</si>
  <si>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</si>
  <si>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</si>
  <si>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</si>
  <si>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</si>
  <si>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</si>
  <si>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</si>
  <si>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</si>
  <si>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</si>
  <si>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</si>
  <si>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</si>
  <si>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</si>
  <si>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</si>
  <si>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</si>
  <si>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</si>
  <si>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</si>
  <si>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</si>
  <si>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</si>
  <si>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</si>
  <si>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</si>
  <si>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</si>
  <si>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</si>
  <si>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</si>
  <si>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</si>
  <si>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</si>
  <si>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</si>
  <si>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</si>
  <si>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</si>
  <si>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</si>
  <si>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</si>
  <si>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</si>
  <si>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</si>
  <si>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</si>
  <si>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</si>
  <si>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</si>
  <si>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</si>
  <si>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</si>
  <si>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</si>
  <si>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</si>
  <si>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</si>
  <si>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</si>
  <si>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</si>
  <si>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</si>
  <si>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</si>
  <si>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</si>
  <si>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</si>
  <si>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</si>
  <si>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</si>
  <si>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</si>
  <si>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</si>
  <si>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</si>
  <si>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</si>
  <si>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</si>
  <si>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</si>
  <si>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</si>
  <si>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</si>
  <si>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</si>
  <si>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</si>
  <si>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</si>
  <si>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</si>
  <si>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</si>
  <si>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</si>
  <si>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</si>
  <si>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</si>
  <si>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</si>
  <si>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</si>
  <si>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</si>
  <si>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</si>
  <si>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</si>
  <si>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</si>
  <si>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</si>
  <si>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</si>
  <si>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</si>
  <si>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</si>
  <si>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</si>
  <si>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</si>
  <si>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</si>
  <si>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</si>
  <si>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</si>
  <si>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</si>
  <si>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</si>
  <si>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</si>
  <si>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</si>
  <si>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</si>
  <si>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</si>
  <si>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</si>
  <si>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</si>
  <si>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</si>
  <si>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</si>
  <si>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</si>
  <si>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</si>
  <si>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</si>
  <si>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</si>
  <si>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</si>
  <si>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</si>
  <si>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</si>
  <si>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</si>
  <si>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</si>
  <si>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</si>
  <si>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</si>
  <si>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</si>
  <si>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</si>
  <si>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</si>
  <si>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</si>
  <si>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</si>
  <si>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</si>
  <si>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</si>
  <si>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</si>
  <si>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</si>
  <si>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</si>
  <si>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</si>
  <si>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</si>
  <si>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</si>
  <si>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</si>
  <si>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</si>
  <si>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</si>
  <si>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</si>
  <si>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</si>
  <si>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</si>
  <si>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</si>
  <si>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</si>
  <si>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</si>
  <si>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</si>
  <si>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</si>
  <si>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</si>
  <si>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</si>
  <si>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</si>
  <si>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</si>
  <si>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</si>
  <si>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</si>
  <si>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</si>
  <si>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</si>
  <si>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</si>
  <si>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</si>
  <si>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</si>
  <si>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</si>
  <si>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</si>
  <si>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</si>
  <si>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</si>
  <si>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</si>
  <si>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</si>
  <si>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</si>
  <si>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</si>
  <si>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</si>
  <si>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</si>
  <si>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</si>
  <si>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</si>
  <si>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</si>
  <si>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</si>
  <si>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</si>
  <si>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</si>
  <si>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</si>
  <si>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</si>
  <si>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</si>
  <si>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</si>
  <si>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</si>
  <si>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</si>
  <si>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</si>
  <si>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</si>
  <si>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</si>
  <si>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</si>
  <si>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</si>
  <si>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</si>
  <si>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</si>
  <si>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</si>
  <si>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</si>
  <si>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</si>
  <si>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</si>
  <si>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</si>
  <si>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</si>
  <si>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</si>
  <si>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</si>
  <si>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</si>
  <si>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</si>
  <si>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</si>
  <si>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</si>
  <si>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</si>
  <si>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</si>
  <si>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</si>
  <si>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</si>
  <si>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</si>
  <si>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</si>
  <si>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</si>
  <si>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</si>
  <si>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</si>
  <si>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</si>
  <si>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</si>
  <si>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</si>
  <si>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</si>
  <si>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</si>
  <si>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</si>
  <si>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</si>
  <si>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</si>
  <si>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</si>
  <si>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</si>
  <si>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</si>
  <si>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</si>
  <si>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</si>
  <si>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</si>
  <si>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</si>
  <si>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</si>
  <si>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</si>
  <si>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</si>
  <si>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</si>
  <si>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</si>
  <si>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</si>
  <si>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</si>
  <si>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</si>
  <si>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</si>
  <si>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</si>
  <si>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</si>
  <si>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</si>
  <si>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</si>
  <si>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</si>
  <si>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</si>
  <si>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</si>
  <si>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</si>
  <si>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</si>
  <si>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</si>
  <si>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</si>
  <si>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</si>
  <si>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</si>
  <si>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</si>
  <si>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</si>
  <si>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</si>
  <si>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</si>
  <si>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</si>
  <si>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</si>
  <si>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</si>
  <si>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</si>
  <si>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</si>
  <si>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</si>
  <si>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</si>
  <si>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</si>
  <si>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</si>
  <si>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</si>
  <si>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</si>
  <si>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</si>
  <si>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</si>
  <si>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</si>
  <si>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</si>
  <si>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</si>
  <si>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</si>
  <si>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</si>
  <si>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</si>
  <si>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</si>
  <si>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</si>
  <si>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</si>
  <si>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</si>
  <si>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</si>
  <si>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</si>
  <si>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</si>
  <si>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</si>
  <si>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</si>
  <si>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</si>
  <si>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</si>
  <si>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</si>
  <si>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</si>
  <si>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</si>
  <si>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</si>
  <si>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</si>
  <si>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</si>
  <si>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</si>
  <si>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</si>
  <si>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</si>
  <si>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</si>
  <si>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</si>
  <si>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</si>
  <si>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</si>
  <si>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</si>
  <si>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</si>
  <si>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</si>
  <si>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</si>
  <si>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</si>
  <si>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</si>
  <si>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</si>
  <si>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</si>
  <si>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</si>
  <si>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</si>
  <si>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</si>
  <si>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</si>
  <si>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</si>
  <si>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</si>
  <si>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</si>
  <si>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</si>
  <si>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</si>
  <si>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</si>
  <si>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</si>
  <si>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</si>
  <si>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</si>
  <si>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</si>
  <si>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</si>
  <si>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</si>
  <si>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</si>
  <si>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</si>
  <si>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</si>
  <si>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</si>
  <si>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</si>
  <si>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</si>
  <si>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</si>
  <si>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</si>
  <si>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</si>
  <si>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</si>
  <si>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</si>
  <si>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</si>
  <si>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</si>
  <si>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</si>
  <si>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</si>
  <si>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</si>
  <si>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</si>
  <si>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</si>
  <si>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</si>
  <si>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</si>
  <si>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</si>
  <si>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</si>
  <si>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</si>
  <si>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</si>
  <si>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</si>
  <si>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</si>
  <si>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</si>
  <si>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</si>
  <si>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</si>
  <si>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</si>
  <si>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</si>
  <si>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</si>
  <si>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</si>
  <si>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</si>
  <si>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</si>
  <si>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</si>
  <si>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</si>
  <si>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</si>
  <si>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</si>
  <si>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</si>
  <si>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</si>
  <si>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</si>
  <si>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</si>
  <si>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</si>
  <si>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</si>
  <si>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</si>
  <si>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</si>
  <si>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</si>
  <si>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</si>
  <si>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</si>
  <si>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</si>
  <si>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</si>
  <si>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</si>
  <si>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</si>
  <si>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</si>
  <si>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</si>
  <si>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</si>
  <si>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</si>
  <si>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</si>
  <si>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</si>
  <si>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</si>
  <si>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</si>
  <si>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</si>
  <si>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</si>
  <si>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</si>
  <si>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</si>
  <si>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</si>
  <si>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</si>
  <si>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</si>
  <si>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</si>
  <si>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</si>
  <si>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</si>
  <si>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</si>
  <si>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</si>
  <si>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</si>
  <si>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</si>
  <si>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</si>
  <si>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</si>
  <si>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</si>
  <si>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</si>
  <si>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</si>
  <si>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</si>
  <si>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</si>
  <si>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</si>
  <si>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</si>
  <si>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</si>
  <si>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</si>
  <si>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</si>
  <si>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</si>
  <si>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</si>
  <si>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</si>
  <si>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</si>
  <si>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</si>
  <si>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</si>
  <si>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</si>
  <si>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</si>
  <si>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</si>
  <si>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</si>
  <si>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</si>
  <si>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</si>
  <si>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</si>
  <si>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</si>
  <si>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</si>
  <si>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</si>
  <si>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</si>
  <si>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</si>
  <si>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</si>
  <si>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</si>
  <si>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</si>
  <si>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</si>
  <si>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</si>
  <si>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</si>
  <si>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</si>
  <si>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</si>
  <si>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</si>
  <si>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</si>
  <si>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</si>
  <si>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</si>
  <si>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</si>
  <si>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</si>
  <si>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</si>
  <si>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</si>
  <si>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</si>
  <si>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</si>
  <si>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</si>
  <si>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</si>
  <si>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</si>
  <si>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</si>
  <si>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</si>
  <si>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</si>
  <si>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</si>
  <si>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</si>
  <si>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</si>
  <si>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</si>
  <si>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</si>
  <si>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</si>
  <si>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</si>
  <si>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</si>
  <si>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</si>
  <si>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</si>
  <si>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</si>
  <si>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</si>
  <si>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</si>
  <si>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</si>
  <si>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</si>
  <si>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</si>
  <si>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</si>
  <si>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</si>
  <si>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</si>
  <si>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</si>
  <si>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</si>
  <si>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</si>
  <si>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</si>
  <si>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</si>
  <si>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</si>
  <si>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</si>
  <si>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</si>
  <si>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</si>
  <si>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</si>
  <si>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</si>
  <si>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</si>
  <si>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</si>
  <si>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</si>
  <si>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</si>
  <si>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</si>
  <si>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</si>
  <si>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</si>
  <si>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</si>
  <si>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</si>
  <si>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</si>
  <si>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</si>
  <si>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</si>
  <si>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</si>
  <si>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</si>
  <si>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</si>
  <si>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</si>
  <si>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</si>
  <si>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</si>
  <si>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</si>
  <si>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</si>
  <si>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</si>
  <si>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</si>
  <si>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</si>
  <si>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</si>
  <si>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</si>
  <si>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</si>
  <si>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</si>
  <si>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</si>
  <si>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</si>
  <si>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</si>
  <si>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</si>
  <si>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</si>
  <si>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</si>
  <si>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</si>
  <si>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</si>
  <si>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</si>
  <si>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</si>
  <si>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</si>
  <si>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</si>
  <si>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</si>
  <si>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</si>
  <si>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</si>
  <si>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</si>
  <si>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</si>
  <si>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</si>
  <si>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</si>
  <si>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</si>
  <si>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</si>
  <si>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</si>
  <si>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</si>
  <si>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</si>
  <si>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</si>
  <si>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</si>
  <si>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</si>
  <si>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</si>
  <si>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</si>
  <si>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</si>
  <si>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</si>
  <si>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</si>
  <si>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</si>
  <si>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</si>
  <si>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</si>
  <si>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</si>
  <si>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</si>
  <si>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</si>
  <si>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</si>
  <si>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</si>
  <si>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</si>
  <si>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</si>
  <si>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</si>
  <si>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</si>
  <si>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</si>
  <si>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</si>
  <si>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</si>
  <si>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</si>
  <si>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</si>
  <si>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</si>
  <si>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</si>
  <si>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</si>
  <si>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</si>
  <si>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</si>
  <si>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</si>
  <si>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</si>
  <si>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</si>
  <si>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</si>
  <si>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</si>
  <si>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</si>
  <si>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</si>
  <si>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</si>
  <si>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</si>
  <si>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</si>
  <si>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</si>
  <si>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</si>
  <si>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</si>
  <si>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</si>
  <si>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</si>
  <si>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</si>
  <si>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</si>
  <si>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</si>
  <si>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</si>
  <si>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</si>
  <si>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</si>
  <si>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</si>
  <si>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</si>
  <si>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</si>
  <si>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</si>
  <si>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</si>
  <si>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</si>
  <si>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</si>
  <si>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</si>
  <si>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</si>
  <si>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</si>
  <si>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</si>
  <si>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</si>
  <si>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</si>
  <si>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</si>
  <si>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</si>
  <si>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</si>
  <si>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</si>
  <si>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</si>
  <si>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</si>
  <si>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</si>
  <si>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</si>
  <si>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</si>
  <si>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</si>
  <si>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</si>
  <si>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</si>
  <si>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</si>
  <si>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</si>
  <si>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</si>
  <si>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</si>
  <si>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</si>
  <si>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</si>
  <si>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</si>
  <si>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</si>
  <si>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</si>
  <si>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</si>
  <si>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</si>
  <si>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</si>
  <si>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</si>
  <si>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</si>
  <si>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</si>
  <si>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</si>
  <si>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</si>
  <si>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</si>
  <si>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</si>
  <si>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</si>
  <si>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</si>
  <si>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</si>
  <si>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</si>
  <si>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</si>
  <si>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</si>
  <si>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</si>
  <si>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</si>
  <si>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</si>
  <si>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</si>
  <si>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</si>
  <si>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</si>
  <si>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</si>
  <si>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</si>
  <si>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</si>
  <si>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</si>
  <si>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</si>
  <si>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</si>
  <si>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</si>
  <si>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</si>
  <si>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</si>
  <si>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</si>
  <si>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</si>
  <si>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</si>
  <si>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</si>
  <si>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</si>
  <si>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</si>
  <si>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</si>
  <si>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</si>
  <si>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</si>
  <si>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</si>
  <si>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</si>
  <si>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</si>
  <si>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</si>
  <si>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</si>
  <si>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</si>
  <si>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</si>
  <si>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</si>
  <si>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</si>
  <si>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</si>
  <si>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</si>
  <si>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</si>
  <si>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</si>
  <si>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</si>
  <si>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</si>
  <si>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</si>
  <si>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</si>
  <si>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</si>
  <si>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</si>
  <si>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</si>
  <si>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</si>
  <si>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</si>
  <si>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</si>
  <si>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</si>
  <si>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</si>
  <si>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</si>
  <si>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</si>
  <si>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</si>
  <si>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</si>
  <si>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</si>
  <si>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</si>
  <si>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</si>
  <si>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</si>
  <si>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</si>
  <si>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</si>
  <si>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</si>
  <si>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</si>
  <si>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</si>
  <si>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</si>
  <si>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</si>
  <si>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</si>
  <si>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</si>
  <si>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</si>
  <si>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</si>
  <si>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</si>
  <si>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</si>
  <si>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</si>
  <si>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</si>
  <si>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</si>
  <si>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</si>
  <si>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</si>
  <si>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</si>
  <si>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</si>
  <si>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</si>
  <si>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</si>
  <si>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</si>
  <si>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</si>
  <si>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</si>
  <si>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</si>
  <si>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</si>
  <si>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</si>
  <si>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</si>
  <si>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</si>
  <si>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</si>
  <si>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</si>
  <si>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</si>
  <si>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</si>
  <si>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</si>
  <si>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11037</t>
  </si>
  <si>
    <t>RUMST</t>
  </si>
  <si>
    <t>Fluvius</t>
  </si>
  <si>
    <t>referentietaak LNE (2017); Jaarverslag De Lijn</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</si>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</sst>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107171.70139447181</c:v>
                </c:pt>
                <c:pt idx="1">
                  <c:v>87849.826509185164</c:v>
                </c:pt>
                <c:pt idx="2">
                  <c:v>1083.847</c:v>
                </c:pt>
                <c:pt idx="3">
                  <c:v>89075.876020196098</c:v>
                </c:pt>
                <c:pt idx="4">
                  <c:v>83083.881249946382</c:v>
                </c:pt>
                <c:pt idx="5">
                  <c:v>277767.36654998426</c:v>
                </c:pt>
                <c:pt idx="6">
                  <c:v>2124.4468005485983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107171.70139447181</c:v>
                </c:pt>
                <c:pt idx="1">
                  <c:v>87849.826509185164</c:v>
                </c:pt>
                <c:pt idx="2">
                  <c:v>1083.847</c:v>
                </c:pt>
                <c:pt idx="3">
                  <c:v>89075.876020196098</c:v>
                </c:pt>
                <c:pt idx="4">
                  <c:v>83083.881249946382</c:v>
                </c:pt>
                <c:pt idx="5">
                  <c:v>277767.36654998426</c:v>
                </c:pt>
                <c:pt idx="6">
                  <c:v>2124.4468005485983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20860.485947310008</c:v>
                </c:pt>
                <c:pt idx="2">
                  <c:v>16304.426939628207</c:v>
                </c:pt>
                <c:pt idx="3">
                  <c:v>239.22254021863193</c:v>
                </c:pt>
                <c:pt idx="4">
                  <c:v>21297.245037296267</c:v>
                </c:pt>
                <c:pt idx="5">
                  <c:v>16870.060944115412</c:v>
                </c:pt>
                <c:pt idx="6">
                  <c:v>69591.440785699364</c:v>
                </c:pt>
                <c:pt idx="7">
                  <c:v>536.74485999125284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20860.485947310008</c:v>
                </c:pt>
                <c:pt idx="2">
                  <c:v>16304.426939628207</c:v>
                </c:pt>
                <c:pt idx="3">
                  <c:v>239.22254021863193</c:v>
                </c:pt>
                <c:pt idx="4">
                  <c:v>21297.245037296267</c:v>
                </c:pt>
                <c:pt idx="5">
                  <c:v>16870.060944115412</c:v>
                </c:pt>
                <c:pt idx="6">
                  <c:v>69591.440785699364</c:v>
                </c:pt>
                <c:pt idx="7">
                  <c:v>536.74485999125284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11037</v>
      </c>
      <c r="B6" s="390"/>
      <c r="C6" s="391"/>
    </row>
    <row r="7" spans="1:7" s="388" customFormat="1" ht="15.75" customHeight="1">
      <c r="A7" s="392" t="str">
        <f>txtMunicipality</f>
        <v>RUMST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0.22071615294283412</v>
      </c>
      <c r="C17" s="498">
        <f ca="1">'EF ele_warmte'!B22</f>
        <v>0.23746806742916601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0.22071615294283412</v>
      </c>
      <c r="C29" s="499">
        <f ca="1">'EF ele_warmte'!B22</f>
        <v>0.23746806742916601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6143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627.4</v>
      </c>
      <c r="C14" s="330"/>
      <c r="D14" s="330"/>
      <c r="E14" s="330"/>
      <c r="F14" s="330"/>
    </row>
    <row r="15" spans="1:6">
      <c r="A15" s="1293" t="s">
        <v>183</v>
      </c>
      <c r="B15" s="1294">
        <v>8</v>
      </c>
      <c r="C15" s="330"/>
      <c r="D15" s="330"/>
      <c r="E15" s="330"/>
      <c r="F15" s="330"/>
    </row>
    <row r="16" spans="1:6">
      <c r="A16" s="1293" t="s">
        <v>6</v>
      </c>
      <c r="B16" s="1294">
        <v>619</v>
      </c>
      <c r="C16" s="330"/>
      <c r="D16" s="330"/>
      <c r="E16" s="330"/>
      <c r="F16" s="330"/>
    </row>
    <row r="17" spans="1:6">
      <c r="A17" s="1293" t="s">
        <v>7</v>
      </c>
      <c r="B17" s="1294">
        <v>34</v>
      </c>
      <c r="C17" s="330"/>
      <c r="D17" s="330"/>
      <c r="E17" s="330"/>
      <c r="F17" s="330"/>
    </row>
    <row r="18" spans="1:6">
      <c r="A18" s="1293" t="s">
        <v>8</v>
      </c>
      <c r="B18" s="1294">
        <v>399</v>
      </c>
      <c r="C18" s="330"/>
      <c r="D18" s="330"/>
      <c r="E18" s="330"/>
      <c r="F18" s="330"/>
    </row>
    <row r="19" spans="1:6">
      <c r="A19" s="1293" t="s">
        <v>9</v>
      </c>
      <c r="B19" s="1294">
        <v>371</v>
      </c>
      <c r="C19" s="330"/>
      <c r="D19" s="330"/>
      <c r="E19" s="330"/>
      <c r="F19" s="330"/>
    </row>
    <row r="20" spans="1:6">
      <c r="A20" s="1293" t="s">
        <v>10</v>
      </c>
      <c r="B20" s="1294">
        <v>158</v>
      </c>
      <c r="C20" s="330"/>
      <c r="D20" s="330"/>
      <c r="E20" s="330"/>
      <c r="F20" s="330"/>
    </row>
    <row r="21" spans="1:6">
      <c r="A21" s="1293" t="s">
        <v>11</v>
      </c>
      <c r="B21" s="1294">
        <v>0</v>
      </c>
      <c r="C21" s="330"/>
      <c r="D21" s="330"/>
      <c r="E21" s="330"/>
      <c r="F21" s="330"/>
    </row>
    <row r="22" spans="1:6">
      <c r="A22" s="1293" t="s">
        <v>12</v>
      </c>
      <c r="B22" s="1294">
        <v>466</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3</v>
      </c>
      <c r="C26" s="330"/>
      <c r="D26" s="330"/>
      <c r="E26" s="330"/>
      <c r="F26" s="330"/>
    </row>
    <row r="27" spans="1:6">
      <c r="A27" s="1293" t="s">
        <v>17</v>
      </c>
      <c r="B27" s="1294">
        <v>9</v>
      </c>
      <c r="C27" s="330"/>
      <c r="D27" s="330"/>
      <c r="E27" s="330"/>
      <c r="F27" s="330"/>
    </row>
    <row r="28" spans="1:6" s="43" customFormat="1">
      <c r="A28" s="1295" t="s">
        <v>18</v>
      </c>
      <c r="B28" s="1296">
        <v>65801</v>
      </c>
      <c r="C28" s="336"/>
      <c r="D28" s="336"/>
      <c r="E28" s="336"/>
      <c r="F28" s="336"/>
    </row>
    <row r="29" spans="1:6">
      <c r="A29" s="1295" t="s">
        <v>734</v>
      </c>
      <c r="B29" s="1296">
        <v>23</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1955.0532964713</v>
      </c>
    </row>
    <row r="37" spans="1:6">
      <c r="A37" s="1293" t="s">
        <v>24</v>
      </c>
      <c r="B37" s="1293" t="s">
        <v>27</v>
      </c>
      <c r="C37" s="1294">
        <v>0</v>
      </c>
      <c r="D37" s="1294">
        <v>0</v>
      </c>
      <c r="E37" s="1294">
        <v>0</v>
      </c>
      <c r="F37" s="1294">
        <v>0</v>
      </c>
    </row>
    <row r="38" spans="1:6">
      <c r="A38" s="1293" t="s">
        <v>24</v>
      </c>
      <c r="B38" s="1293" t="s">
        <v>28</v>
      </c>
      <c r="C38" s="1294">
        <v>1</v>
      </c>
      <c r="D38" s="1294">
        <v>30648839.691399999</v>
      </c>
      <c r="E38" s="1294">
        <v>1</v>
      </c>
      <c r="F38" s="1294">
        <v>90491.630548050001</v>
      </c>
    </row>
    <row r="39" spans="1:6">
      <c r="A39" s="1293" t="s">
        <v>29</v>
      </c>
      <c r="B39" s="1293" t="s">
        <v>30</v>
      </c>
      <c r="C39" s="1294">
        <v>4717</v>
      </c>
      <c r="D39" s="1294">
        <v>79424956.601273298</v>
      </c>
      <c r="E39" s="1294">
        <v>5951</v>
      </c>
      <c r="F39" s="1294">
        <v>23783820.486621801</v>
      </c>
    </row>
    <row r="40" spans="1:6">
      <c r="A40" s="1293" t="s">
        <v>29</v>
      </c>
      <c r="B40" s="1293" t="s">
        <v>28</v>
      </c>
      <c r="C40" s="1294">
        <v>1</v>
      </c>
      <c r="D40" s="1294">
        <v>22949.1461921882</v>
      </c>
      <c r="E40" s="1294">
        <v>1</v>
      </c>
      <c r="F40" s="1294">
        <v>3329.0922276920001</v>
      </c>
    </row>
    <row r="41" spans="1:6">
      <c r="A41" s="1293" t="s">
        <v>31</v>
      </c>
      <c r="B41" s="1293" t="s">
        <v>32</v>
      </c>
      <c r="C41" s="1294">
        <v>53</v>
      </c>
      <c r="D41" s="1294">
        <v>1591852.56391916</v>
      </c>
      <c r="E41" s="1294">
        <v>98</v>
      </c>
      <c r="F41" s="1294">
        <v>1778707.2493201101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100806.24856792801</v>
      </c>
    </row>
    <row r="45" spans="1:6">
      <c r="A45" s="1293" t="s">
        <v>31</v>
      </c>
      <c r="B45" s="1293" t="s">
        <v>36</v>
      </c>
      <c r="C45" s="1294">
        <v>0</v>
      </c>
      <c r="D45" s="1294">
        <v>0</v>
      </c>
      <c r="E45" s="1294">
        <v>8</v>
      </c>
      <c r="F45" s="1294">
        <v>15249574.933408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15</v>
      </c>
      <c r="D48" s="1294">
        <v>58030333.871044397</v>
      </c>
      <c r="E48" s="1294">
        <v>26</v>
      </c>
      <c r="F48" s="1294">
        <v>271906.29705615499</v>
      </c>
    </row>
    <row r="49" spans="1:6">
      <c r="A49" s="1293" t="s">
        <v>31</v>
      </c>
      <c r="B49" s="1293" t="s">
        <v>39</v>
      </c>
      <c r="C49" s="1294">
        <v>0</v>
      </c>
      <c r="D49" s="1294">
        <v>0</v>
      </c>
      <c r="E49" s="1294">
        <v>0</v>
      </c>
      <c r="F49" s="1294">
        <v>0</v>
      </c>
    </row>
    <row r="50" spans="1:6">
      <c r="A50" s="1293" t="s">
        <v>31</v>
      </c>
      <c r="B50" s="1293" t="s">
        <v>40</v>
      </c>
      <c r="C50" s="1294">
        <v>6</v>
      </c>
      <c r="D50" s="1294">
        <v>471333.24773163302</v>
      </c>
      <c r="E50" s="1294">
        <v>11</v>
      </c>
      <c r="F50" s="1294">
        <v>211991.278828187</v>
      </c>
    </row>
    <row r="51" spans="1:6">
      <c r="A51" s="1293" t="s">
        <v>41</v>
      </c>
      <c r="B51" s="1293" t="s">
        <v>42</v>
      </c>
      <c r="C51" s="1294">
        <v>9</v>
      </c>
      <c r="D51" s="1294">
        <v>100541611.553747</v>
      </c>
      <c r="E51" s="1294">
        <v>51</v>
      </c>
      <c r="F51" s="1294">
        <v>937489.66917086998</v>
      </c>
    </row>
    <row r="52" spans="1:6">
      <c r="A52" s="1293" t="s">
        <v>41</v>
      </c>
      <c r="B52" s="1293" t="s">
        <v>28</v>
      </c>
      <c r="C52" s="1294">
        <v>7</v>
      </c>
      <c r="D52" s="1294">
        <v>29167648.635866102</v>
      </c>
      <c r="E52" s="1294">
        <v>8</v>
      </c>
      <c r="F52" s="1294">
        <v>239285.080864269</v>
      </c>
    </row>
    <row r="53" spans="1:6">
      <c r="A53" s="1293" t="s">
        <v>43</v>
      </c>
      <c r="B53" s="1293" t="s">
        <v>44</v>
      </c>
      <c r="C53" s="1294">
        <v>119</v>
      </c>
      <c r="D53" s="1294">
        <v>2470876.86690359</v>
      </c>
      <c r="E53" s="1294">
        <v>215</v>
      </c>
      <c r="F53" s="1294">
        <v>669671.89316709701</v>
      </c>
    </row>
    <row r="54" spans="1:6">
      <c r="A54" s="1293" t="s">
        <v>45</v>
      </c>
      <c r="B54" s="1293" t="s">
        <v>46</v>
      </c>
      <c r="C54" s="1294">
        <v>0</v>
      </c>
      <c r="D54" s="1294">
        <v>0</v>
      </c>
      <c r="E54" s="1294">
        <v>1</v>
      </c>
      <c r="F54" s="1294">
        <v>1083847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25</v>
      </c>
      <c r="D57" s="1294">
        <v>645970.55890168902</v>
      </c>
      <c r="E57" s="1294">
        <v>55</v>
      </c>
      <c r="F57" s="1294">
        <v>14993582.4591916</v>
      </c>
    </row>
    <row r="58" spans="1:6">
      <c r="A58" s="1293" t="s">
        <v>48</v>
      </c>
      <c r="B58" s="1293" t="s">
        <v>50</v>
      </c>
      <c r="C58" s="1294">
        <v>23</v>
      </c>
      <c r="D58" s="1294">
        <v>644798.67252400296</v>
      </c>
      <c r="E58" s="1294">
        <v>39</v>
      </c>
      <c r="F58" s="1294">
        <v>4460255.1880232599</v>
      </c>
    </row>
    <row r="59" spans="1:6">
      <c r="A59" s="1293" t="s">
        <v>48</v>
      </c>
      <c r="B59" s="1293" t="s">
        <v>51</v>
      </c>
      <c r="C59" s="1294">
        <v>53</v>
      </c>
      <c r="D59" s="1294">
        <v>8672336.11049724</v>
      </c>
      <c r="E59" s="1294">
        <v>113</v>
      </c>
      <c r="F59" s="1294">
        <v>7793305.2593365302</v>
      </c>
    </row>
    <row r="60" spans="1:6">
      <c r="A60" s="1293" t="s">
        <v>48</v>
      </c>
      <c r="B60" s="1293" t="s">
        <v>52</v>
      </c>
      <c r="C60" s="1294">
        <v>49</v>
      </c>
      <c r="D60" s="1294">
        <v>2259687.61497474</v>
      </c>
      <c r="E60" s="1294">
        <v>65</v>
      </c>
      <c r="F60" s="1294">
        <v>1519741.06392665</v>
      </c>
    </row>
    <row r="61" spans="1:6">
      <c r="A61" s="1293" t="s">
        <v>48</v>
      </c>
      <c r="B61" s="1293" t="s">
        <v>53</v>
      </c>
      <c r="C61" s="1294">
        <v>169</v>
      </c>
      <c r="D61" s="1294">
        <v>5896430.0272332896</v>
      </c>
      <c r="E61" s="1294">
        <v>359</v>
      </c>
      <c r="F61" s="1294">
        <v>4779946.1936684996</v>
      </c>
    </row>
    <row r="62" spans="1:6">
      <c r="A62" s="1293" t="s">
        <v>48</v>
      </c>
      <c r="B62" s="1293" t="s">
        <v>54</v>
      </c>
      <c r="C62" s="1294">
        <v>8</v>
      </c>
      <c r="D62" s="1294">
        <v>2100762.7174824099</v>
      </c>
      <c r="E62" s="1294">
        <v>10</v>
      </c>
      <c r="F62" s="1294">
        <v>113094.899788436</v>
      </c>
    </row>
    <row r="63" spans="1:6">
      <c r="A63" s="1293" t="s">
        <v>48</v>
      </c>
      <c r="B63" s="1293" t="s">
        <v>28</v>
      </c>
      <c r="C63" s="1294">
        <v>96</v>
      </c>
      <c r="D63" s="1294">
        <v>9860313.6731608994</v>
      </c>
      <c r="E63" s="1294">
        <v>109</v>
      </c>
      <c r="F63" s="1294">
        <v>5365310.2746312805</v>
      </c>
    </row>
    <row r="64" spans="1:6">
      <c r="A64" s="1293" t="s">
        <v>55</v>
      </c>
      <c r="B64" s="1293" t="s">
        <v>56</v>
      </c>
      <c r="C64" s="1294">
        <v>0</v>
      </c>
      <c r="D64" s="1294">
        <v>0</v>
      </c>
      <c r="E64" s="1294">
        <v>0</v>
      </c>
      <c r="F64" s="1294">
        <v>0</v>
      </c>
    </row>
    <row r="65" spans="1:6">
      <c r="A65" s="1293" t="s">
        <v>55</v>
      </c>
      <c r="B65" s="1293" t="s">
        <v>28</v>
      </c>
      <c r="C65" s="1294">
        <v>0</v>
      </c>
      <c r="D65" s="1294">
        <v>0</v>
      </c>
      <c r="E65" s="1294">
        <v>3</v>
      </c>
      <c r="F65" s="1294">
        <v>46281.243137020101</v>
      </c>
    </row>
    <row r="66" spans="1:6">
      <c r="A66" s="1293" t="s">
        <v>55</v>
      </c>
      <c r="B66" s="1293" t="s">
        <v>57</v>
      </c>
      <c r="C66" s="1294">
        <v>0</v>
      </c>
      <c r="D66" s="1294">
        <v>0</v>
      </c>
      <c r="E66" s="1294">
        <v>11</v>
      </c>
      <c r="F66" s="1294">
        <v>508983.08022287203</v>
      </c>
    </row>
    <row r="67" spans="1:6">
      <c r="A67" s="1295" t="s">
        <v>55</v>
      </c>
      <c r="B67" s="1295" t="s">
        <v>58</v>
      </c>
      <c r="C67" s="1294">
        <v>0</v>
      </c>
      <c r="D67" s="1294">
        <v>0</v>
      </c>
      <c r="E67" s="1294">
        <v>0</v>
      </c>
      <c r="F67" s="1294">
        <v>0</v>
      </c>
    </row>
    <row r="68" spans="1:6">
      <c r="A68" s="1288" t="s">
        <v>55</v>
      </c>
      <c r="B68" s="1288" t="s">
        <v>59</v>
      </c>
      <c r="C68" s="1297">
        <v>3</v>
      </c>
      <c r="D68" s="1297">
        <v>70814.0077431596</v>
      </c>
      <c r="E68" s="1297">
        <v>10</v>
      </c>
      <c r="F68" s="1297">
        <v>322121.39630956401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126224152</v>
      </c>
      <c r="E73" s="449"/>
      <c r="F73" s="330"/>
    </row>
    <row r="74" spans="1:6">
      <c r="A74" s="1293" t="s">
        <v>63</v>
      </c>
      <c r="B74" s="1293" t="s">
        <v>656</v>
      </c>
      <c r="C74" s="1307" t="s">
        <v>658</v>
      </c>
      <c r="D74" s="1308">
        <v>15516186</v>
      </c>
      <c r="E74" s="449"/>
      <c r="F74" s="330"/>
    </row>
    <row r="75" spans="1:6">
      <c r="A75" s="1293" t="s">
        <v>64</v>
      </c>
      <c r="B75" s="1293" t="s">
        <v>655</v>
      </c>
      <c r="C75" s="1307" t="s">
        <v>659</v>
      </c>
      <c r="D75" s="1308">
        <v>9008326</v>
      </c>
      <c r="E75" s="449"/>
      <c r="F75" s="330"/>
    </row>
    <row r="76" spans="1:6">
      <c r="A76" s="1293" t="s">
        <v>64</v>
      </c>
      <c r="B76" s="1293" t="s">
        <v>656</v>
      </c>
      <c r="C76" s="1307" t="s">
        <v>660</v>
      </c>
      <c r="D76" s="1308">
        <v>15905</v>
      </c>
      <c r="E76" s="449"/>
      <c r="F76" s="330"/>
    </row>
    <row r="77" spans="1:6">
      <c r="A77" s="1293" t="s">
        <v>65</v>
      </c>
      <c r="B77" s="1293" t="s">
        <v>655</v>
      </c>
      <c r="C77" s="1307" t="s">
        <v>661</v>
      </c>
      <c r="D77" s="1308">
        <v>152227243</v>
      </c>
      <c r="E77" s="449"/>
      <c r="F77" s="330"/>
    </row>
    <row r="78" spans="1:6">
      <c r="A78" s="1288" t="s">
        <v>65</v>
      </c>
      <c r="B78" s="1288" t="s">
        <v>656</v>
      </c>
      <c r="C78" s="1288" t="s">
        <v>662</v>
      </c>
      <c r="D78" s="1309">
        <v>18129565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579404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2438.2902761581809</v>
      </c>
      <c r="C91" s="330"/>
      <c r="D91" s="330"/>
      <c r="E91" s="330"/>
      <c r="F91" s="330"/>
    </row>
    <row r="92" spans="1:6">
      <c r="A92" s="1288" t="s">
        <v>68</v>
      </c>
      <c r="B92" s="1289">
        <v>1990.5445643824262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3577</v>
      </c>
      <c r="C97" s="330"/>
      <c r="D97" s="330"/>
      <c r="E97" s="330"/>
      <c r="F97" s="330"/>
    </row>
    <row r="98" spans="1:6">
      <c r="A98" s="1293" t="s">
        <v>71</v>
      </c>
      <c r="B98" s="1294">
        <v>8</v>
      </c>
      <c r="C98" s="330"/>
      <c r="D98" s="330"/>
      <c r="E98" s="330"/>
      <c r="F98" s="330"/>
    </row>
    <row r="99" spans="1:6">
      <c r="A99" s="1293" t="s">
        <v>72</v>
      </c>
      <c r="B99" s="1294">
        <v>24</v>
      </c>
      <c r="C99" s="330"/>
      <c r="D99" s="330"/>
      <c r="E99" s="330"/>
      <c r="F99" s="330"/>
    </row>
    <row r="100" spans="1:6">
      <c r="A100" s="1293" t="s">
        <v>73</v>
      </c>
      <c r="B100" s="1294">
        <v>607</v>
      </c>
      <c r="C100" s="330"/>
      <c r="D100" s="330"/>
      <c r="E100" s="330"/>
      <c r="F100" s="330"/>
    </row>
    <row r="101" spans="1:6">
      <c r="A101" s="1293" t="s">
        <v>74</v>
      </c>
      <c r="B101" s="1294">
        <v>38</v>
      </c>
      <c r="C101" s="330"/>
      <c r="D101" s="330"/>
      <c r="E101" s="330"/>
      <c r="F101" s="330"/>
    </row>
    <row r="102" spans="1:6">
      <c r="A102" s="1293" t="s">
        <v>75</v>
      </c>
      <c r="B102" s="1294">
        <v>92</v>
      </c>
      <c r="C102" s="330"/>
      <c r="D102" s="330"/>
      <c r="E102" s="330"/>
      <c r="F102" s="330"/>
    </row>
    <row r="103" spans="1:6">
      <c r="A103" s="1293" t="s">
        <v>76</v>
      </c>
      <c r="B103" s="1294">
        <v>96</v>
      </c>
      <c r="C103" s="330"/>
      <c r="D103" s="330"/>
      <c r="E103" s="330"/>
      <c r="F103" s="330"/>
    </row>
    <row r="104" spans="1:6">
      <c r="A104" s="1293" t="s">
        <v>77</v>
      </c>
      <c r="B104" s="1294">
        <v>1007</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21</v>
      </c>
      <c r="C123" s="1294">
        <v>11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92</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85890.091667313929</v>
      </c>
      <c r="C3" s="43" t="s">
        <v>169</v>
      </c>
      <c r="D3" s="43"/>
      <c r="E3" s="154"/>
      <c r="F3" s="43"/>
      <c r="G3" s="43"/>
      <c r="H3" s="43"/>
      <c r="I3" s="43"/>
      <c r="J3" s="43"/>
      <c r="K3" s="96"/>
    </row>
    <row r="4" spans="1:11">
      <c r="A4" s="358" t="s">
        <v>170</v>
      </c>
      <c r="B4" s="49">
        <f>IF(ISERROR('SEAP template'!B78+'SEAP template'!C78),0,'SEAP template'!B78+'SEAP template'!C78)</f>
        <v>62382.984840540601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13762.26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0.22071615294283412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19660.371428571434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82791.64285714287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0.23746806742916601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1083.847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1083.847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0.22071615294283412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239.22254021863193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23787.149578849494</v>
      </c>
      <c r="C5" s="17">
        <f>IF(ISERROR('Eigen informatie GS &amp; warmtenet'!B57),0,'Eigen informatie GS &amp; warmtenet'!B57)</f>
        <v>0</v>
      </c>
      <c r="D5" s="30">
        <f>(SUM(HH_hh_gas_kWh,HH_rest_gas_kWh)/1000)*0.902</f>
        <v>71662.010984213877</v>
      </c>
      <c r="E5" s="17">
        <f>B46*B57</f>
        <v>2627.2314293737081</v>
      </c>
      <c r="F5" s="17">
        <f>B51*B62</f>
        <v>0</v>
      </c>
      <c r="G5" s="18"/>
      <c r="H5" s="17"/>
      <c r="I5" s="17"/>
      <c r="J5" s="17">
        <f>B50*B61+C50*C61</f>
        <v>0</v>
      </c>
      <c r="K5" s="17"/>
      <c r="L5" s="17"/>
      <c r="M5" s="17"/>
      <c r="N5" s="17">
        <f>B48*B59+C48*C59</f>
        <v>5733.3291258765457</v>
      </c>
      <c r="O5" s="17">
        <f>B69*B70*B71</f>
        <v>161.02333333333334</v>
      </c>
      <c r="P5" s="17">
        <f>B77*B78*B79/1000-B77*B78*B79/1000/B80</f>
        <v>762.66666666666674</v>
      </c>
    </row>
    <row r="6" spans="1:16">
      <c r="A6" s="16" t="s">
        <v>620</v>
      </c>
      <c r="B6" s="762">
        <f>kWh_PV_kleiner_dan_10kW</f>
        <v>2438.2902761581809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26225.439855007673</v>
      </c>
      <c r="C8" s="21">
        <f>C5</f>
        <v>0</v>
      </c>
      <c r="D8" s="21">
        <f>D5</f>
        <v>71662.010984213877</v>
      </c>
      <c r="E8" s="21">
        <f>E5</f>
        <v>2627.2314293737081</v>
      </c>
      <c r="F8" s="21">
        <f>F5</f>
        <v>0</v>
      </c>
      <c r="G8" s="21"/>
      <c r="H8" s="21"/>
      <c r="I8" s="21"/>
      <c r="J8" s="21">
        <f>J5</f>
        <v>0</v>
      </c>
      <c r="K8" s="21"/>
      <c r="L8" s="21">
        <f>L5</f>
        <v>0</v>
      </c>
      <c r="M8" s="21">
        <f>M5</f>
        <v>0</v>
      </c>
      <c r="N8" s="21">
        <f>N5</f>
        <v>5733.3291258765457</v>
      </c>
      <c r="O8" s="21">
        <f>O5</f>
        <v>161.02333333333334</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0.22071615294283412</v>
      </c>
      <c r="C10" s="25">
        <f ca="1">'EF ele_warmte'!B22</f>
        <v>0.23746806742916601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5788.3781940309709</v>
      </c>
      <c r="C12" s="23">
        <f ca="1">C10*C8</f>
        <v>0</v>
      </c>
      <c r="D12" s="23">
        <f>D8*D10</f>
        <v>14475.726218811204</v>
      </c>
      <c r="E12" s="23">
        <f>E10*E8</f>
        <v>596.38153446783178</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3577</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3.5874439461883409</v>
      </c>
      <c r="D20" s="229"/>
      <c r="E20" s="15"/>
    </row>
    <row r="21" spans="1:7">
      <c r="A21" s="171" t="s">
        <v>73</v>
      </c>
      <c r="B21" s="37">
        <f>aantalw2001_elektriciteit</f>
        <v>607</v>
      </c>
      <c r="C21" s="167">
        <f>IF(ISERROR(B21/SUM($B$20,$B$21,$B$22)*100),0,B21/SUM($B$20,$B$21,$B$22)*100)</f>
        <v>90.732436472346791</v>
      </c>
      <c r="D21" s="229"/>
      <c r="E21" s="15"/>
    </row>
    <row r="22" spans="1:7">
      <c r="A22" s="171" t="s">
        <v>74</v>
      </c>
      <c r="B22" s="37">
        <f>aantalw2001_hout</f>
        <v>38</v>
      </c>
      <c r="C22" s="167">
        <f>IF(ISERROR(B22/SUM($B$20,$B$21,$B$22)*100),0,B22/SUM($B$20,$B$21,$B$22)*100)</f>
        <v>5.6801195814648731</v>
      </c>
      <c r="D22" s="229"/>
      <c r="E22" s="15"/>
    </row>
    <row r="23" spans="1:7">
      <c r="A23" s="171" t="s">
        <v>75</v>
      </c>
      <c r="B23" s="37">
        <f>aantalw2001_niet_gespec</f>
        <v>92</v>
      </c>
      <c r="C23" s="166" t="s">
        <v>110</v>
      </c>
      <c r="D23" s="228"/>
      <c r="E23" s="15"/>
    </row>
    <row r="24" spans="1:7">
      <c r="A24" s="171" t="s">
        <v>76</v>
      </c>
      <c r="B24" s="37">
        <f>aantalw2001_steenkool</f>
        <v>96</v>
      </c>
      <c r="C24" s="166" t="s">
        <v>110</v>
      </c>
      <c r="D24" s="229"/>
      <c r="E24" s="15"/>
    </row>
    <row r="25" spans="1:7">
      <c r="A25" s="171" t="s">
        <v>77</v>
      </c>
      <c r="B25" s="37">
        <f>aantalw2001_stookolie</f>
        <v>1007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6143</v>
      </c>
      <c r="C28" s="36"/>
      <c r="D28" s="228"/>
    </row>
    <row r="29" spans="1:7" s="15" customFormat="1">
      <c r="A29" s="230" t="s">
        <v>781</v>
      </c>
      <c r="B29" s="37">
        <f>SUM(HH_hh_gas_aantal,HH_rest_gas_aantal)</f>
        <v>4718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4718</v>
      </c>
      <c r="C32" s="167">
        <f>IF(ISERROR(B32/SUM($B$32,$B$34,$B$35,$B$36,$B$38,$B$39)*100),0,B32/SUM($B$32,$B$34,$B$35,$B$36,$B$38,$B$39)*100)</f>
        <v>77.3062428313944</v>
      </c>
      <c r="D32" s="233"/>
      <c r="G32" s="15"/>
    </row>
    <row r="33" spans="1:7">
      <c r="A33" s="171" t="s">
        <v>71</v>
      </c>
      <c r="B33" s="34" t="s">
        <v>110</v>
      </c>
      <c r="C33" s="167"/>
      <c r="D33" s="233"/>
      <c r="G33" s="15"/>
    </row>
    <row r="34" spans="1:7">
      <c r="A34" s="171" t="s">
        <v>72</v>
      </c>
      <c r="B34" s="33">
        <f>IF((($B$28-$B$32-$B$39-$B$77-$B$38)*C20/100)&lt;0,0,($B$28-$B$32-$B$39-$B$77-$B$38)*C20/100)</f>
        <v>49.686098654708523</v>
      </c>
      <c r="C34" s="167">
        <f>IF(ISERROR(B34/SUM($B$32,$B$34,$B$35,$B$36,$B$38,$B$39)*100),0,B34/SUM($B$32,$B$34,$B$35,$B$36,$B$38,$B$39)*100)</f>
        <v>0.81412581770782444</v>
      </c>
      <c r="D34" s="233"/>
      <c r="G34" s="15"/>
    </row>
    <row r="35" spans="1:7">
      <c r="A35" s="171" t="s">
        <v>73</v>
      </c>
      <c r="B35" s="33">
        <f>IF((($B$28-$B$32-$B$39-$B$77-$B$38)*C21/100)&lt;0,0,($B$28-$B$32-$B$39-$B$77-$B$38)*C21/100)</f>
        <v>1256.644245142003</v>
      </c>
      <c r="C35" s="167">
        <f>IF(ISERROR(B35/SUM($B$32,$B$34,$B$35,$B$36,$B$38,$B$39)*100),0,B35/SUM($B$32,$B$34,$B$35,$B$36,$B$38,$B$39)*100)</f>
        <v>20.590598806193725</v>
      </c>
      <c r="D35" s="233"/>
      <c r="G35" s="15"/>
    </row>
    <row r="36" spans="1:7">
      <c r="A36" s="171" t="s">
        <v>74</v>
      </c>
      <c r="B36" s="33">
        <f>IF((($B$28-$B$32-$B$39-$B$77-$B$38)*C22/100)&lt;0,0,($B$28-$B$32-$B$39-$B$77-$B$38)*C22/100)</f>
        <v>78.669656203288497</v>
      </c>
      <c r="C36" s="167">
        <f>IF(ISERROR(B36/SUM($B$32,$B$34,$B$35,$B$36,$B$38,$B$39)*100),0,B36/SUM($B$32,$B$34,$B$35,$B$36,$B$38,$B$39)*100)</f>
        <v>1.2890325447040554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4718</v>
      </c>
      <c r="C44" s="34" t="s">
        <v>110</v>
      </c>
      <c r="D44" s="174"/>
    </row>
    <row r="45" spans="1:7">
      <c r="A45" s="171" t="s">
        <v>71</v>
      </c>
      <c r="B45" s="33" t="str">
        <f t="shared" si="0"/>
        <v>-</v>
      </c>
      <c r="C45" s="34" t="s">
        <v>110</v>
      </c>
      <c r="D45" s="174"/>
    </row>
    <row r="46" spans="1:7">
      <c r="A46" s="171" t="s">
        <v>72</v>
      </c>
      <c r="B46" s="33">
        <f t="shared" si="0"/>
        <v>49.686098654708523</v>
      </c>
      <c r="C46" s="34" t="s">
        <v>110</v>
      </c>
      <c r="D46" s="174"/>
    </row>
    <row r="47" spans="1:7">
      <c r="A47" s="171" t="s">
        <v>73</v>
      </c>
      <c r="B47" s="33">
        <f t="shared" si="0"/>
        <v>1256.644245142003</v>
      </c>
      <c r="C47" s="34" t="s">
        <v>110</v>
      </c>
      <c r="D47" s="174"/>
    </row>
    <row r="48" spans="1:7">
      <c r="A48" s="171" t="s">
        <v>74</v>
      </c>
      <c r="B48" s="33">
        <f t="shared" si="0"/>
        <v>78.669656203288497</v>
      </c>
      <c r="C48" s="33">
        <f>B48*10</f>
        <v>786.69656203288491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39025.23533856625</v>
      </c>
      <c r="C5" s="17">
        <f>IF(ISERROR('Eigen informatie GS &amp; warmtenet'!B58),0,'Eigen informatie GS &amp; warmtenet'!B58)</f>
        <v>0</v>
      </c>
      <c r="D5" s="30">
        <f>SUM(D6:D12)</f>
        <v>27132.430036046393</v>
      </c>
      <c r="E5" s="17">
        <f>SUM(E6:E12)</f>
        <v>390.93843750438054</v>
      </c>
      <c r="F5" s="17">
        <f>SUM(F6:F12)</f>
        <v>7944.9941055881754</v>
      </c>
      <c r="G5" s="18"/>
      <c r="H5" s="17"/>
      <c r="I5" s="17"/>
      <c r="J5" s="17">
        <f>SUM(J6:J12)</f>
        <v>0.33844413620042307</v>
      </c>
      <c r="K5" s="17"/>
      <c r="L5" s="17"/>
      <c r="M5" s="17"/>
      <c r="N5" s="17">
        <f>SUM(N6:N12)</f>
        <v>13336.823480677105</v>
      </c>
      <c r="O5" s="17">
        <f>B38*B39*B40</f>
        <v>0</v>
      </c>
      <c r="P5" s="17">
        <f>B46*B47*B48/1000-B46*B47*B48/1000/B49</f>
        <v>19.066666666666666</v>
      </c>
      <c r="R5" s="32"/>
    </row>
    <row r="6" spans="1:18">
      <c r="A6" s="32" t="s">
        <v>53</v>
      </c>
      <c r="B6" s="37">
        <f>B26</f>
        <v>4779.9461936684993</v>
      </c>
      <c r="C6" s="33"/>
      <c r="D6" s="37">
        <f>IF(ISERROR(TER_kantoor_gas_kWh/1000),0,TER_kantoor_gas_kWh/1000)*0.902</f>
        <v>5318.5798845644267</v>
      </c>
      <c r="E6" s="33">
        <f>$C$26*'E Balans VL '!I12/100/3.6*1000000</f>
        <v>2.9959112956716362E-2</v>
      </c>
      <c r="F6" s="33">
        <f>$C$26*('E Balans VL '!L12+'E Balans VL '!N12)/100/3.6*1000000</f>
        <v>718.29234847318151</v>
      </c>
      <c r="G6" s="34"/>
      <c r="H6" s="33"/>
      <c r="I6" s="33"/>
      <c r="J6" s="33">
        <f>$C$26*('E Balans VL '!D12+'E Balans VL '!E12)/100/3.6*1000000</f>
        <v>0</v>
      </c>
      <c r="K6" s="33"/>
      <c r="L6" s="33"/>
      <c r="M6" s="33"/>
      <c r="N6" s="33">
        <f>$C$26*'E Balans VL '!Y12/100/3.6*1000000</f>
        <v>4.5713098294444903</v>
      </c>
      <c r="O6" s="33"/>
      <c r="P6" s="33"/>
      <c r="R6" s="32"/>
    </row>
    <row r="7" spans="1:18">
      <c r="A7" s="32" t="s">
        <v>52</v>
      </c>
      <c r="B7" s="37">
        <f t="shared" ref="B7:B12" si="0">B27</f>
        <v>1519.74106392665</v>
      </c>
      <c r="C7" s="33"/>
      <c r="D7" s="37">
        <f>IF(ISERROR(TER_horeca_gas_kWh/1000),0,TER_horeca_gas_kWh/1000)*0.902</f>
        <v>2038.2382287072155</v>
      </c>
      <c r="E7" s="33">
        <f>$C$27*'E Balans VL '!I9/100/3.6*1000000</f>
        <v>21.762438894892426</v>
      </c>
      <c r="F7" s="33">
        <f>$C$27*('E Balans VL '!L9+'E Balans VL '!N9)/100/3.6*1000000</f>
        <v>192.44934168443376</v>
      </c>
      <c r="G7" s="34"/>
      <c r="H7" s="33"/>
      <c r="I7" s="33"/>
      <c r="J7" s="33">
        <f>$C$27*('E Balans VL '!D9+'E Balans VL '!E9)/100/3.6*1000000</f>
        <v>0</v>
      </c>
      <c r="K7" s="33"/>
      <c r="L7" s="33"/>
      <c r="M7" s="33"/>
      <c r="N7" s="33">
        <f>$C$27*'E Balans VL '!Y9/100/3.6*1000000</f>
        <v>0.43689204846471758</v>
      </c>
      <c r="O7" s="33"/>
      <c r="P7" s="33"/>
      <c r="R7" s="32"/>
    </row>
    <row r="8" spans="1:18">
      <c r="A8" s="6" t="s">
        <v>51</v>
      </c>
      <c r="B8" s="37">
        <f t="shared" si="0"/>
        <v>7793.3052593365301</v>
      </c>
      <c r="C8" s="33"/>
      <c r="D8" s="37">
        <f>IF(ISERROR(TER_handel_gas_kWh/1000),0,TER_handel_gas_kWh/1000)*0.902</f>
        <v>7822.4471716685102</v>
      </c>
      <c r="E8" s="33">
        <f>$C$28*'E Balans VL '!I13/100/3.6*1000000</f>
        <v>282.66222072878685</v>
      </c>
      <c r="F8" s="33">
        <f>$C$28*('E Balans VL '!L13+'E Balans VL '!N13)/100/3.6*1000000</f>
        <v>1501.0695051810494</v>
      </c>
      <c r="G8" s="34"/>
      <c r="H8" s="33"/>
      <c r="I8" s="33"/>
      <c r="J8" s="33">
        <f>$C$28*('E Balans VL '!D13+'E Balans VL '!E13)/100/3.6*1000000</f>
        <v>0</v>
      </c>
      <c r="K8" s="33"/>
      <c r="L8" s="33"/>
      <c r="M8" s="33"/>
      <c r="N8" s="33">
        <f>$C$28*'E Balans VL '!Y13/100/3.6*1000000</f>
        <v>10.795520943748745</v>
      </c>
      <c r="O8" s="33"/>
      <c r="P8" s="33"/>
      <c r="R8" s="32"/>
    </row>
    <row r="9" spans="1:18">
      <c r="A9" s="32" t="s">
        <v>50</v>
      </c>
      <c r="B9" s="37">
        <f t="shared" si="0"/>
        <v>4460.2551880232595</v>
      </c>
      <c r="C9" s="33"/>
      <c r="D9" s="37">
        <f>IF(ISERROR(TER_gezond_gas_kWh/1000),0,TER_gezond_gas_kWh/1000)*0.902</f>
        <v>581.60840261665066</v>
      </c>
      <c r="E9" s="33">
        <f>$C$29*'E Balans VL '!I10/100/3.6*1000000</f>
        <v>0.27925601183448218</v>
      </c>
      <c r="F9" s="33">
        <f>$C$29*('E Balans VL '!L10+'E Balans VL '!N10)/100/3.6*1000000</f>
        <v>662.58448836459456</v>
      </c>
      <c r="G9" s="34"/>
      <c r="H9" s="33"/>
      <c r="I9" s="33"/>
      <c r="J9" s="33">
        <f>$C$29*('E Balans VL '!D10+'E Balans VL '!E10)/100/3.6*1000000</f>
        <v>0</v>
      </c>
      <c r="K9" s="33"/>
      <c r="L9" s="33"/>
      <c r="M9" s="33"/>
      <c r="N9" s="33">
        <f>$C$29*'E Balans VL '!Y10/100/3.6*1000000</f>
        <v>68.991657626180654</v>
      </c>
      <c r="O9" s="33"/>
      <c r="P9" s="33"/>
      <c r="R9" s="32"/>
    </row>
    <row r="10" spans="1:18">
      <c r="A10" s="32" t="s">
        <v>49</v>
      </c>
      <c r="B10" s="37">
        <f t="shared" si="0"/>
        <v>14993.582459191601</v>
      </c>
      <c r="C10" s="33"/>
      <c r="D10" s="37">
        <f>IF(ISERROR(TER_ander_gas_kWh/1000),0,TER_ander_gas_kWh/1000)*0.902</f>
        <v>582.66544412932353</v>
      </c>
      <c r="E10" s="33">
        <f>$C$30*'E Balans VL '!I14/100/3.6*1000000</f>
        <v>17.871814511250225</v>
      </c>
      <c r="F10" s="33">
        <f>$C$30*('E Balans VL '!L14+'E Balans VL '!N14)/100/3.6*1000000</f>
        <v>3922.987733646758</v>
      </c>
      <c r="G10" s="34"/>
      <c r="H10" s="33"/>
      <c r="I10" s="33"/>
      <c r="J10" s="33">
        <f>$C$30*('E Balans VL '!D14+'E Balans VL '!E14)/100/3.6*1000000</f>
        <v>0.32545190196865337</v>
      </c>
      <c r="K10" s="33"/>
      <c r="L10" s="33"/>
      <c r="M10" s="33"/>
      <c r="N10" s="33">
        <f>$C$30*'E Balans VL '!Y14/100/3.6*1000000</f>
        <v>12732.183336547045</v>
      </c>
      <c r="O10" s="33"/>
      <c r="P10" s="33"/>
      <c r="R10" s="32"/>
    </row>
    <row r="11" spans="1:18">
      <c r="A11" s="32" t="s">
        <v>54</v>
      </c>
      <c r="B11" s="37">
        <f t="shared" si="0"/>
        <v>113.094899788436</v>
      </c>
      <c r="C11" s="33"/>
      <c r="D11" s="37">
        <f>IF(ISERROR(TER_onderwijs_gas_kWh/1000),0,TER_onderwijs_gas_kWh/1000)*0.902</f>
        <v>1894.8879711691336</v>
      </c>
      <c r="E11" s="33">
        <f>$C$31*'E Balans VL '!I11/100/3.6*1000000</f>
        <v>1.7064198811501687</v>
      </c>
      <c r="F11" s="33">
        <f>$C$31*('E Balans VL '!L11+'E Balans VL '!N11)/100/3.6*1000000</f>
        <v>19.816033187708154</v>
      </c>
      <c r="G11" s="34"/>
      <c r="H11" s="33"/>
      <c r="I11" s="33"/>
      <c r="J11" s="33">
        <f>$C$31*('E Balans VL '!D11+'E Balans VL '!E11)/100/3.6*1000000</f>
        <v>0</v>
      </c>
      <c r="K11" s="33"/>
      <c r="L11" s="33"/>
      <c r="M11" s="33"/>
      <c r="N11" s="33">
        <f>$C$31*'E Balans VL '!Y11/100/3.6*1000000</f>
        <v>0.31825764580636118</v>
      </c>
      <c r="O11" s="33"/>
      <c r="P11" s="33"/>
      <c r="R11" s="32"/>
    </row>
    <row r="12" spans="1:18">
      <c r="A12" s="32" t="s">
        <v>259</v>
      </c>
      <c r="B12" s="37">
        <f t="shared" si="0"/>
        <v>5365.3102746312807</v>
      </c>
      <c r="C12" s="33"/>
      <c r="D12" s="37">
        <f>IF(ISERROR(TER_rest_gas_kWh/1000),0,TER_rest_gas_kWh/1000)*0.902</f>
        <v>8894.0029331911319</v>
      </c>
      <c r="E12" s="33">
        <f>$C$32*'E Balans VL '!I8/100/3.6*1000000</f>
        <v>66.6263283635096</v>
      </c>
      <c r="F12" s="33">
        <f>$C$32*('E Balans VL '!L8+'E Balans VL '!N8)/100/3.6*1000000</f>
        <v>927.79465505044993</v>
      </c>
      <c r="G12" s="34"/>
      <c r="H12" s="33"/>
      <c r="I12" s="33"/>
      <c r="J12" s="33">
        <f>$C$32*('E Balans VL '!D8+'E Balans VL '!E8)/100/3.6*1000000</f>
        <v>1.2992234231769682E-2</v>
      </c>
      <c r="K12" s="33"/>
      <c r="L12" s="33"/>
      <c r="M12" s="33"/>
      <c r="N12" s="33">
        <f>$C$32*'E Balans VL '!Y8/100/3.6*1000000</f>
        <v>519.526506036417</v>
      </c>
      <c r="O12" s="33"/>
      <c r="P12" s="33"/>
      <c r="R12" s="32"/>
    </row>
    <row r="13" spans="1:18">
      <c r="A13" s="16" t="s">
        <v>487</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39025.23533856625</v>
      </c>
      <c r="C16" s="21">
        <f t="shared" ca="1" si="1"/>
        <v>0</v>
      </c>
      <c r="D16" s="21">
        <f t="shared" ca="1" si="1"/>
        <v>27132.430036046393</v>
      </c>
      <c r="E16" s="21">
        <f t="shared" si="1"/>
        <v>390.93843750438054</v>
      </c>
      <c r="F16" s="21">
        <f t="shared" ca="1" si="1"/>
        <v>7944.9941055881754</v>
      </c>
      <c r="G16" s="21">
        <f t="shared" si="1"/>
        <v>0</v>
      </c>
      <c r="H16" s="21">
        <f t="shared" si="1"/>
        <v>0</v>
      </c>
      <c r="I16" s="21">
        <f t="shared" si="1"/>
        <v>0</v>
      </c>
      <c r="J16" s="21">
        <f t="shared" si="1"/>
        <v>0.33844413620042307</v>
      </c>
      <c r="K16" s="21">
        <f t="shared" si="1"/>
        <v>0</v>
      </c>
      <c r="L16" s="21">
        <f t="shared" ca="1" si="1"/>
        <v>0</v>
      </c>
      <c r="M16" s="21">
        <f t="shared" si="1"/>
        <v>0</v>
      </c>
      <c r="N16" s="21">
        <f t="shared" ca="1" si="1"/>
        <v>13336.823480677105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0.22071615294283412</v>
      </c>
      <c r="C18" s="25">
        <f ca="1">'EF ele_warmte'!B22</f>
        <v>0.23746806742916601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8613.4998116170827</v>
      </c>
      <c r="C20" s="23">
        <f t="shared" ref="C20:P20" ca="1" si="2">C16*C18</f>
        <v>0</v>
      </c>
      <c r="D20" s="23">
        <f t="shared" ca="1" si="2"/>
        <v>5480.7508672813719</v>
      </c>
      <c r="E20" s="23">
        <f t="shared" si="2"/>
        <v>88.743025313494385</v>
      </c>
      <c r="F20" s="23">
        <f t="shared" ca="1" si="2"/>
        <v>2121.3134261920432</v>
      </c>
      <c r="G20" s="23">
        <f t="shared" si="2"/>
        <v>0</v>
      </c>
      <c r="H20" s="23">
        <f t="shared" si="2"/>
        <v>0</v>
      </c>
      <c r="I20" s="23">
        <f t="shared" si="2"/>
        <v>0</v>
      </c>
      <c r="J20" s="23">
        <f t="shared" si="2"/>
        <v>0.11980922421494976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4779.9461936684993</v>
      </c>
      <c r="C26" s="39">
        <f>IF(ISERROR(B26*3.6/1000000/'E Balans VL '!Z12*100),0,B26*3.6/1000000/'E Balans VL '!Z12*100)</f>
        <v>0.10104049048774871</v>
      </c>
      <c r="D26" s="237" t="s">
        <v>744</v>
      </c>
      <c r="F26" s="6"/>
    </row>
    <row r="27" spans="1:18">
      <c r="A27" s="231" t="s">
        <v>52</v>
      </c>
      <c r="B27" s="33">
        <f>IF(ISERROR(TER_horeca_ele_kWh/1000),0,TER_horeca_ele_kWh/1000)</f>
        <v>1519.74106392665</v>
      </c>
      <c r="C27" s="39">
        <f>IF(ISERROR(B27*3.6/1000000/'E Balans VL '!Z9*100),0,B27*3.6/1000000/'E Balans VL '!Z9*100)</f>
        <v>0.11980062163292568</v>
      </c>
      <c r="D27" s="237" t="s">
        <v>744</v>
      </c>
      <c r="F27" s="6"/>
    </row>
    <row r="28" spans="1:18">
      <c r="A28" s="171" t="s">
        <v>51</v>
      </c>
      <c r="B28" s="33">
        <f>IF(ISERROR(TER_handel_ele_kWh/1000),0,TER_handel_ele_kWh/1000)</f>
        <v>7793.3052593365301</v>
      </c>
      <c r="C28" s="39">
        <f>IF(ISERROR(B28*3.6/1000000/'E Balans VL '!Z13*100),0,B28*3.6/1000000/'E Balans VL '!Z13*100)</f>
        <v>0.22619320710767038</v>
      </c>
      <c r="D28" s="237" t="s">
        <v>744</v>
      </c>
      <c r="F28" s="6"/>
    </row>
    <row r="29" spans="1:18">
      <c r="A29" s="231" t="s">
        <v>50</v>
      </c>
      <c r="B29" s="33">
        <f>IF(ISERROR(TER_gezond_ele_kWh/1000),0,TER_gezond_ele_kWh/1000)</f>
        <v>4460.2551880232595</v>
      </c>
      <c r="C29" s="39">
        <f>IF(ISERROR(B29*3.6/1000000/'E Balans VL '!Z10*100),0,B29*3.6/1000000/'E Balans VL '!Z10*100)</f>
        <v>0.46973811062227167</v>
      </c>
      <c r="D29" s="237" t="s">
        <v>744</v>
      </c>
      <c r="F29" s="6"/>
    </row>
    <row r="30" spans="1:18">
      <c r="A30" s="231" t="s">
        <v>49</v>
      </c>
      <c r="B30" s="33">
        <f>IF(ISERROR(TER_ander_ele_kWh/1000),0,TER_ander_ele_kWh/1000)</f>
        <v>14993.582459191601</v>
      </c>
      <c r="C30" s="39">
        <f>IF(ISERROR(B30*3.6/1000000/'E Balans VL '!Z14*100),0,B30*3.6/1000000/'E Balans VL '!Z14*100)</f>
        <v>1.1059298987798831</v>
      </c>
      <c r="D30" s="237" t="s">
        <v>744</v>
      </c>
      <c r="F30" s="6"/>
    </row>
    <row r="31" spans="1:18">
      <c r="A31" s="231" t="s">
        <v>54</v>
      </c>
      <c r="B31" s="33">
        <f>IF(ISERROR(TER_onderwijs_ele_kWh/1000),0,TER_onderwijs_ele_kWh/1000)</f>
        <v>113.094899788436</v>
      </c>
      <c r="C31" s="39">
        <f>IF(ISERROR(B31*3.6/1000000/'E Balans VL '!Z11*100),0,B31*3.6/1000000/'E Balans VL '!Z11*100)</f>
        <v>2.808676129456586E-2</v>
      </c>
      <c r="D31" s="237" t="s">
        <v>744</v>
      </c>
    </row>
    <row r="32" spans="1:18">
      <c r="A32" s="231" t="s">
        <v>259</v>
      </c>
      <c r="B32" s="33">
        <f>IF(ISERROR(TER_rest_ele_kWh/1000),0,TER_rest_ele_kWh/1000)</f>
        <v>5365.3102746312807</v>
      </c>
      <c r="C32" s="39">
        <f>IF(ISERROR(B32*3.6/1000000/'E Balans VL '!Z8*100),0,B32*3.6/1000000/'E Balans VL '!Z8*100)</f>
        <v>4.4149381834768048E-2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17612.986007180378</v>
      </c>
      <c r="C5" s="17">
        <f>IF(ISERROR('Eigen informatie GS &amp; warmtenet'!B59),0,'Eigen informatie GS &amp; warmtenet'!B59)</f>
        <v>0</v>
      </c>
      <c r="D5" s="30">
        <f>SUM(D6:D15)</f>
        <v>54204.354753791071</v>
      </c>
      <c r="E5" s="17">
        <f>SUM(E6:E15)</f>
        <v>978.36199007472669</v>
      </c>
      <c r="F5" s="17">
        <f>SUM(F6:F15)</f>
        <v>6749.089487878311</v>
      </c>
      <c r="G5" s="18"/>
      <c r="H5" s="17"/>
      <c r="I5" s="17"/>
      <c r="J5" s="17">
        <f>SUM(J6:J15)</f>
        <v>26.03306637944134</v>
      </c>
      <c r="K5" s="17"/>
      <c r="L5" s="17"/>
      <c r="M5" s="17"/>
      <c r="N5" s="17">
        <f>SUM(N6:N15)</f>
        <v>3513.0559446424486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100.80624856792801</v>
      </c>
      <c r="C8" s="33"/>
      <c r="D8" s="37">
        <f>IF( ISERROR(IND_metaal_Gas_kWH/1000),0,IND_metaal_Gas_kWH/1000)*0.902</f>
        <v>0</v>
      </c>
      <c r="E8" s="33">
        <f>C30*'E Balans VL '!I18/100/3.6*1000000</f>
        <v>0.92681609598133852</v>
      </c>
      <c r="F8" s="33">
        <f>C30*'E Balans VL '!L18/100/3.6*1000000+C30*'E Balans VL '!N18/100/3.6*1000000</f>
        <v>9.4522699359289213</v>
      </c>
      <c r="G8" s="34"/>
      <c r="H8" s="33"/>
      <c r="I8" s="33"/>
      <c r="J8" s="40">
        <f>C30*'E Balans VL '!D18/100/3.6*1000000+C30*'E Balans VL '!E18/100/3.6*1000000</f>
        <v>0</v>
      </c>
      <c r="K8" s="33"/>
      <c r="L8" s="33"/>
      <c r="M8" s="33"/>
      <c r="N8" s="33">
        <f>C30*'E Balans VL '!Y18/100/3.6*1000000</f>
        <v>1.4381677251625034</v>
      </c>
      <c r="O8" s="33"/>
      <c r="P8" s="33"/>
      <c r="R8" s="32"/>
    </row>
    <row r="9" spans="1:18">
      <c r="A9" s="6" t="s">
        <v>32</v>
      </c>
      <c r="B9" s="37">
        <f t="shared" si="0"/>
        <v>1778.7072493201101</v>
      </c>
      <c r="C9" s="33"/>
      <c r="D9" s="37">
        <f>IF( ISERROR(IND_andere_gas_kWh/1000),0,IND_andere_gas_kWh/1000)*0.902</f>
        <v>1435.8510126550825</v>
      </c>
      <c r="E9" s="33">
        <f>C31*'E Balans VL '!I19/100/3.6*1000000</f>
        <v>519.95075632214059</v>
      </c>
      <c r="F9" s="33">
        <f>C31*'E Balans VL '!L19/100/3.6*1000000+C31*'E Balans VL '!N19/100/3.6*1000000</f>
        <v>1429.3259105963505</v>
      </c>
      <c r="G9" s="34"/>
      <c r="H9" s="33"/>
      <c r="I9" s="33"/>
      <c r="J9" s="40">
        <f>C31*'E Balans VL '!D19/100/3.6*1000000+C31*'E Balans VL '!E19/100/3.6*1000000</f>
        <v>0</v>
      </c>
      <c r="K9" s="33"/>
      <c r="L9" s="33"/>
      <c r="M9" s="33"/>
      <c r="N9" s="33">
        <f>C31*'E Balans VL '!Y19/100/3.6*1000000</f>
        <v>139.51938085185432</v>
      </c>
      <c r="O9" s="33"/>
      <c r="P9" s="33"/>
      <c r="R9" s="32"/>
    </row>
    <row r="10" spans="1:18">
      <c r="A10" s="6" t="s">
        <v>40</v>
      </c>
      <c r="B10" s="37">
        <f t="shared" si="0"/>
        <v>211.99127882818701</v>
      </c>
      <c r="C10" s="33"/>
      <c r="D10" s="37">
        <f>IF( ISERROR(IND_voed_gas_kWh/1000),0,IND_voed_gas_kWh/1000)*0.902</f>
        <v>425.142589453933</v>
      </c>
      <c r="E10" s="33">
        <f>C32*'E Balans VL '!I20/100/3.6*1000000</f>
        <v>0.44847083732473819</v>
      </c>
      <c r="F10" s="33">
        <f>C32*'E Balans VL '!L20/100/3.6*1000000+C32*'E Balans VL '!N20/100/3.6*1000000</f>
        <v>13.478622050637432</v>
      </c>
      <c r="G10" s="34"/>
      <c r="H10" s="33"/>
      <c r="I10" s="33"/>
      <c r="J10" s="40">
        <f>C32*'E Balans VL '!D20/100/3.6*1000000+C32*'E Balans VL '!E20/100/3.6*1000000</f>
        <v>0</v>
      </c>
      <c r="K10" s="33"/>
      <c r="L10" s="33"/>
      <c r="M10" s="33"/>
      <c r="N10" s="33">
        <f>C32*'E Balans VL '!Y20/100/3.6*1000000</f>
        <v>14.629490220201063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15249.574933407999</v>
      </c>
      <c r="C12" s="33"/>
      <c r="D12" s="37">
        <f>IF( ISERROR(IND_min_gas_kWh/1000),0,IND_min_gas_kWh/1000)*0.902</f>
        <v>0</v>
      </c>
      <c r="E12" s="33">
        <f>C34*'E Balans VL '!I22/100/3.6*1000000</f>
        <v>442.02238469178116</v>
      </c>
      <c r="F12" s="33">
        <f>C34*'E Balans VL '!L22/100/3.6*1000000+C34*'E Balans VL '!N22/100/3.6*1000000</f>
        <v>5242.9761861430197</v>
      </c>
      <c r="G12" s="34"/>
      <c r="H12" s="33"/>
      <c r="I12" s="33"/>
      <c r="J12" s="40">
        <f>C34*'E Balans VL '!D22/100/3.6*1000000+C34*'E Balans VL '!E22/100/3.6*1000000</f>
        <v>25.059647006449236</v>
      </c>
      <c r="K12" s="33"/>
      <c r="L12" s="33"/>
      <c r="M12" s="33"/>
      <c r="N12" s="33">
        <f>C34*'E Balans VL '!Y22/100/3.6*1000000</f>
        <v>3338.3825536298573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271.90629705615498</v>
      </c>
      <c r="C15" s="33"/>
      <c r="D15" s="37">
        <f>IF( ISERROR(IND_rest_gas_kWh/1000),0,IND_rest_gas_kWh/1000)*0.902</f>
        <v>52343.361151682053</v>
      </c>
      <c r="E15" s="33">
        <f>C37*'E Balans VL '!I15/100/3.6*1000000</f>
        <v>15.013562127498771</v>
      </c>
      <c r="F15" s="33">
        <f>C37*'E Balans VL '!L15/100/3.6*1000000+C37*'E Balans VL '!N15/100/3.6*1000000</f>
        <v>53.856499152374262</v>
      </c>
      <c r="G15" s="34"/>
      <c r="H15" s="33"/>
      <c r="I15" s="33"/>
      <c r="J15" s="40">
        <f>C37*'E Balans VL '!D15/100/3.6*1000000+C37*'E Balans VL '!E15/100/3.6*1000000</f>
        <v>0.97341937299210302</v>
      </c>
      <c r="K15" s="33"/>
      <c r="L15" s="33"/>
      <c r="M15" s="33"/>
      <c r="N15" s="33">
        <f>C37*'E Balans VL '!Y15/100/3.6*1000000</f>
        <v>19.086352215373608</v>
      </c>
      <c r="O15" s="33"/>
      <c r="P15" s="33"/>
      <c r="R15" s="32"/>
    </row>
    <row r="16" spans="1:18">
      <c r="A16" s="16" t="s">
        <v>487</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17612.986007180378</v>
      </c>
      <c r="C18" s="21">
        <f>C5+C16</f>
        <v>0</v>
      </c>
      <c r="D18" s="21">
        <f>MAX((D5+D16),0)</f>
        <v>54204.354753791071</v>
      </c>
      <c r="E18" s="21">
        <f>MAX((E5+E16),0)</f>
        <v>978.36199007472669</v>
      </c>
      <c r="F18" s="21">
        <f>MAX((F5+F16),0)</f>
        <v>6749.089487878311</v>
      </c>
      <c r="G18" s="21"/>
      <c r="H18" s="21"/>
      <c r="I18" s="21"/>
      <c r="J18" s="21">
        <f>MAX((J5+J16),0)</f>
        <v>26.03306637944134</v>
      </c>
      <c r="K18" s="21"/>
      <c r="L18" s="21">
        <f>MAX((L5+L16),0)</f>
        <v>0</v>
      </c>
      <c r="M18" s="21"/>
      <c r="N18" s="21">
        <f>MAX((N5+N16),0)</f>
        <v>3513.0559446424486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0.22071615294283412</v>
      </c>
      <c r="C20" s="25">
        <f ca="1">'EF ele_warmte'!B22</f>
        <v>0.23746806742916601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3887.4705133408215</v>
      </c>
      <c r="C22" s="23">
        <f ca="1">C18*C20</f>
        <v>0</v>
      </c>
      <c r="D22" s="23">
        <f>D18*D20</f>
        <v>10949.279660265796</v>
      </c>
      <c r="E22" s="23">
        <f>E18*E20</f>
        <v>222.08817174696296</v>
      </c>
      <c r="F22" s="23">
        <f>F18*F20</f>
        <v>1802.0068932635093</v>
      </c>
      <c r="G22" s="23"/>
      <c r="H22" s="23"/>
      <c r="I22" s="23"/>
      <c r="J22" s="23">
        <f>J18*J20</f>
        <v>9.2157054983222348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100.80624856792801</v>
      </c>
      <c r="C30" s="39">
        <f>IF(ISERROR(B30*3.6/1000000/'E Balans VL '!Z18*100),0,B30*3.6/1000000/'E Balans VL '!Z18*100)</f>
        <v>5.7129485904719212E-3</v>
      </c>
      <c r="D30" s="237" t="s">
        <v>744</v>
      </c>
    </row>
    <row r="31" spans="1:18">
      <c r="A31" s="6" t="s">
        <v>32</v>
      </c>
      <c r="B31" s="37">
        <f>IF( ISERROR(IND_ander_ele_kWh/1000),0,IND_ander_ele_kWh/1000)</f>
        <v>1778.7072493201101</v>
      </c>
      <c r="C31" s="39">
        <f>IF(ISERROR(B31*3.6/1000000/'E Balans VL '!Z19*100),0,B31*3.6/1000000/'E Balans VL '!Z19*100)</f>
        <v>8.0674754421080297E-2</v>
      </c>
      <c r="D31" s="237" t="s">
        <v>744</v>
      </c>
    </row>
    <row r="32" spans="1:18">
      <c r="A32" s="171" t="s">
        <v>40</v>
      </c>
      <c r="B32" s="37">
        <f>IF( ISERROR(IND_voed_ele_kWh/1000),0,IND_voed_ele_kWh/1000)</f>
        <v>211.99127882818701</v>
      </c>
      <c r="C32" s="39">
        <f>IF(ISERROR(B32*3.6/1000000/'E Balans VL '!Z20*100),0,B32*3.6/1000000/'E Balans VL '!Z20*100)</f>
        <v>6.5578526133044344E-3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15249.574933407999</v>
      </c>
      <c r="C34" s="39">
        <f>IF(ISERROR(B34*3.6/1000000/'E Balans VL '!Z22*100),0,B34*3.6/1000000/'E Balans VL '!Z22*100)</f>
        <v>2.7429227492617092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271.90629705615498</v>
      </c>
      <c r="C37" s="39">
        <f>IF(ISERROR(B37*3.6/1000000/'E Balans VL '!Z15*100),0,B37*3.6/1000000/'E Balans VL '!Z15*100)</f>
        <v>2.1551913368614197E-3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1176.774750035139</v>
      </c>
      <c r="C5" s="17">
        <f>'Eigen informatie GS &amp; warmtenet'!B60</f>
        <v>0</v>
      </c>
      <c r="D5" s="30">
        <f>IF(ISERROR(SUM(LB_lb_gas_kWh,LB_rest_gas_kWh)/1000),0,SUM(LB_lb_gas_kWh,LB_rest_gas_kWh)/1000)*0.902</f>
        <v>116997.75269103103</v>
      </c>
      <c r="E5" s="17">
        <f>B17*'E Balans VL '!I25/3.6*1000000/100</f>
        <v>34.589004188477098</v>
      </c>
      <c r="F5" s="17">
        <f>B17*('E Balans VL '!L25/3.6*1000000+'E Balans VL '!N25/3.6*1000000)/100</f>
        <v>4902.3800190765651</v>
      </c>
      <c r="G5" s="18"/>
      <c r="H5" s="17"/>
      <c r="I5" s="17"/>
      <c r="J5" s="17">
        <f>('E Balans VL '!D25+'E Balans VL '!E25)/3.6*1000000*landbouw!B17/100</f>
        <v>170.4893897530543</v>
      </c>
      <c r="K5" s="17"/>
      <c r="L5" s="17">
        <f>L6*(-1)</f>
        <v>0</v>
      </c>
      <c r="M5" s="17"/>
      <c r="N5" s="17">
        <f>N6*(-1)</f>
        <v>124.71428571428569</v>
      </c>
      <c r="O5" s="17"/>
      <c r="P5" s="17"/>
      <c r="R5" s="32"/>
    </row>
    <row r="6" spans="1:18">
      <c r="A6" s="16" t="s">
        <v>487</v>
      </c>
      <c r="B6" s="17" t="s">
        <v>210</v>
      </c>
      <c r="C6" s="17">
        <f>'lokale energieproductie'!O47+'lokale energieproductie'!O40</f>
        <v>82791.64285714287</v>
      </c>
      <c r="D6" s="308">
        <f>('lokale energieproductie'!P40+'lokale energieproductie'!P47)*(-1)</f>
        <v>-165458.57142857145</v>
      </c>
      <c r="E6" s="248"/>
      <c r="F6" s="308">
        <f>('lokale energieproductie'!S40+'lokale energieproductie'!S47)*(-1)</f>
        <v>0</v>
      </c>
      <c r="G6" s="249"/>
      <c r="H6" s="248"/>
      <c r="I6" s="248"/>
      <c r="J6" s="248"/>
      <c r="K6" s="248"/>
      <c r="L6" s="308">
        <f>('lokale energieproductie'!T40+'lokale energieproductie'!U40+'lokale energieproductie'!T47+'lokale energieproductie'!U47)*(-1)</f>
        <v>0</v>
      </c>
      <c r="M6" s="248"/>
      <c r="N6" s="308">
        <f>('lokale energieproductie'!V40+'lokale energieproductie'!R40+'lokale energieproductie'!Q40+'lokale energieproductie'!Q47+'lokale energieproductie'!R47+'lokale energieproductie'!V47)*(-1)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1176.774750035139</v>
      </c>
      <c r="C8" s="21">
        <f>C5+C6</f>
        <v>82791.64285714287</v>
      </c>
      <c r="D8" s="21">
        <f>MAX((D5+D6),0)</f>
        <v>0</v>
      </c>
      <c r="E8" s="21">
        <f>MAX((E5+E6),0)</f>
        <v>34.589004188477098</v>
      </c>
      <c r="F8" s="21">
        <f>MAX((F5+F6),0)</f>
        <v>4902.3800190765651</v>
      </c>
      <c r="G8" s="21"/>
      <c r="H8" s="21"/>
      <c r="I8" s="21"/>
      <c r="J8" s="21">
        <f>MAX((J5+J6),0)</f>
        <v>170.4893897530543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0.22071615294283412</v>
      </c>
      <c r="C10" s="31">
        <f ca="1">'EF ele_warmte'!B22</f>
        <v>0.23746806742916601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259.73319570802113</v>
      </c>
      <c r="C12" s="23">
        <f ca="1">C8*C10</f>
        <v>19660.371428571434</v>
      </c>
      <c r="D12" s="23">
        <f>D8*D10</f>
        <v>0</v>
      </c>
      <c r="E12" s="23">
        <f>E8*E10</f>
        <v>7.8517039507843016</v>
      </c>
      <c r="F12" s="23">
        <f>F8*F10</f>
        <v>1308.9354650934429</v>
      </c>
      <c r="G12" s="23"/>
      <c r="H12" s="23"/>
      <c r="I12" s="23"/>
      <c r="J12" s="23">
        <f>J8*J10</f>
        <v>60.353243972581218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0.16698802904816937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134.7685535720056</v>
      </c>
      <c r="C26" s="247">
        <f>B26*'GWP N2O_CH4'!B5</f>
        <v>2830.1396250121174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29.845461402560773</v>
      </c>
      <c r="C27" s="247">
        <f>B27*'GWP N2O_CH4'!B5</f>
        <v>626.75468945377622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1.5164694460825907</v>
      </c>
      <c r="C28" s="247">
        <f>B28*'GWP N2O_CH4'!B4</f>
        <v>470.1055282856031</v>
      </c>
      <c r="D28" s="50"/>
    </row>
    <row r="29" spans="1:4">
      <c r="A29" s="41" t="s">
        <v>276</v>
      </c>
      <c r="B29" s="247">
        <f>B34*'ha_N2O bodem landbouw'!B4</f>
        <v>4.0820152175610778</v>
      </c>
      <c r="C29" s="247">
        <f>B29*'GWP N2O_CH4'!B4</f>
        <v>1265.424717443934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9.3150180539718736E-4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3.4609256408667688E-4</v>
      </c>
      <c r="C5" s="437" t="s">
        <v>210</v>
      </c>
      <c r="D5" s="422">
        <f>SUM(D6:D11)</f>
        <v>8.7601712925416259E-4</v>
      </c>
      <c r="E5" s="422">
        <f>SUM(E6:E11)</f>
        <v>1.6923326003250121E-3</v>
      </c>
      <c r="F5" s="435" t="s">
        <v>210</v>
      </c>
      <c r="G5" s="422">
        <f>SUM(G6:G11)</f>
        <v>0.79412069555976106</v>
      </c>
      <c r="H5" s="422">
        <f>SUM(H6:H11)</f>
        <v>0.15205404792920094</v>
      </c>
      <c r="I5" s="437" t="s">
        <v>210</v>
      </c>
      <c r="J5" s="437" t="s">
        <v>210</v>
      </c>
      <c r="K5" s="437" t="s">
        <v>210</v>
      </c>
      <c r="L5" s="437" t="s">
        <v>210</v>
      </c>
      <c r="M5" s="422">
        <f>SUM(M6:M11)</f>
        <v>5.0873333797315609E-2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1.5196995343687278E-4</v>
      </c>
      <c r="C6" s="423"/>
      <c r="D6" s="865">
        <f>vkm_GW_PW*SUMIFS(TableVerdeelsleutelVkm[CNG],TableVerdeelsleutelVkm[Voertuigtype],"Lichte voertuigen")*SUMIFS(TableECFTransport[EnergieConsumptieFactor (PJ per km)],TableECFTransport[Index],CONCATENATE($A6,"_CNG_CNG"))</f>
        <v>3.7661865088814715E-4</v>
      </c>
      <c r="E6" s="865">
        <f>vkm_GW_PW*SUMIFS(TableVerdeelsleutelVkm[LPG],TableVerdeelsleutelVkm[Voertuigtype],"Lichte voertuigen")*SUMIFS(TableECFTransport[EnergieConsumptieFactor (PJ per km)],TableECFTransport[Index],CONCATENATE($A6,"_LPG_LPG"))</f>
        <v>6.46560176694481E-4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0.1981154274589946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6.3989082080266629E-2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1.3458875699288719E-2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0.14577267247707518</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2.4385116535648624E-6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8.5168494416036529E-3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1.0845744345061399E-5</v>
      </c>
      <c r="C8" s="423"/>
      <c r="D8" s="425">
        <f>vkm_NGW_PW*SUMIFS(TableVerdeelsleutelVkm[CNG],TableVerdeelsleutelVkm[Voertuigtype],"Lichte voertuigen")*SUMIFS(TableECFTransport[EnergieConsumptieFactor (PJ per km)],TableECFTransport[Index],CONCATENATE($A8,"_CNG_CNG"))</f>
        <v>4.5430332127635863E-5</v>
      </c>
      <c r="E8" s="425">
        <f>vkm_NGW_PW*SUMIFS(TableVerdeelsleutelVkm[LPG],TableVerdeelsleutelVkm[Voertuigtype],"Lichte voertuigen")*SUMIFS(TableECFTransport[EnergieConsumptieFactor (PJ per km)],TableECFTransport[Index],CONCATENATE($A8,"_LPG_LPG"))</f>
        <v>7.4066156890244576E-5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2.1347624300795006E-2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7.5490315782131921E-3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1.4694952133685055E-3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1.9224777245383792E-4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3.9616386618208328E-9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1.1232204953140632E-5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1.8327686630474269E-4</v>
      </c>
      <c r="C10" s="423"/>
      <c r="D10" s="425">
        <f>vkm_SW_PW*SUMIFS(TableVerdeelsleutelVkm[CNG],TableVerdeelsleutelVkm[Voertuigtype],"Lichte voertuigen")*SUMIFS(TableECFTransport[EnergieConsumptieFactor (PJ per km)],TableECFTransport[Index],CONCATENATE($A10,"_CNG_CNG"))</f>
        <v>4.539681462383796E-4</v>
      </c>
      <c r="E10" s="425">
        <f>vkm_SW_PW*SUMIFS(TableVerdeelsleutelVkm[LPG],TableVerdeelsleutelVkm[Voertuigtype],"Lichte voertuigen")*SUMIFS(TableECFTransport[EnergieConsumptieFactor (PJ per km)],TableECFTransport[Index],CONCATENATE($A10,"_LPG_LPG"))</f>
        <v>9.7170626674028646E-4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0.26637251186017835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8.051059928067722E-2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1.7933227400270209E-2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0.16232021169026403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2.8925167516798614E-6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9.4836538378313823E-3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96.136823357410236</v>
      </c>
      <c r="C14" s="21"/>
      <c r="D14" s="21">
        <f t="shared" ref="D14:M14" si="0">((D5)*10^9/3600)+D12</f>
        <v>243.33809145948959</v>
      </c>
      <c r="E14" s="21">
        <f t="shared" si="0"/>
        <v>470.09238897917004</v>
      </c>
      <c r="F14" s="21"/>
      <c r="G14" s="21">
        <f t="shared" si="0"/>
        <v>220589.08209993361</v>
      </c>
      <c r="H14" s="21">
        <f t="shared" si="0"/>
        <v>42237.235535889151</v>
      </c>
      <c r="I14" s="21"/>
      <c r="J14" s="21"/>
      <c r="K14" s="21"/>
      <c r="L14" s="21"/>
      <c r="M14" s="21">
        <f t="shared" si="0"/>
        <v>14131.481610365448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0.22071615294283412</v>
      </c>
      <c r="C16" s="56">
        <f ca="1">'EF ele_warmte'!B22</f>
        <v>0.23746806742916601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21.218949807592384</v>
      </c>
      <c r="C18" s="23"/>
      <c r="D18" s="23">
        <f t="shared" ref="D18:M18" si="1">D14*D16</f>
        <v>49.154294474816901</v>
      </c>
      <c r="E18" s="23">
        <f t="shared" si="1"/>
        <v>106.7109722982716</v>
      </c>
      <c r="F18" s="23"/>
      <c r="G18" s="23">
        <f t="shared" si="1"/>
        <v>58897.284920682279</v>
      </c>
      <c r="H18" s="23">
        <f t="shared" si="1"/>
        <v>10517.071648436398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7.2370093481966668E-3</v>
      </c>
      <c r="H50" s="319">
        <f t="shared" si="2"/>
        <v>0</v>
      </c>
      <c r="I50" s="319">
        <f t="shared" si="2"/>
        <v>0</v>
      </c>
      <c r="J50" s="319">
        <f t="shared" si="2"/>
        <v>0</v>
      </c>
      <c r="K50" s="319">
        <f t="shared" si="2"/>
        <v>0</v>
      </c>
      <c r="L50" s="319">
        <f t="shared" si="2"/>
        <v>0</v>
      </c>
      <c r="M50" s="319">
        <f t="shared" si="2"/>
        <v>4.1099913377828749E-4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7.2370093481966668E-3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4.1099913377828749E-4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2010.280374499074</v>
      </c>
      <c r="H54" s="21">
        <f t="shared" si="3"/>
        <v>0</v>
      </c>
      <c r="I54" s="21">
        <f t="shared" si="3"/>
        <v>0</v>
      </c>
      <c r="J54" s="21">
        <f t="shared" si="3"/>
        <v>0</v>
      </c>
      <c r="K54" s="21">
        <f t="shared" si="3"/>
        <v>0</v>
      </c>
      <c r="L54" s="21">
        <f t="shared" si="3"/>
        <v>0</v>
      </c>
      <c r="M54" s="21">
        <f t="shared" si="3"/>
        <v>114.1664260495243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0.22071615294283412</v>
      </c>
      <c r="C56" s="56">
        <f ca="1">'EF ele_warmte'!B22</f>
        <v>0.23746806742916601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536.74485999125284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40109.082338566252</v>
      </c>
      <c r="D10" s="979">
        <f ca="1">tertiair!C16</f>
        <v>0</v>
      </c>
      <c r="E10" s="979">
        <f ca="1">tertiair!D16</f>
        <v>27132.430036046393</v>
      </c>
      <c r="F10" s="979">
        <f>tertiair!E16</f>
        <v>390.93843750438054</v>
      </c>
      <c r="G10" s="979">
        <f ca="1">tertiair!F16</f>
        <v>7944.9941055881754</v>
      </c>
      <c r="H10" s="979">
        <f>tertiair!G16</f>
        <v>0</v>
      </c>
      <c r="I10" s="979">
        <f>tertiair!H16</f>
        <v>0</v>
      </c>
      <c r="J10" s="979">
        <f>tertiair!I16</f>
        <v>0</v>
      </c>
      <c r="K10" s="979">
        <f>tertiair!J16</f>
        <v>0.33844413620042307</v>
      </c>
      <c r="L10" s="979">
        <f>tertiair!K16</f>
        <v>0</v>
      </c>
      <c r="M10" s="979">
        <f ca="1">tertiair!L16</f>
        <v>0</v>
      </c>
      <c r="N10" s="979">
        <f>tertiair!M16</f>
        <v>0</v>
      </c>
      <c r="O10" s="979">
        <f ca="1">tertiair!N16</f>
        <v>13336.823480677105</v>
      </c>
      <c r="P10" s="979">
        <f>tertiair!O16</f>
        <v>0</v>
      </c>
      <c r="Q10" s="980">
        <f>tertiair!P16</f>
        <v>19.066666666666666</v>
      </c>
      <c r="R10" s="674">
        <f ca="1">SUM(C10:Q10)</f>
        <v>88933.673509185173</v>
      </c>
      <c r="S10" s="67"/>
    </row>
    <row r="11" spans="1:19" s="447" customFormat="1">
      <c r="A11" s="783" t="s">
        <v>224</v>
      </c>
      <c r="B11" s="788"/>
      <c r="C11" s="979">
        <f>huishoudens!B8</f>
        <v>26225.439855007673</v>
      </c>
      <c r="D11" s="979">
        <f>huishoudens!C8</f>
        <v>0</v>
      </c>
      <c r="E11" s="979">
        <f>huishoudens!D8</f>
        <v>71662.010984213877</v>
      </c>
      <c r="F11" s="979">
        <f>huishoudens!E8</f>
        <v>2627.2314293737081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5733.3291258765457</v>
      </c>
      <c r="P11" s="979">
        <f>huishoudens!O8</f>
        <v>161.02333333333334</v>
      </c>
      <c r="Q11" s="980">
        <f>huishoudens!P8</f>
        <v>762.66666666666674</v>
      </c>
      <c r="R11" s="674">
        <f>SUM(C11:Q11)</f>
        <v>107171.70139447181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17612.986007180378</v>
      </c>
      <c r="D13" s="979">
        <f>industrie!C18</f>
        <v>0</v>
      </c>
      <c r="E13" s="979">
        <f>industrie!D18</f>
        <v>54204.354753791071</v>
      </c>
      <c r="F13" s="979">
        <f>industrie!E18</f>
        <v>978.36199007472669</v>
      </c>
      <c r="G13" s="979">
        <f>industrie!F18</f>
        <v>6749.089487878311</v>
      </c>
      <c r="H13" s="979">
        <f>industrie!G18</f>
        <v>0</v>
      </c>
      <c r="I13" s="979">
        <f>industrie!H18</f>
        <v>0</v>
      </c>
      <c r="J13" s="979">
        <f>industrie!I18</f>
        <v>0</v>
      </c>
      <c r="K13" s="979">
        <f>industrie!J18</f>
        <v>26.03306637944134</v>
      </c>
      <c r="L13" s="979">
        <f>industrie!K18</f>
        <v>0</v>
      </c>
      <c r="M13" s="979">
        <f>industrie!L18</f>
        <v>0</v>
      </c>
      <c r="N13" s="979">
        <f>industrie!M18</f>
        <v>0</v>
      </c>
      <c r="O13" s="979">
        <f>industrie!N18</f>
        <v>3513.0559446424486</v>
      </c>
      <c r="P13" s="979">
        <f>industrie!O18</f>
        <v>0</v>
      </c>
      <c r="Q13" s="980">
        <f>industrie!P18</f>
        <v>0</v>
      </c>
      <c r="R13" s="674">
        <f>SUM(C13:Q13)</f>
        <v>83083.881249946382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83947.508200754295</v>
      </c>
      <c r="D16" s="706">
        <f t="shared" ref="D16:R16" ca="1" si="0">SUM(D9:D15)</f>
        <v>0</v>
      </c>
      <c r="E16" s="706">
        <f t="shared" ca="1" si="0"/>
        <v>152998.79577405134</v>
      </c>
      <c r="F16" s="706">
        <f t="shared" si="0"/>
        <v>3996.5318569528154</v>
      </c>
      <c r="G16" s="706">
        <f t="shared" ca="1" si="0"/>
        <v>14694.083593466486</v>
      </c>
      <c r="H16" s="706">
        <f t="shared" si="0"/>
        <v>0</v>
      </c>
      <c r="I16" s="706">
        <f t="shared" si="0"/>
        <v>0</v>
      </c>
      <c r="J16" s="706">
        <f t="shared" si="0"/>
        <v>0</v>
      </c>
      <c r="K16" s="706">
        <f t="shared" si="0"/>
        <v>26.371510515641763</v>
      </c>
      <c r="L16" s="706">
        <f t="shared" si="0"/>
        <v>0</v>
      </c>
      <c r="M16" s="706">
        <f t="shared" ca="1" si="0"/>
        <v>0</v>
      </c>
      <c r="N16" s="706">
        <f t="shared" si="0"/>
        <v>0</v>
      </c>
      <c r="O16" s="706">
        <f t="shared" ca="1" si="0"/>
        <v>22583.208551196101</v>
      </c>
      <c r="P16" s="706">
        <f t="shared" si="0"/>
        <v>161.02333333333334</v>
      </c>
      <c r="Q16" s="706">
        <f t="shared" si="0"/>
        <v>781.73333333333346</v>
      </c>
      <c r="R16" s="706">
        <f t="shared" ca="1" si="0"/>
        <v>279189.25615360338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2010.280374499074</v>
      </c>
      <c r="I19" s="979">
        <f>transport!H54</f>
        <v>0</v>
      </c>
      <c r="J19" s="979">
        <f>transport!I54</f>
        <v>0</v>
      </c>
      <c r="K19" s="979">
        <f>transport!J54</f>
        <v>0</v>
      </c>
      <c r="L19" s="979">
        <f>transport!K54</f>
        <v>0</v>
      </c>
      <c r="M19" s="979">
        <f>transport!L54</f>
        <v>0</v>
      </c>
      <c r="N19" s="979">
        <f>transport!M54</f>
        <v>114.1664260495243</v>
      </c>
      <c r="O19" s="979">
        <f>transport!N54</f>
        <v>0</v>
      </c>
      <c r="P19" s="979">
        <f>transport!O54</f>
        <v>0</v>
      </c>
      <c r="Q19" s="980">
        <f>transport!P54</f>
        <v>0</v>
      </c>
      <c r="R19" s="674">
        <f>SUM(C19:Q19)</f>
        <v>2124.4468005485983</v>
      </c>
      <c r="S19" s="67"/>
    </row>
    <row r="20" spans="1:19" s="447" customFormat="1">
      <c r="A20" s="783" t="s">
        <v>306</v>
      </c>
      <c r="B20" s="788"/>
      <c r="C20" s="979">
        <f>transport!B14</f>
        <v>96.136823357410236</v>
      </c>
      <c r="D20" s="979">
        <f>transport!C14</f>
        <v>0</v>
      </c>
      <c r="E20" s="979">
        <f>transport!D14</f>
        <v>243.33809145948959</v>
      </c>
      <c r="F20" s="979">
        <f>transport!E14</f>
        <v>470.09238897917004</v>
      </c>
      <c r="G20" s="979">
        <f>transport!F14</f>
        <v>0</v>
      </c>
      <c r="H20" s="979">
        <f>transport!G14</f>
        <v>220589.08209993361</v>
      </c>
      <c r="I20" s="979">
        <f>transport!H14</f>
        <v>42237.235535889151</v>
      </c>
      <c r="J20" s="979">
        <f>transport!I14</f>
        <v>0</v>
      </c>
      <c r="K20" s="979">
        <f>transport!J14</f>
        <v>0</v>
      </c>
      <c r="L20" s="979">
        <f>transport!K14</f>
        <v>0</v>
      </c>
      <c r="M20" s="979">
        <f>transport!L14</f>
        <v>0</v>
      </c>
      <c r="N20" s="979">
        <f>transport!M14</f>
        <v>14131.481610365448</v>
      </c>
      <c r="O20" s="979">
        <f>transport!N14</f>
        <v>0</v>
      </c>
      <c r="P20" s="979">
        <f>transport!O14</f>
        <v>0</v>
      </c>
      <c r="Q20" s="980">
        <f>transport!P14</f>
        <v>0</v>
      </c>
      <c r="R20" s="674">
        <f>SUM(C20:Q20)</f>
        <v>277767.36654998426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96.136823357410236</v>
      </c>
      <c r="D22" s="786">
        <f t="shared" ref="D22:R22" si="1">SUM(D18:D21)</f>
        <v>0</v>
      </c>
      <c r="E22" s="786">
        <f t="shared" si="1"/>
        <v>243.33809145948959</v>
      </c>
      <c r="F22" s="786">
        <f t="shared" si="1"/>
        <v>470.09238897917004</v>
      </c>
      <c r="G22" s="786">
        <f t="shared" si="1"/>
        <v>0</v>
      </c>
      <c r="H22" s="786">
        <f t="shared" si="1"/>
        <v>222599.36247443268</v>
      </c>
      <c r="I22" s="786">
        <f t="shared" si="1"/>
        <v>42237.235535889151</v>
      </c>
      <c r="J22" s="786">
        <f t="shared" si="1"/>
        <v>0</v>
      </c>
      <c r="K22" s="786">
        <f t="shared" si="1"/>
        <v>0</v>
      </c>
      <c r="L22" s="786">
        <f t="shared" si="1"/>
        <v>0</v>
      </c>
      <c r="M22" s="786">
        <f t="shared" si="1"/>
        <v>0</v>
      </c>
      <c r="N22" s="786">
        <f t="shared" si="1"/>
        <v>14245.648036414972</v>
      </c>
      <c r="O22" s="786">
        <f t="shared" si="1"/>
        <v>0</v>
      </c>
      <c r="P22" s="786">
        <f t="shared" si="1"/>
        <v>0</v>
      </c>
      <c r="Q22" s="786">
        <f t="shared" si="1"/>
        <v>0</v>
      </c>
      <c r="R22" s="786">
        <f t="shared" si="1"/>
        <v>279891.81335053284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1176.774750035139</v>
      </c>
      <c r="D24" s="979">
        <f>+landbouw!C8</f>
        <v>82791.64285714287</v>
      </c>
      <c r="E24" s="979">
        <f>+landbouw!D8</f>
        <v>0</v>
      </c>
      <c r="F24" s="979">
        <f>+landbouw!E8</f>
        <v>34.589004188477098</v>
      </c>
      <c r="G24" s="979">
        <f>+landbouw!F8</f>
        <v>4902.3800190765651</v>
      </c>
      <c r="H24" s="979">
        <f>+landbouw!G8</f>
        <v>0</v>
      </c>
      <c r="I24" s="979">
        <f>+landbouw!H8</f>
        <v>0</v>
      </c>
      <c r="J24" s="979">
        <f>+landbouw!I8</f>
        <v>0</v>
      </c>
      <c r="K24" s="979">
        <f>+landbouw!J8</f>
        <v>170.4893897530543</v>
      </c>
      <c r="L24" s="979">
        <f>+landbouw!K8</f>
        <v>0</v>
      </c>
      <c r="M24" s="979">
        <f>+landbouw!L8</f>
        <v>0</v>
      </c>
      <c r="N24" s="979">
        <f>+landbouw!M8</f>
        <v>0</v>
      </c>
      <c r="O24" s="979">
        <f>+landbouw!N8</f>
        <v>0</v>
      </c>
      <c r="P24" s="979">
        <f>+landbouw!O8</f>
        <v>0</v>
      </c>
      <c r="Q24" s="980">
        <f>+landbouw!P8</f>
        <v>0</v>
      </c>
      <c r="R24" s="674">
        <f>SUM(C24:Q24)</f>
        <v>89075.876020196098</v>
      </c>
      <c r="S24" s="67"/>
    </row>
    <row r="25" spans="1:19" s="447" customFormat="1" ht="15" thickBot="1">
      <c r="A25" s="805" t="s">
        <v>823</v>
      </c>
      <c r="B25" s="982"/>
      <c r="C25" s="983">
        <f>IF(Onbekend_ele_kWh="---",0,Onbekend_ele_kWh)/1000+IF(REST_rest_ele_kWh="---",0,REST_rest_ele_kWh)/1000</f>
        <v>669.67189316709698</v>
      </c>
      <c r="D25" s="983"/>
      <c r="E25" s="983">
        <f>IF(onbekend_gas_kWh="---",0,onbekend_gas_kWh)/1000+IF(REST_rest_gas_kWh="---",0,REST_rest_gas_kWh)/1000</f>
        <v>2470.8768669035899</v>
      </c>
      <c r="F25" s="983"/>
      <c r="G25" s="983"/>
      <c r="H25" s="983"/>
      <c r="I25" s="983"/>
      <c r="J25" s="983"/>
      <c r="K25" s="983"/>
      <c r="L25" s="983"/>
      <c r="M25" s="983"/>
      <c r="N25" s="983"/>
      <c r="O25" s="983"/>
      <c r="P25" s="983"/>
      <c r="Q25" s="984"/>
      <c r="R25" s="674">
        <f>SUM(C25:Q25)</f>
        <v>3140.548760070687</v>
      </c>
      <c r="S25" s="67"/>
    </row>
    <row r="26" spans="1:19" s="447" customFormat="1" ht="15.75" thickBot="1">
      <c r="A26" s="679" t="s">
        <v>824</v>
      </c>
      <c r="B26" s="791"/>
      <c r="C26" s="786">
        <f>SUM(C24:C25)</f>
        <v>1846.4466432022359</v>
      </c>
      <c r="D26" s="786">
        <f t="shared" ref="D26:R26" si="2">SUM(D24:D25)</f>
        <v>82791.64285714287</v>
      </c>
      <c r="E26" s="786">
        <f t="shared" si="2"/>
        <v>2470.8768669035899</v>
      </c>
      <c r="F26" s="786">
        <f t="shared" si="2"/>
        <v>34.589004188477098</v>
      </c>
      <c r="G26" s="786">
        <f t="shared" si="2"/>
        <v>4902.3800190765651</v>
      </c>
      <c r="H26" s="786">
        <f t="shared" si="2"/>
        <v>0</v>
      </c>
      <c r="I26" s="786">
        <f t="shared" si="2"/>
        <v>0</v>
      </c>
      <c r="J26" s="786">
        <f t="shared" si="2"/>
        <v>0</v>
      </c>
      <c r="K26" s="786">
        <f t="shared" si="2"/>
        <v>170.4893897530543</v>
      </c>
      <c r="L26" s="786">
        <f t="shared" si="2"/>
        <v>0</v>
      </c>
      <c r="M26" s="786">
        <f t="shared" si="2"/>
        <v>0</v>
      </c>
      <c r="N26" s="786">
        <f t="shared" si="2"/>
        <v>0</v>
      </c>
      <c r="O26" s="786">
        <f t="shared" si="2"/>
        <v>0</v>
      </c>
      <c r="P26" s="786">
        <f t="shared" si="2"/>
        <v>0</v>
      </c>
      <c r="Q26" s="786">
        <f t="shared" si="2"/>
        <v>0</v>
      </c>
      <c r="R26" s="786">
        <f t="shared" si="2"/>
        <v>92216.424780266781</v>
      </c>
      <c r="S26" s="67"/>
    </row>
    <row r="27" spans="1:19" s="447" customFormat="1" ht="17.25" thickTop="1" thickBot="1">
      <c r="A27" s="680" t="s">
        <v>115</v>
      </c>
      <c r="B27" s="779"/>
      <c r="C27" s="681">
        <f ca="1">C22+C16+C26</f>
        <v>85890.091667313929</v>
      </c>
      <c r="D27" s="681">
        <f t="shared" ref="D27:R27" ca="1" si="3">D22+D16+D26</f>
        <v>82791.64285714287</v>
      </c>
      <c r="E27" s="681">
        <f t="shared" ca="1" si="3"/>
        <v>155713.01073241443</v>
      </c>
      <c r="F27" s="681">
        <f t="shared" si="3"/>
        <v>4501.2132501204624</v>
      </c>
      <c r="G27" s="681">
        <f t="shared" ca="1" si="3"/>
        <v>19596.463612543052</v>
      </c>
      <c r="H27" s="681">
        <f t="shared" si="3"/>
        <v>222599.36247443268</v>
      </c>
      <c r="I27" s="681">
        <f t="shared" si="3"/>
        <v>42237.235535889151</v>
      </c>
      <c r="J27" s="681">
        <f t="shared" si="3"/>
        <v>0</v>
      </c>
      <c r="K27" s="681">
        <f t="shared" si="3"/>
        <v>196.86090026869607</v>
      </c>
      <c r="L27" s="681">
        <f t="shared" si="3"/>
        <v>0</v>
      </c>
      <c r="M27" s="681">
        <f t="shared" ca="1" si="3"/>
        <v>0</v>
      </c>
      <c r="N27" s="681">
        <f t="shared" si="3"/>
        <v>14245.648036414972</v>
      </c>
      <c r="O27" s="681">
        <f t="shared" ca="1" si="3"/>
        <v>22583.208551196101</v>
      </c>
      <c r="P27" s="681">
        <f t="shared" si="3"/>
        <v>161.02333333333334</v>
      </c>
      <c r="Q27" s="681">
        <f t="shared" si="3"/>
        <v>781.73333333333346</v>
      </c>
      <c r="R27" s="681">
        <f t="shared" ca="1" si="3"/>
        <v>651297.49428440304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8852.722351835715</v>
      </c>
      <c r="D40" s="979">
        <f ca="1">tertiair!C20</f>
        <v>0</v>
      </c>
      <c r="E40" s="979">
        <f ca="1">tertiair!D20</f>
        <v>5480.7508672813719</v>
      </c>
      <c r="F40" s="979">
        <f>tertiair!E20</f>
        <v>88.743025313494385</v>
      </c>
      <c r="G40" s="979">
        <f ca="1">tertiair!F20</f>
        <v>2121.3134261920432</v>
      </c>
      <c r="H40" s="979">
        <f>tertiair!G20</f>
        <v>0</v>
      </c>
      <c r="I40" s="979">
        <f>tertiair!H20</f>
        <v>0</v>
      </c>
      <c r="J40" s="979">
        <f>tertiair!I20</f>
        <v>0</v>
      </c>
      <c r="K40" s="979">
        <f>tertiair!J20</f>
        <v>0.11980922421494976</v>
      </c>
      <c r="L40" s="979">
        <f>tertiair!K20</f>
        <v>0</v>
      </c>
      <c r="M40" s="979">
        <f ca="1">tertiair!L20</f>
        <v>0</v>
      </c>
      <c r="N40" s="979">
        <f>tertiair!M20</f>
        <v>0</v>
      </c>
      <c r="O40" s="979">
        <f ca="1">tertiair!N20</f>
        <v>0</v>
      </c>
      <c r="P40" s="979">
        <f>tertiair!O20</f>
        <v>0</v>
      </c>
      <c r="Q40" s="748">
        <f>tertiair!P20</f>
        <v>0</v>
      </c>
      <c r="R40" s="824">
        <f t="shared" ca="1" si="4"/>
        <v>16543.649479846841</v>
      </c>
    </row>
    <row r="41" spans="1:18">
      <c r="A41" s="796" t="s">
        <v>224</v>
      </c>
      <c r="B41" s="803"/>
      <c r="C41" s="979">
        <f ca="1">huishoudens!B12</f>
        <v>5788.3781940309709</v>
      </c>
      <c r="D41" s="979">
        <f ca="1">huishoudens!C12</f>
        <v>0</v>
      </c>
      <c r="E41" s="979">
        <f>huishoudens!D12</f>
        <v>14475.726218811204</v>
      </c>
      <c r="F41" s="979">
        <f>huishoudens!E12</f>
        <v>596.38153446783178</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20860.485947310008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3887.4705133408215</v>
      </c>
      <c r="D43" s="979">
        <f ca="1">industrie!C22</f>
        <v>0</v>
      </c>
      <c r="E43" s="979">
        <f>industrie!D22</f>
        <v>10949.279660265796</v>
      </c>
      <c r="F43" s="979">
        <f>industrie!E22</f>
        <v>222.08817174696296</v>
      </c>
      <c r="G43" s="979">
        <f>industrie!F22</f>
        <v>1802.0068932635093</v>
      </c>
      <c r="H43" s="979">
        <f>industrie!G22</f>
        <v>0</v>
      </c>
      <c r="I43" s="979">
        <f>industrie!H22</f>
        <v>0</v>
      </c>
      <c r="J43" s="979">
        <f>industrie!I22</f>
        <v>0</v>
      </c>
      <c r="K43" s="979">
        <f>industrie!J22</f>
        <v>9.2157054983222348</v>
      </c>
      <c r="L43" s="979">
        <f>industrie!K22</f>
        <v>0</v>
      </c>
      <c r="M43" s="979">
        <f>industrie!L22</f>
        <v>0</v>
      </c>
      <c r="N43" s="979">
        <f>industrie!M22</f>
        <v>0</v>
      </c>
      <c r="O43" s="979">
        <f>industrie!N22</f>
        <v>0</v>
      </c>
      <c r="P43" s="979">
        <f>industrie!O22</f>
        <v>0</v>
      </c>
      <c r="Q43" s="748">
        <f>industrie!P22</f>
        <v>0</v>
      </c>
      <c r="R43" s="823">
        <f t="shared" ca="1" si="4"/>
        <v>16870.060944115412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18528.571059207508</v>
      </c>
      <c r="D46" s="706">
        <f t="shared" ref="D46:Q46" ca="1" si="5">SUM(D39:D45)</f>
        <v>0</v>
      </c>
      <c r="E46" s="706">
        <f t="shared" ca="1" si="5"/>
        <v>30905.756746358369</v>
      </c>
      <c r="F46" s="706">
        <f t="shared" si="5"/>
        <v>907.21273152828917</v>
      </c>
      <c r="G46" s="706">
        <f t="shared" ca="1" si="5"/>
        <v>3923.3203194555526</v>
      </c>
      <c r="H46" s="706">
        <f t="shared" si="5"/>
        <v>0</v>
      </c>
      <c r="I46" s="706">
        <f t="shared" si="5"/>
        <v>0</v>
      </c>
      <c r="J46" s="706">
        <f t="shared" si="5"/>
        <v>0</v>
      </c>
      <c r="K46" s="706">
        <f t="shared" si="5"/>
        <v>9.3355147225371837</v>
      </c>
      <c r="L46" s="706">
        <f t="shared" si="5"/>
        <v>0</v>
      </c>
      <c r="M46" s="706">
        <f t="shared" ca="1" si="5"/>
        <v>0</v>
      </c>
      <c r="N46" s="706">
        <f t="shared" si="5"/>
        <v>0</v>
      </c>
      <c r="O46" s="706">
        <f t="shared" ca="1" si="5"/>
        <v>0</v>
      </c>
      <c r="P46" s="706">
        <f t="shared" si="5"/>
        <v>0</v>
      </c>
      <c r="Q46" s="706">
        <f t="shared" si="5"/>
        <v>0</v>
      </c>
      <c r="R46" s="706">
        <f ca="1">SUM(R39:R45)</f>
        <v>54274.196371272265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536.74485999125284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536.74485999125284</v>
      </c>
    </row>
    <row r="50" spans="1:18">
      <c r="A50" s="799" t="s">
        <v>306</v>
      </c>
      <c r="B50" s="809"/>
      <c r="C50" s="677">
        <f ca="1">transport!B18</f>
        <v>21.218949807592384</v>
      </c>
      <c r="D50" s="677">
        <f>transport!C18</f>
        <v>0</v>
      </c>
      <c r="E50" s="677">
        <f>transport!D18</f>
        <v>49.154294474816901</v>
      </c>
      <c r="F50" s="677">
        <f>transport!E18</f>
        <v>106.7109722982716</v>
      </c>
      <c r="G50" s="677">
        <f>transport!F18</f>
        <v>0</v>
      </c>
      <c r="H50" s="677">
        <f>transport!G18</f>
        <v>58897.284920682279</v>
      </c>
      <c r="I50" s="677">
        <f>transport!H18</f>
        <v>10517.071648436398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69591.440785699364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21.218949807592384</v>
      </c>
      <c r="D52" s="706">
        <f t="shared" ref="D52:Q52" ca="1" si="6">SUM(D48:D51)</f>
        <v>0</v>
      </c>
      <c r="E52" s="706">
        <f t="shared" si="6"/>
        <v>49.154294474816901</v>
      </c>
      <c r="F52" s="706">
        <f t="shared" si="6"/>
        <v>106.7109722982716</v>
      </c>
      <c r="G52" s="706">
        <f t="shared" si="6"/>
        <v>0</v>
      </c>
      <c r="H52" s="706">
        <f t="shared" si="6"/>
        <v>59434.029780673533</v>
      </c>
      <c r="I52" s="706">
        <f t="shared" si="6"/>
        <v>10517.071648436398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70128.18564569061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259.73319570802113</v>
      </c>
      <c r="D54" s="677">
        <f ca="1">+landbouw!C12</f>
        <v>19660.371428571434</v>
      </c>
      <c r="E54" s="677">
        <f>+landbouw!D12</f>
        <v>0</v>
      </c>
      <c r="F54" s="677">
        <f>+landbouw!E12</f>
        <v>7.8517039507843016</v>
      </c>
      <c r="G54" s="677">
        <f>+landbouw!F12</f>
        <v>1308.9354650934429</v>
      </c>
      <c r="H54" s="677">
        <f>+landbouw!G12</f>
        <v>0</v>
      </c>
      <c r="I54" s="677">
        <f>+landbouw!H12</f>
        <v>0</v>
      </c>
      <c r="J54" s="677">
        <f>+landbouw!I12</f>
        <v>0</v>
      </c>
      <c r="K54" s="677">
        <f>+landbouw!J12</f>
        <v>60.353243972581218</v>
      </c>
      <c r="L54" s="677">
        <f>+landbouw!K12</f>
        <v>0</v>
      </c>
      <c r="M54" s="677">
        <f>+landbouw!L12</f>
        <v>0</v>
      </c>
      <c r="N54" s="677">
        <f>+landbouw!M12</f>
        <v>0</v>
      </c>
      <c r="O54" s="677">
        <f>+landbouw!N12</f>
        <v>0</v>
      </c>
      <c r="P54" s="677">
        <f>+landbouw!O12</f>
        <v>0</v>
      </c>
      <c r="Q54" s="678">
        <f>+landbouw!P12</f>
        <v>0</v>
      </c>
      <c r="R54" s="705">
        <f ca="1">SUM(C54:Q54)</f>
        <v>21297.245037296267</v>
      </c>
    </row>
    <row r="55" spans="1:18" ht="15" thickBot="1">
      <c r="A55" s="799" t="s">
        <v>823</v>
      </c>
      <c r="B55" s="809"/>
      <c r="C55" s="677">
        <f ca="1">C25*'EF ele_warmte'!B12</f>
        <v>147.80740399378624</v>
      </c>
      <c r="D55" s="677"/>
      <c r="E55" s="677">
        <f>E25*EF_CO2_aardgas</f>
        <v>499.1171271145252</v>
      </c>
      <c r="F55" s="677"/>
      <c r="G55" s="677"/>
      <c r="H55" s="677"/>
      <c r="I55" s="677"/>
      <c r="J55" s="677"/>
      <c r="K55" s="677"/>
      <c r="L55" s="677"/>
      <c r="M55" s="677"/>
      <c r="N55" s="677"/>
      <c r="O55" s="677"/>
      <c r="P55" s="677"/>
      <c r="Q55" s="678"/>
      <c r="R55" s="705">
        <f ca="1">SUM(C55:Q55)</f>
        <v>646.92453110831138</v>
      </c>
    </row>
    <row r="56" spans="1:18" ht="15.75" thickBot="1">
      <c r="A56" s="797" t="s">
        <v>824</v>
      </c>
      <c r="B56" s="810"/>
      <c r="C56" s="706">
        <f ca="1">SUM(C54:C55)</f>
        <v>407.54059970180737</v>
      </c>
      <c r="D56" s="706">
        <f t="shared" ref="D56:Q56" ca="1" si="7">SUM(D54:D55)</f>
        <v>19660.371428571434</v>
      </c>
      <c r="E56" s="706">
        <f t="shared" si="7"/>
        <v>499.1171271145252</v>
      </c>
      <c r="F56" s="706">
        <f t="shared" si="7"/>
        <v>7.8517039507843016</v>
      </c>
      <c r="G56" s="706">
        <f t="shared" si="7"/>
        <v>1308.9354650934429</v>
      </c>
      <c r="H56" s="706">
        <f t="shared" si="7"/>
        <v>0</v>
      </c>
      <c r="I56" s="706">
        <f t="shared" si="7"/>
        <v>0</v>
      </c>
      <c r="J56" s="706">
        <f t="shared" si="7"/>
        <v>0</v>
      </c>
      <c r="K56" s="706">
        <f t="shared" si="7"/>
        <v>60.353243972581218</v>
      </c>
      <c r="L56" s="706">
        <f t="shared" si="7"/>
        <v>0</v>
      </c>
      <c r="M56" s="706">
        <f t="shared" si="7"/>
        <v>0</v>
      </c>
      <c r="N56" s="706">
        <f t="shared" si="7"/>
        <v>0</v>
      </c>
      <c r="O56" s="706">
        <f t="shared" si="7"/>
        <v>0</v>
      </c>
      <c r="P56" s="706">
        <f t="shared" si="7"/>
        <v>0</v>
      </c>
      <c r="Q56" s="707">
        <f t="shared" si="7"/>
        <v>0</v>
      </c>
      <c r="R56" s="708">
        <f ca="1">SUM(R54:R55)</f>
        <v>21944.169568404577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18957.330608716908</v>
      </c>
      <c r="D61" s="714">
        <f t="shared" ref="D61:Q61" ca="1" si="8">D46+D52+D56</f>
        <v>19660.371428571434</v>
      </c>
      <c r="E61" s="714">
        <f t="shared" ca="1" si="8"/>
        <v>31454.028167947712</v>
      </c>
      <c r="F61" s="714">
        <f t="shared" si="8"/>
        <v>1021.7754077773451</v>
      </c>
      <c r="G61" s="714">
        <f t="shared" ca="1" si="8"/>
        <v>5232.2557845489955</v>
      </c>
      <c r="H61" s="714">
        <f t="shared" si="8"/>
        <v>59434.029780673533</v>
      </c>
      <c r="I61" s="714">
        <f t="shared" si="8"/>
        <v>10517.071648436398</v>
      </c>
      <c r="J61" s="714">
        <f t="shared" si="8"/>
        <v>0</v>
      </c>
      <c r="K61" s="714">
        <f t="shared" si="8"/>
        <v>69.688758695118395</v>
      </c>
      <c r="L61" s="714">
        <f t="shared" si="8"/>
        <v>0</v>
      </c>
      <c r="M61" s="714">
        <f t="shared" ca="1" si="8"/>
        <v>0</v>
      </c>
      <c r="N61" s="714">
        <f t="shared" si="8"/>
        <v>0</v>
      </c>
      <c r="O61" s="714">
        <f t="shared" ca="1" si="8"/>
        <v>0</v>
      </c>
      <c r="P61" s="714">
        <f t="shared" si="8"/>
        <v>0</v>
      </c>
      <c r="Q61" s="714">
        <f t="shared" si="8"/>
        <v>0</v>
      </c>
      <c r="R61" s="714">
        <f ca="1">R46+R52+R56</f>
        <v>146346.55158536744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0.22071615294283417</v>
      </c>
      <c r="D63" s="755">
        <f t="shared" ca="1" si="9"/>
        <v>0.23746806742916601</v>
      </c>
      <c r="E63" s="990">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4428.8348405406068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57910.499999999993</v>
      </c>
      <c r="D76" s="1000">
        <f>'lokale energieproductie'!C8</f>
        <v>68130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13762.26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4472.4848405406065</v>
      </c>
      <c r="C78" s="729">
        <f>SUM(C72:C77)</f>
        <v>57910.499999999993</v>
      </c>
      <c r="D78" s="730">
        <f t="shared" ref="D78:H78" si="10">SUM(D76:D77)</f>
        <v>68130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13762.26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82729.285714285725</v>
      </c>
      <c r="D87" s="751">
        <f>'lokale energieproductie'!C17</f>
        <v>97328.571428571449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19660.371428571434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82729.285714285725</v>
      </c>
      <c r="D90" s="729">
        <f t="shared" ref="D90:H90" si="12">SUM(D87:D89)</f>
        <v>97328.571428571449</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19660.371428571434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316" zoomScaleNormal="100"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4428.8348405406068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N37</f>
        <v>57954.15</v>
      </c>
      <c r="C8" s="544">
        <f>B56</f>
        <v>68130</v>
      </c>
      <c r="D8" s="1010"/>
      <c r="E8" s="1010">
        <f>E56</f>
        <v>0</v>
      </c>
      <c r="F8" s="1011"/>
      <c r="G8" s="545"/>
      <c r="H8" s="1010">
        <f>I56</f>
        <v>0</v>
      </c>
      <c r="I8" s="1010">
        <f>G56+F56</f>
        <v>0</v>
      </c>
      <c r="J8" s="1010">
        <f>H56+D56+C56</f>
        <v>51.35294117647058</v>
      </c>
      <c r="K8" s="1010"/>
      <c r="L8" s="1010"/>
      <c r="M8" s="1010"/>
      <c r="N8" s="546"/>
      <c r="O8" s="547">
        <f>C8*$C$12+D8*$D$12+E8*$E$12+F8*$F$12+G8*$G$12+H8*$H$12+I8*$I$12+J8*$J$12</f>
        <v>13762.26</v>
      </c>
      <c r="P8" s="1250"/>
      <c r="Q8" s="1251"/>
      <c r="S8" s="973"/>
      <c r="T8" s="1225"/>
      <c r="U8" s="1225"/>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62382.984840540608</v>
      </c>
      <c r="C10" s="557">
        <f t="shared" ref="C10:L10" si="0">SUM(C8:C9)</f>
        <v>68130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13762.26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O37</f>
        <v>82791.64285714287</v>
      </c>
      <c r="C17" s="569">
        <f>B57</f>
        <v>97328.571428571449</v>
      </c>
      <c r="D17" s="570"/>
      <c r="E17" s="570">
        <f>E57</f>
        <v>0</v>
      </c>
      <c r="F17" s="1016"/>
      <c r="G17" s="571"/>
      <c r="H17" s="569">
        <f>I57</f>
        <v>0</v>
      </c>
      <c r="I17" s="570">
        <f>G57+F57</f>
        <v>0</v>
      </c>
      <c r="J17" s="570">
        <f>H57+D57+C57</f>
        <v>73.361344537815114</v>
      </c>
      <c r="K17" s="570"/>
      <c r="L17" s="570"/>
      <c r="M17" s="570"/>
      <c r="N17" s="1017"/>
      <c r="O17" s="572">
        <f>C17*$C$22+E17*$E$22+H17*$H$22+I17*$I$22+J17*$J$22+D17*$D$22+F17*$F$22+G17*$G$22+K17*$K$22+L17*$L$22</f>
        <v>19660.371428571434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82791.64285714287</v>
      </c>
      <c r="C20" s="556">
        <f>SUM(C17:C19)</f>
        <v>97328.571428571449</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19660.371428571434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11037</v>
      </c>
      <c r="C28" s="770">
        <v>2840</v>
      </c>
      <c r="D28" s="627" t="s">
        <v>887</v>
      </c>
      <c r="E28" s="626" t="s">
        <v>888</v>
      </c>
      <c r="F28" s="626" t="s">
        <v>889</v>
      </c>
      <c r="G28" s="626" t="s">
        <v>890</v>
      </c>
      <c r="H28" s="626" t="s">
        <v>891</v>
      </c>
      <c r="I28" s="626" t="s">
        <v>892</v>
      </c>
      <c r="J28" s="769">
        <v>41040</v>
      </c>
      <c r="K28" s="769">
        <v>39164</v>
      </c>
      <c r="L28" s="626" t="s">
        <v>893</v>
      </c>
      <c r="M28" s="626">
        <v>2358</v>
      </c>
      <c r="N28" s="626">
        <v>10611</v>
      </c>
      <c r="O28" s="626">
        <v>15158.571428571429</v>
      </c>
      <c r="P28" s="626">
        <v>30317.142857142859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11037</v>
      </c>
      <c r="C29" s="770">
        <v>2840</v>
      </c>
      <c r="D29" s="627" t="s">
        <v>894</v>
      </c>
      <c r="E29" s="626" t="s">
        <v>895</v>
      </c>
      <c r="F29" s="626" t="s">
        <v>896</v>
      </c>
      <c r="G29" s="626" t="s">
        <v>890</v>
      </c>
      <c r="H29" s="626" t="s">
        <v>891</v>
      </c>
      <c r="I29" s="626" t="s">
        <v>895</v>
      </c>
      <c r="J29" s="769">
        <v>41523</v>
      </c>
      <c r="K29" s="769">
        <v>39170</v>
      </c>
      <c r="L29" s="626" t="s">
        <v>893</v>
      </c>
      <c r="M29" s="626">
        <v>1944</v>
      </c>
      <c r="N29" s="626">
        <v>8748</v>
      </c>
      <c r="O29" s="626">
        <v>12497.142857142857</v>
      </c>
      <c r="P29" s="626">
        <v>24994.285714285717</v>
      </c>
      <c r="Q29" s="626">
        <v>0</v>
      </c>
      <c r="R29" s="626">
        <v>0</v>
      </c>
      <c r="S29" s="626">
        <v>0</v>
      </c>
      <c r="T29" s="626">
        <v>0</v>
      </c>
      <c r="U29" s="626">
        <v>0</v>
      </c>
      <c r="V29" s="626">
        <v>0</v>
      </c>
      <c r="W29" s="626">
        <v>0</v>
      </c>
      <c r="X29" s="626">
        <v>10</v>
      </c>
      <c r="Y29" s="626" t="s">
        <v>111</v>
      </c>
      <c r="Z29" s="628" t="s">
        <v>111</v>
      </c>
    </row>
    <row r="30" spans="1:26" s="580" customFormat="1" ht="25.5">
      <c r="A30" s="579"/>
      <c r="B30" s="770">
        <v>11037</v>
      </c>
      <c r="C30" s="770">
        <v>2840</v>
      </c>
      <c r="D30" s="627" t="s">
        <v>897</v>
      </c>
      <c r="E30" s="626" t="s">
        <v>898</v>
      </c>
      <c r="F30" s="626" t="s">
        <v>899</v>
      </c>
      <c r="G30" s="626" t="s">
        <v>890</v>
      </c>
      <c r="H30" s="626" t="s">
        <v>891</v>
      </c>
      <c r="I30" s="626" t="s">
        <v>898</v>
      </c>
      <c r="J30" s="769">
        <v>41043</v>
      </c>
      <c r="K30" s="769">
        <v>39195</v>
      </c>
      <c r="L30" s="626" t="s">
        <v>893</v>
      </c>
      <c r="M30" s="626">
        <v>2358</v>
      </c>
      <c r="N30" s="626">
        <v>10611</v>
      </c>
      <c r="O30" s="626">
        <v>15158.571428571429</v>
      </c>
      <c r="P30" s="626">
        <v>30317.142857142859</v>
      </c>
      <c r="Q30" s="626">
        <v>0</v>
      </c>
      <c r="R30" s="626">
        <v>0</v>
      </c>
      <c r="S30" s="626">
        <v>0</v>
      </c>
      <c r="T30" s="626">
        <v>0</v>
      </c>
      <c r="U30" s="626">
        <v>0</v>
      </c>
      <c r="V30" s="626">
        <v>0</v>
      </c>
      <c r="W30" s="626">
        <v>0</v>
      </c>
      <c r="X30" s="626">
        <v>10</v>
      </c>
      <c r="Y30" s="626" t="s">
        <v>111</v>
      </c>
      <c r="Z30" s="628" t="s">
        <v>111</v>
      </c>
    </row>
    <row r="31" spans="1:26" s="580" customFormat="1" ht="25.5">
      <c r="A31" s="579"/>
      <c r="B31" s="770">
        <v>11037</v>
      </c>
      <c r="C31" s="770">
        <v>2840</v>
      </c>
      <c r="D31" s="627" t="s">
        <v>900</v>
      </c>
      <c r="E31" s="626" t="s">
        <v>901</v>
      </c>
      <c r="F31" s="626" t="s">
        <v>902</v>
      </c>
      <c r="G31" s="626" t="s">
        <v>890</v>
      </c>
      <c r="H31" s="626" t="s">
        <v>891</v>
      </c>
      <c r="I31" s="626" t="s">
        <v>901</v>
      </c>
      <c r="J31" s="769">
        <v>39838</v>
      </c>
      <c r="K31" s="769">
        <v>39198</v>
      </c>
      <c r="L31" s="626" t="s">
        <v>893</v>
      </c>
      <c r="M31" s="626">
        <v>2333</v>
      </c>
      <c r="N31" s="626">
        <v>10498.5</v>
      </c>
      <c r="O31" s="626">
        <v>14997.857142857143</v>
      </c>
      <c r="P31" s="626">
        <v>29995.714285714286</v>
      </c>
      <c r="Q31" s="626">
        <v>0</v>
      </c>
      <c r="R31" s="626">
        <v>0</v>
      </c>
      <c r="S31" s="626">
        <v>0</v>
      </c>
      <c r="T31" s="626">
        <v>0</v>
      </c>
      <c r="U31" s="626">
        <v>0</v>
      </c>
      <c r="V31" s="626">
        <v>0</v>
      </c>
      <c r="W31" s="626">
        <v>0</v>
      </c>
      <c r="X31" s="626">
        <v>10</v>
      </c>
      <c r="Y31" s="626" t="s">
        <v>111</v>
      </c>
      <c r="Z31" s="628" t="s">
        <v>111</v>
      </c>
    </row>
    <row r="32" spans="1:26" s="580" customFormat="1" ht="25.5">
      <c r="A32" s="579"/>
      <c r="B32" s="770">
        <v>11037</v>
      </c>
      <c r="C32" s="770">
        <v>2840</v>
      </c>
      <c r="D32" s="627" t="s">
        <v>903</v>
      </c>
      <c r="E32" s="626" t="s">
        <v>904</v>
      </c>
      <c r="F32" s="626" t="s">
        <v>905</v>
      </c>
      <c r="G32" s="626" t="s">
        <v>890</v>
      </c>
      <c r="H32" s="626" t="s">
        <v>891</v>
      </c>
      <c r="I32" s="626" t="s">
        <v>904</v>
      </c>
      <c r="J32" s="769">
        <v>39203</v>
      </c>
      <c r="K32" s="769">
        <v>39303</v>
      </c>
      <c r="L32" s="626" t="s">
        <v>893</v>
      </c>
      <c r="M32" s="626">
        <v>1532</v>
      </c>
      <c r="N32" s="626">
        <v>6894</v>
      </c>
      <c r="O32" s="626">
        <v>9848.5714285714294</v>
      </c>
      <c r="P32" s="626">
        <v>19697.142857142859</v>
      </c>
      <c r="Q32" s="626">
        <v>0</v>
      </c>
      <c r="R32" s="626">
        <v>0</v>
      </c>
      <c r="S32" s="626">
        <v>0</v>
      </c>
      <c r="T32" s="626">
        <v>0</v>
      </c>
      <c r="U32" s="626">
        <v>0</v>
      </c>
      <c r="V32" s="626">
        <v>0</v>
      </c>
      <c r="W32" s="626">
        <v>0</v>
      </c>
      <c r="X32" s="626">
        <v>10</v>
      </c>
      <c r="Y32" s="626" t="s">
        <v>111</v>
      </c>
      <c r="Z32" s="628" t="s">
        <v>111</v>
      </c>
    </row>
    <row r="33" spans="1:26" s="580" customFormat="1" ht="25.5">
      <c r="A33" s="579"/>
      <c r="B33" s="770">
        <v>11037</v>
      </c>
      <c r="C33" s="770">
        <v>2840</v>
      </c>
      <c r="D33" s="627" t="s">
        <v>906</v>
      </c>
      <c r="E33" s="626" t="s">
        <v>907</v>
      </c>
      <c r="F33" s="626" t="s">
        <v>908</v>
      </c>
      <c r="G33" s="626" t="s">
        <v>890</v>
      </c>
      <c r="H33" s="626" t="s">
        <v>891</v>
      </c>
      <c r="I33" s="626" t="s">
        <v>907</v>
      </c>
      <c r="J33" s="769">
        <v>39203</v>
      </c>
      <c r="K33" s="769">
        <v>39303</v>
      </c>
      <c r="L33" s="626" t="s">
        <v>893</v>
      </c>
      <c r="M33" s="626">
        <v>1532</v>
      </c>
      <c r="N33" s="626">
        <v>6894</v>
      </c>
      <c r="O33" s="626">
        <v>9848.5714285714294</v>
      </c>
      <c r="P33" s="626">
        <v>19697.142857142859</v>
      </c>
      <c r="Q33" s="626">
        <v>0</v>
      </c>
      <c r="R33" s="626">
        <v>0</v>
      </c>
      <c r="S33" s="626">
        <v>0</v>
      </c>
      <c r="T33" s="626">
        <v>0</v>
      </c>
      <c r="U33" s="626">
        <v>0</v>
      </c>
      <c r="V33" s="626">
        <v>0</v>
      </c>
      <c r="W33" s="626">
        <v>0</v>
      </c>
      <c r="X33" s="626">
        <v>11</v>
      </c>
      <c r="Y33" s="626" t="s">
        <v>111</v>
      </c>
      <c r="Z33" s="628" t="s">
        <v>111</v>
      </c>
    </row>
    <row r="34" spans="1:26" s="580" customFormat="1" ht="25.5">
      <c r="A34" s="579"/>
      <c r="B34" s="770">
        <v>11037</v>
      </c>
      <c r="C34" s="770">
        <v>2840</v>
      </c>
      <c r="D34" s="627" t="s">
        <v>909</v>
      </c>
      <c r="E34" s="626" t="s">
        <v>910</v>
      </c>
      <c r="F34" s="626" t="s">
        <v>911</v>
      </c>
      <c r="G34" s="626" t="s">
        <v>890</v>
      </c>
      <c r="H34" s="626" t="s">
        <v>891</v>
      </c>
      <c r="I34" s="626" t="s">
        <v>910</v>
      </c>
      <c r="J34" s="769">
        <v>41037</v>
      </c>
      <c r="K34" s="769">
        <v>41037</v>
      </c>
      <c r="L34" s="626" t="s">
        <v>893</v>
      </c>
      <c r="M34" s="626">
        <v>800</v>
      </c>
      <c r="N34" s="626">
        <v>3600</v>
      </c>
      <c r="O34" s="626">
        <v>5142.8571428571431</v>
      </c>
      <c r="P34" s="626">
        <v>10285.714285714286</v>
      </c>
      <c r="Q34" s="626">
        <v>0</v>
      </c>
      <c r="R34" s="626">
        <v>0</v>
      </c>
      <c r="S34" s="626">
        <v>0</v>
      </c>
      <c r="T34" s="626">
        <v>0</v>
      </c>
      <c r="U34" s="626">
        <v>0</v>
      </c>
      <c r="V34" s="626">
        <v>0</v>
      </c>
      <c r="W34" s="626">
        <v>0</v>
      </c>
      <c r="X34" s="626">
        <v>10</v>
      </c>
      <c r="Y34" s="626" t="s">
        <v>111</v>
      </c>
      <c r="Z34" s="628" t="s">
        <v>111</v>
      </c>
    </row>
    <row r="35" spans="1:26" s="580" customFormat="1" ht="25.5">
      <c r="A35" s="579"/>
      <c r="B35" s="770">
        <v>11037</v>
      </c>
      <c r="C35" s="770">
        <v>2840</v>
      </c>
      <c r="D35" s="627" t="s">
        <v>912</v>
      </c>
      <c r="E35" s="626" t="s">
        <v>913</v>
      </c>
      <c r="F35" s="626" t="s">
        <v>914</v>
      </c>
      <c r="G35" s="626" t="s">
        <v>890</v>
      </c>
      <c r="H35" s="626" t="s">
        <v>891</v>
      </c>
      <c r="I35" s="626" t="s">
        <v>913</v>
      </c>
      <c r="J35" s="769">
        <v>41431</v>
      </c>
      <c r="K35" s="769">
        <v>41431</v>
      </c>
      <c r="L35" s="626" t="s">
        <v>893</v>
      </c>
      <c r="M35" s="626">
        <v>12</v>
      </c>
      <c r="N35" s="626">
        <v>54</v>
      </c>
      <c r="O35" s="626">
        <v>77.142857142857139</v>
      </c>
      <c r="P35" s="626">
        <v>154.28571428571431</v>
      </c>
      <c r="Q35" s="626">
        <v>0</v>
      </c>
      <c r="R35" s="626">
        <v>0</v>
      </c>
      <c r="S35" s="626">
        <v>0</v>
      </c>
      <c r="T35" s="626">
        <v>0</v>
      </c>
      <c r="U35" s="626">
        <v>0</v>
      </c>
      <c r="V35" s="626">
        <v>0</v>
      </c>
      <c r="W35" s="626">
        <v>0</v>
      </c>
      <c r="X35" s="626">
        <v>10</v>
      </c>
      <c r="Y35" s="626" t="s">
        <v>111</v>
      </c>
      <c r="Z35" s="628" t="s">
        <v>111</v>
      </c>
    </row>
    <row r="36" spans="1:26" s="580" customFormat="1" ht="25.5">
      <c r="A36" s="579"/>
      <c r="B36" s="770">
        <v>11037</v>
      </c>
      <c r="C36" s="770">
        <v>2840</v>
      </c>
      <c r="D36" s="627"/>
      <c r="E36" s="626"/>
      <c r="F36" s="626" t="s">
        <v>915</v>
      </c>
      <c r="G36" s="626" t="s">
        <v>890</v>
      </c>
      <c r="H36" s="626" t="s">
        <v>891</v>
      </c>
      <c r="I36" s="626" t="s">
        <v>916</v>
      </c>
      <c r="J36" s="769">
        <v>42146</v>
      </c>
      <c r="K36" s="769">
        <v>42146</v>
      </c>
      <c r="L36" s="626" t="s">
        <v>893</v>
      </c>
      <c r="M36" s="626">
        <v>9.6999999999999993</v>
      </c>
      <c r="N36" s="626">
        <v>43.649999999999991</v>
      </c>
      <c r="O36" s="626">
        <v>62.357142857142847</v>
      </c>
      <c r="P36" s="626">
        <v>0</v>
      </c>
      <c r="Q36" s="626">
        <v>124.71428571428569</v>
      </c>
      <c r="R36" s="626">
        <v>0</v>
      </c>
      <c r="S36" s="626">
        <v>0</v>
      </c>
      <c r="T36" s="626">
        <v>0</v>
      </c>
      <c r="U36" s="626">
        <v>0</v>
      </c>
      <c r="V36" s="626">
        <v>0</v>
      </c>
      <c r="W36" s="626">
        <v>0</v>
      </c>
      <c r="X36" s="626">
        <v>10</v>
      </c>
      <c r="Y36" s="626" t="s">
        <v>111</v>
      </c>
      <c r="Z36" s="628" t="s">
        <v>111</v>
      </c>
    </row>
    <row r="37" spans="1:26" s="564" customFormat="1">
      <c r="A37" s="582" t="s">
        <v>279</v>
      </c>
      <c r="B37" s="583"/>
      <c r="C37" s="583"/>
      <c r="D37" s="583"/>
      <c r="E37" s="583"/>
      <c r="F37" s="583"/>
      <c r="G37" s="583"/>
      <c r="H37" s="583"/>
      <c r="I37" s="583"/>
      <c r="J37" s="583"/>
      <c r="K37" s="583"/>
      <c r="L37" s="584"/>
      <c r="M37" s="584">
        <f>SUM(M28:M36)</f>
        <v>12878.7</v>
      </c>
      <c r="N37" s="584">
        <f>SUM(N28:N36)</f>
        <v>57954.15</v>
      </c>
      <c r="O37" s="584">
        <f>SUM(O28:O36)</f>
        <v>82791.64285714287</v>
      </c>
      <c r="P37" s="584">
        <f>SUM(P28:P36)</f>
        <v>165458.57142857145</v>
      </c>
      <c r="Q37" s="584">
        <f>SUM(Q28:Q36)</f>
        <v>124.71428571428569</v>
      </c>
      <c r="R37" s="584">
        <f>SUM(R28:R36)</f>
        <v>0</v>
      </c>
      <c r="S37" s="584">
        <f>SUM(S28:S36)</f>
        <v>0</v>
      </c>
      <c r="T37" s="584">
        <f>SUM(T28:T36)</f>
        <v>0</v>
      </c>
      <c r="U37" s="584">
        <f>SUM(U28:U36)</f>
        <v>0</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0</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12878.7</v>
      </c>
      <c r="N40" s="589">
        <f>SUMIF($Z$28:$Z$36,"landbouw",N28:N36)</f>
        <v>57954.15</v>
      </c>
      <c r="O40" s="589">
        <f>SUMIF($Z$28:$Z$36,"landbouw",O28:O36)</f>
        <v>82791.64285714287</v>
      </c>
      <c r="P40" s="589">
        <f>SUMIF($Z$28:$Z$36,"landbouw",P28:P36)</f>
        <v>165458.57142857145</v>
      </c>
      <c r="Q40" s="589">
        <f>SUMIF($Z$28:$Z$36,"landbouw",Q28:Q36)</f>
        <v>124.71428571428569</v>
      </c>
      <c r="R40" s="589">
        <f>SUMIF($Z$28:$Z$36,"landbouw",R28:R36)</f>
        <v>0</v>
      </c>
      <c r="S40" s="589">
        <f>SUMIF($Z$28:$Z$36,"landbouw",S28:S36)</f>
        <v>0</v>
      </c>
      <c r="T40" s="589">
        <f>SUMIF($Z$28:$Z$36,"landbouw",T28:T36)</f>
        <v>0</v>
      </c>
      <c r="U40" s="589">
        <f>SUMIF($Z$28:$Z$36,"landbouw",U28:U36)</f>
        <v>0</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533</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0.58823529411764708</v>
      </c>
      <c r="C53" s="609">
        <f>IF(ISERROR(N37/(O37+N37)),0,N37/(N37+O37))</f>
        <v>0.41176470588235292</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533</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68130</v>
      </c>
      <c r="C56" s="618">
        <f t="shared" si="2"/>
        <v>51.35294117647058</v>
      </c>
      <c r="D56" s="618">
        <f t="shared" si="2"/>
        <v>0</v>
      </c>
      <c r="E56" s="618">
        <f t="shared" si="2"/>
        <v>0</v>
      </c>
      <c r="F56" s="618">
        <f t="shared" si="2"/>
        <v>0</v>
      </c>
      <c r="G56" s="618">
        <f t="shared" si="2"/>
        <v>0</v>
      </c>
      <c r="H56" s="618">
        <f t="shared" si="2"/>
        <v>0</v>
      </c>
      <c r="I56" s="619">
        <f t="shared" si="2"/>
        <v>0</v>
      </c>
      <c r="J56" s="576"/>
      <c r="K56" s="576"/>
      <c r="L56" s="614"/>
      <c r="M56" s="614"/>
      <c r="N56" s="614"/>
      <c r="O56" s="601"/>
      <c r="P56" s="601"/>
    </row>
    <row r="57" spans="1:27" ht="15.75" thickBot="1">
      <c r="A57" s="620" t="s">
        <v>285</v>
      </c>
      <c r="B57" s="621">
        <f t="shared" ref="B57:I57" si="3">$B$53*P37</f>
        <v>97328.571428571449</v>
      </c>
      <c r="C57" s="621">
        <f t="shared" si="3"/>
        <v>73.361344537815114</v>
      </c>
      <c r="D57" s="621">
        <f t="shared" si="3"/>
        <v>0</v>
      </c>
      <c r="E57" s="621">
        <f t="shared" si="3"/>
        <v>0</v>
      </c>
      <c r="F57" s="621">
        <f t="shared" si="3"/>
        <v>0</v>
      </c>
      <c r="G57" s="621">
        <f t="shared" si="3"/>
        <v>0</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26225.439855007673</v>
      </c>
      <c r="C4" s="451">
        <f>huishoudens!C8</f>
        <v>0</v>
      </c>
      <c r="D4" s="451">
        <f>huishoudens!D8</f>
        <v>71662.010984213877</v>
      </c>
      <c r="E4" s="451">
        <f>huishoudens!E8</f>
        <v>2627.2314293737081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5733.3291258765457</v>
      </c>
      <c r="O4" s="451">
        <f>huishoudens!O8</f>
        <v>161.02333333333334</v>
      </c>
      <c r="P4" s="452">
        <f>huishoudens!P8</f>
        <v>762.66666666666674</v>
      </c>
      <c r="Q4" s="453">
        <f>SUM(B4:P4)</f>
        <v>107171.70139447181</v>
      </c>
    </row>
    <row r="5" spans="1:17">
      <c r="A5" s="450" t="s">
        <v>155</v>
      </c>
      <c r="B5" s="451">
        <f ca="1">tertiair!B16</f>
        <v>39025.23533856625</v>
      </c>
      <c r="C5" s="451">
        <f ca="1">tertiair!C16</f>
        <v>0</v>
      </c>
      <c r="D5" s="451">
        <f ca="1">tertiair!D16</f>
        <v>27132.430036046393</v>
      </c>
      <c r="E5" s="451">
        <f>tertiair!E16</f>
        <v>390.93843750438054</v>
      </c>
      <c r="F5" s="451">
        <f ca="1">tertiair!F16</f>
        <v>7944.9941055881754</v>
      </c>
      <c r="G5" s="451">
        <f>tertiair!G16</f>
        <v>0</v>
      </c>
      <c r="H5" s="451">
        <f>tertiair!H16</f>
        <v>0</v>
      </c>
      <c r="I5" s="451">
        <f>tertiair!I16</f>
        <v>0</v>
      </c>
      <c r="J5" s="451">
        <f>tertiair!J16</f>
        <v>0.33844413620042307</v>
      </c>
      <c r="K5" s="451">
        <f>tertiair!K16</f>
        <v>0</v>
      </c>
      <c r="L5" s="451">
        <f ca="1">tertiair!L16</f>
        <v>0</v>
      </c>
      <c r="M5" s="451">
        <f>tertiair!M16</f>
        <v>0</v>
      </c>
      <c r="N5" s="451">
        <f ca="1">tertiair!N16</f>
        <v>13336.823480677105</v>
      </c>
      <c r="O5" s="451">
        <f>tertiair!O16</f>
        <v>0</v>
      </c>
      <c r="P5" s="452">
        <f>tertiair!P16</f>
        <v>19.066666666666666</v>
      </c>
      <c r="Q5" s="450">
        <f t="shared" ref="Q5:Q14" ca="1" si="0">SUM(B5:P5)</f>
        <v>87849.826509185164</v>
      </c>
    </row>
    <row r="6" spans="1:17">
      <c r="A6" s="450" t="s">
        <v>193</v>
      </c>
      <c r="B6" s="451">
        <f>'openbare verlichting'!B8</f>
        <v>1083.847</v>
      </c>
      <c r="C6" s="451"/>
      <c r="D6" s="451"/>
      <c r="E6" s="451"/>
      <c r="F6" s="451"/>
      <c r="G6" s="451"/>
      <c r="H6" s="451"/>
      <c r="I6" s="451"/>
      <c r="J6" s="451"/>
      <c r="K6" s="451"/>
      <c r="L6" s="451"/>
      <c r="M6" s="451"/>
      <c r="N6" s="451"/>
      <c r="O6" s="451"/>
      <c r="P6" s="452"/>
      <c r="Q6" s="450">
        <f t="shared" si="0"/>
        <v>1083.847</v>
      </c>
    </row>
    <row r="7" spans="1:17">
      <c r="A7" s="450" t="s">
        <v>111</v>
      </c>
      <c r="B7" s="451">
        <f>landbouw!B8</f>
        <v>1176.774750035139</v>
      </c>
      <c r="C7" s="451">
        <f>landbouw!C8</f>
        <v>82791.64285714287</v>
      </c>
      <c r="D7" s="451">
        <f>landbouw!D8</f>
        <v>0</v>
      </c>
      <c r="E7" s="451">
        <f>landbouw!E8</f>
        <v>34.589004188477098</v>
      </c>
      <c r="F7" s="451">
        <f>landbouw!F8</f>
        <v>4902.3800190765651</v>
      </c>
      <c r="G7" s="451">
        <f>landbouw!G8</f>
        <v>0</v>
      </c>
      <c r="H7" s="451">
        <f>landbouw!H8</f>
        <v>0</v>
      </c>
      <c r="I7" s="451">
        <f>landbouw!I8</f>
        <v>0</v>
      </c>
      <c r="J7" s="451">
        <f>landbouw!J8</f>
        <v>170.4893897530543</v>
      </c>
      <c r="K7" s="451">
        <f>landbouw!K8</f>
        <v>0</v>
      </c>
      <c r="L7" s="451">
        <f>landbouw!L8</f>
        <v>0</v>
      </c>
      <c r="M7" s="451">
        <f>landbouw!M8</f>
        <v>0</v>
      </c>
      <c r="N7" s="451">
        <f>landbouw!N8</f>
        <v>0</v>
      </c>
      <c r="O7" s="451">
        <f>landbouw!O8</f>
        <v>0</v>
      </c>
      <c r="P7" s="452">
        <f>landbouw!P8</f>
        <v>0</v>
      </c>
      <c r="Q7" s="450">
        <f t="shared" si="0"/>
        <v>89075.876020196098</v>
      </c>
    </row>
    <row r="8" spans="1:17">
      <c r="A8" s="450" t="s">
        <v>634</v>
      </c>
      <c r="B8" s="451">
        <f>industrie!B18</f>
        <v>17612.986007180378</v>
      </c>
      <c r="C8" s="451">
        <f>industrie!C18</f>
        <v>0</v>
      </c>
      <c r="D8" s="451">
        <f>industrie!D18</f>
        <v>54204.354753791071</v>
      </c>
      <c r="E8" s="451">
        <f>industrie!E18</f>
        <v>978.36199007472669</v>
      </c>
      <c r="F8" s="451">
        <f>industrie!F18</f>
        <v>6749.089487878311</v>
      </c>
      <c r="G8" s="451">
        <f>industrie!G18</f>
        <v>0</v>
      </c>
      <c r="H8" s="451">
        <f>industrie!H18</f>
        <v>0</v>
      </c>
      <c r="I8" s="451">
        <f>industrie!I18</f>
        <v>0</v>
      </c>
      <c r="J8" s="451">
        <f>industrie!J18</f>
        <v>26.03306637944134</v>
      </c>
      <c r="K8" s="451">
        <f>industrie!K18</f>
        <v>0</v>
      </c>
      <c r="L8" s="451">
        <f>industrie!L18</f>
        <v>0</v>
      </c>
      <c r="M8" s="451">
        <f>industrie!M18</f>
        <v>0</v>
      </c>
      <c r="N8" s="451">
        <f>industrie!N18</f>
        <v>3513.0559446424486</v>
      </c>
      <c r="O8" s="451">
        <f>industrie!O18</f>
        <v>0</v>
      </c>
      <c r="P8" s="452">
        <f>industrie!P18</f>
        <v>0</v>
      </c>
      <c r="Q8" s="450">
        <f t="shared" si="0"/>
        <v>83083.881249946382</v>
      </c>
    </row>
    <row r="9" spans="1:17" s="456" customFormat="1">
      <c r="A9" s="454" t="s">
        <v>560</v>
      </c>
      <c r="B9" s="455">
        <f>transport!B14</f>
        <v>96.136823357410236</v>
      </c>
      <c r="C9" s="455">
        <f>transport!C14</f>
        <v>0</v>
      </c>
      <c r="D9" s="455">
        <f>transport!D14</f>
        <v>243.33809145948959</v>
      </c>
      <c r="E9" s="455">
        <f>transport!E14</f>
        <v>470.09238897917004</v>
      </c>
      <c r="F9" s="455">
        <f>transport!F14</f>
        <v>0</v>
      </c>
      <c r="G9" s="455">
        <f>transport!G14</f>
        <v>220589.08209993361</v>
      </c>
      <c r="H9" s="455">
        <f>transport!H14</f>
        <v>42237.235535889151</v>
      </c>
      <c r="I9" s="455">
        <f>transport!I14</f>
        <v>0</v>
      </c>
      <c r="J9" s="455">
        <f>transport!J14</f>
        <v>0</v>
      </c>
      <c r="K9" s="455">
        <f>transport!K14</f>
        <v>0</v>
      </c>
      <c r="L9" s="455">
        <f>transport!L14</f>
        <v>0</v>
      </c>
      <c r="M9" s="455">
        <f>transport!M14</f>
        <v>14131.481610365448</v>
      </c>
      <c r="N9" s="455">
        <f>transport!N14</f>
        <v>0</v>
      </c>
      <c r="O9" s="455">
        <f>transport!O14</f>
        <v>0</v>
      </c>
      <c r="P9" s="455">
        <f>transport!P14</f>
        <v>0</v>
      </c>
      <c r="Q9" s="454">
        <f>SUM(B9:P9)</f>
        <v>277767.36654998426</v>
      </c>
    </row>
    <row r="10" spans="1:17">
      <c r="A10" s="450" t="s">
        <v>550</v>
      </c>
      <c r="B10" s="451">
        <f>transport!B54</f>
        <v>0</v>
      </c>
      <c r="C10" s="451">
        <f>transport!C54</f>
        <v>0</v>
      </c>
      <c r="D10" s="451">
        <f>transport!D54</f>
        <v>0</v>
      </c>
      <c r="E10" s="451">
        <f>transport!E54</f>
        <v>0</v>
      </c>
      <c r="F10" s="451">
        <f>transport!F54</f>
        <v>0</v>
      </c>
      <c r="G10" s="451">
        <f>transport!G54</f>
        <v>2010.280374499074</v>
      </c>
      <c r="H10" s="451">
        <f>transport!H54</f>
        <v>0</v>
      </c>
      <c r="I10" s="451">
        <f>transport!I54</f>
        <v>0</v>
      </c>
      <c r="J10" s="451">
        <f>transport!J54</f>
        <v>0</v>
      </c>
      <c r="K10" s="451">
        <f>transport!K54</f>
        <v>0</v>
      </c>
      <c r="L10" s="451">
        <f>transport!L54</f>
        <v>0</v>
      </c>
      <c r="M10" s="451">
        <f>transport!M54</f>
        <v>114.1664260495243</v>
      </c>
      <c r="N10" s="451">
        <f>transport!N54</f>
        <v>0</v>
      </c>
      <c r="O10" s="451">
        <f>transport!O54</f>
        <v>0</v>
      </c>
      <c r="P10" s="452">
        <f>transport!P54</f>
        <v>0</v>
      </c>
      <c r="Q10" s="450">
        <f t="shared" si="0"/>
        <v>2124.4468005485983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669.67189316709698</v>
      </c>
      <c r="C14" s="458"/>
      <c r="D14" s="458">
        <f>'SEAP template'!E25</f>
        <v>2470.8768669035899</v>
      </c>
      <c r="E14" s="458"/>
      <c r="F14" s="458"/>
      <c r="G14" s="458"/>
      <c r="H14" s="458"/>
      <c r="I14" s="458"/>
      <c r="J14" s="458"/>
      <c r="K14" s="458"/>
      <c r="L14" s="458"/>
      <c r="M14" s="458"/>
      <c r="N14" s="458"/>
      <c r="O14" s="458"/>
      <c r="P14" s="459"/>
      <c r="Q14" s="450">
        <f t="shared" si="0"/>
        <v>3140.548760070687</v>
      </c>
    </row>
    <row r="15" spans="1:17" s="460" customFormat="1">
      <c r="A15" s="1005" t="s">
        <v>554</v>
      </c>
      <c r="B15" s="953">
        <f ca="1">SUM(B4:B14)</f>
        <v>85890.091667313929</v>
      </c>
      <c r="C15" s="953">
        <f t="shared" ref="C15:Q15" ca="1" si="1">SUM(C4:C14)</f>
        <v>82791.64285714287</v>
      </c>
      <c r="D15" s="953">
        <f t="shared" ca="1" si="1"/>
        <v>155713.01073241443</v>
      </c>
      <c r="E15" s="953">
        <f t="shared" si="1"/>
        <v>4501.2132501204624</v>
      </c>
      <c r="F15" s="953">
        <f t="shared" ca="1" si="1"/>
        <v>19596.463612543052</v>
      </c>
      <c r="G15" s="953">
        <f t="shared" si="1"/>
        <v>222599.36247443268</v>
      </c>
      <c r="H15" s="953">
        <f t="shared" si="1"/>
        <v>42237.235535889151</v>
      </c>
      <c r="I15" s="953">
        <f t="shared" si="1"/>
        <v>0</v>
      </c>
      <c r="J15" s="953">
        <f t="shared" si="1"/>
        <v>196.86090026869607</v>
      </c>
      <c r="K15" s="953">
        <f t="shared" si="1"/>
        <v>0</v>
      </c>
      <c r="L15" s="953">
        <f t="shared" ca="1" si="1"/>
        <v>0</v>
      </c>
      <c r="M15" s="953">
        <f t="shared" si="1"/>
        <v>14245.648036414972</v>
      </c>
      <c r="N15" s="953">
        <f t="shared" ca="1" si="1"/>
        <v>22583.208551196101</v>
      </c>
      <c r="O15" s="953">
        <f t="shared" si="1"/>
        <v>161.02333333333334</v>
      </c>
      <c r="P15" s="953">
        <f t="shared" si="1"/>
        <v>781.73333333333346</v>
      </c>
      <c r="Q15" s="953">
        <f t="shared" ca="1" si="1"/>
        <v>651297.49428440304</v>
      </c>
    </row>
    <row r="17" spans="1:17">
      <c r="A17" s="461" t="s">
        <v>555</v>
      </c>
      <c r="B17" s="760">
        <f ca="1">huishoudens!B10</f>
        <v>0.22071615294283412</v>
      </c>
      <c r="C17" s="760">
        <f ca="1">huishoudens!C10</f>
        <v>0.23746806742916601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5788.3781940309709</v>
      </c>
      <c r="C22" s="451">
        <f t="shared" ref="C22:C32" ca="1" si="3">C4*$C$17</f>
        <v>0</v>
      </c>
      <c r="D22" s="451">
        <f t="shared" ref="D22:D32" si="4">D4*$D$17</f>
        <v>14475.726218811204</v>
      </c>
      <c r="E22" s="451">
        <f t="shared" ref="E22:E32" si="5">E4*$E$17</f>
        <v>596.38153446783178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20860.485947310008</v>
      </c>
    </row>
    <row r="23" spans="1:17">
      <c r="A23" s="450" t="s">
        <v>155</v>
      </c>
      <c r="B23" s="451">
        <f t="shared" ca="1" si="2"/>
        <v>8613.4998116170827</v>
      </c>
      <c r="C23" s="451">
        <f t="shared" ca="1" si="3"/>
        <v>0</v>
      </c>
      <c r="D23" s="451">
        <f t="shared" ca="1" si="4"/>
        <v>5480.7508672813719</v>
      </c>
      <c r="E23" s="451">
        <f t="shared" si="5"/>
        <v>88.743025313494385</v>
      </c>
      <c r="F23" s="451">
        <f t="shared" ca="1" si="6"/>
        <v>2121.3134261920432</v>
      </c>
      <c r="G23" s="451">
        <f t="shared" si="7"/>
        <v>0</v>
      </c>
      <c r="H23" s="451">
        <f t="shared" si="8"/>
        <v>0</v>
      </c>
      <c r="I23" s="451">
        <f t="shared" si="9"/>
        <v>0</v>
      </c>
      <c r="J23" s="451">
        <f t="shared" si="10"/>
        <v>0.11980922421494976</v>
      </c>
      <c r="K23" s="451">
        <f t="shared" si="11"/>
        <v>0</v>
      </c>
      <c r="L23" s="451">
        <f t="shared" ca="1" si="12"/>
        <v>0</v>
      </c>
      <c r="M23" s="451">
        <f t="shared" si="13"/>
        <v>0</v>
      </c>
      <c r="N23" s="451">
        <f t="shared" ca="1" si="14"/>
        <v>0</v>
      </c>
      <c r="O23" s="451">
        <f t="shared" si="15"/>
        <v>0</v>
      </c>
      <c r="P23" s="452">
        <f t="shared" si="16"/>
        <v>0</v>
      </c>
      <c r="Q23" s="450">
        <f t="shared" ref="Q23:Q32" ca="1" si="17">SUM(B23:P23)</f>
        <v>16304.426939628207</v>
      </c>
    </row>
    <row r="24" spans="1:17">
      <c r="A24" s="450" t="s">
        <v>193</v>
      </c>
      <c r="B24" s="451">
        <f t="shared" ca="1" si="2"/>
        <v>239.22254021863193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239.22254021863193</v>
      </c>
    </row>
    <row r="25" spans="1:17">
      <c r="A25" s="450" t="s">
        <v>111</v>
      </c>
      <c r="B25" s="451">
        <f t="shared" ca="1" si="2"/>
        <v>259.73319570802113</v>
      </c>
      <c r="C25" s="451">
        <f t="shared" ca="1" si="3"/>
        <v>19660.371428571434</v>
      </c>
      <c r="D25" s="451">
        <f t="shared" si="4"/>
        <v>0</v>
      </c>
      <c r="E25" s="451">
        <f t="shared" si="5"/>
        <v>7.8517039507843016</v>
      </c>
      <c r="F25" s="451">
        <f t="shared" si="6"/>
        <v>1308.9354650934429</v>
      </c>
      <c r="G25" s="451">
        <f t="shared" si="7"/>
        <v>0</v>
      </c>
      <c r="H25" s="451">
        <f t="shared" si="8"/>
        <v>0</v>
      </c>
      <c r="I25" s="451">
        <f t="shared" si="9"/>
        <v>0</v>
      </c>
      <c r="J25" s="451">
        <f t="shared" si="10"/>
        <v>60.353243972581218</v>
      </c>
      <c r="K25" s="451">
        <f t="shared" si="11"/>
        <v>0</v>
      </c>
      <c r="L25" s="451">
        <f t="shared" si="12"/>
        <v>0</v>
      </c>
      <c r="M25" s="451">
        <f t="shared" si="13"/>
        <v>0</v>
      </c>
      <c r="N25" s="451">
        <f t="shared" si="14"/>
        <v>0</v>
      </c>
      <c r="O25" s="451">
        <f t="shared" si="15"/>
        <v>0</v>
      </c>
      <c r="P25" s="452">
        <f t="shared" si="16"/>
        <v>0</v>
      </c>
      <c r="Q25" s="450">
        <f t="shared" ca="1" si="17"/>
        <v>21297.245037296267</v>
      </c>
    </row>
    <row r="26" spans="1:17">
      <c r="A26" s="450" t="s">
        <v>634</v>
      </c>
      <c r="B26" s="451">
        <f t="shared" ca="1" si="2"/>
        <v>3887.4705133408215</v>
      </c>
      <c r="C26" s="451">
        <f t="shared" ca="1" si="3"/>
        <v>0</v>
      </c>
      <c r="D26" s="451">
        <f t="shared" si="4"/>
        <v>10949.279660265796</v>
      </c>
      <c r="E26" s="451">
        <f t="shared" si="5"/>
        <v>222.08817174696296</v>
      </c>
      <c r="F26" s="451">
        <f t="shared" si="6"/>
        <v>1802.0068932635093</v>
      </c>
      <c r="G26" s="451">
        <f t="shared" si="7"/>
        <v>0</v>
      </c>
      <c r="H26" s="451">
        <f t="shared" si="8"/>
        <v>0</v>
      </c>
      <c r="I26" s="451">
        <f t="shared" si="9"/>
        <v>0</v>
      </c>
      <c r="J26" s="451">
        <f t="shared" si="10"/>
        <v>9.2157054983222348</v>
      </c>
      <c r="K26" s="451">
        <f t="shared" si="11"/>
        <v>0</v>
      </c>
      <c r="L26" s="451">
        <f t="shared" si="12"/>
        <v>0</v>
      </c>
      <c r="M26" s="451">
        <f t="shared" si="13"/>
        <v>0</v>
      </c>
      <c r="N26" s="451">
        <f t="shared" si="14"/>
        <v>0</v>
      </c>
      <c r="O26" s="451">
        <f t="shared" si="15"/>
        <v>0</v>
      </c>
      <c r="P26" s="452">
        <f t="shared" si="16"/>
        <v>0</v>
      </c>
      <c r="Q26" s="450">
        <f t="shared" ca="1" si="17"/>
        <v>16870.060944115412</v>
      </c>
    </row>
    <row r="27" spans="1:17" s="456" customFormat="1">
      <c r="A27" s="454" t="s">
        <v>560</v>
      </c>
      <c r="B27" s="754">
        <f t="shared" ca="1" si="2"/>
        <v>21.218949807592384</v>
      </c>
      <c r="C27" s="455">
        <f t="shared" ca="1" si="3"/>
        <v>0</v>
      </c>
      <c r="D27" s="455">
        <f t="shared" si="4"/>
        <v>49.154294474816901</v>
      </c>
      <c r="E27" s="455">
        <f t="shared" si="5"/>
        <v>106.7109722982716</v>
      </c>
      <c r="F27" s="455">
        <f t="shared" si="6"/>
        <v>0</v>
      </c>
      <c r="G27" s="455">
        <f t="shared" si="7"/>
        <v>58897.284920682279</v>
      </c>
      <c r="H27" s="455">
        <f t="shared" si="8"/>
        <v>10517.071648436398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69591.440785699364</v>
      </c>
    </row>
    <row r="28" spans="1:17">
      <c r="A28" s="450" t="s">
        <v>550</v>
      </c>
      <c r="B28" s="451">
        <f t="shared" ca="1" si="2"/>
        <v>0</v>
      </c>
      <c r="C28" s="451">
        <f t="shared" ca="1" si="3"/>
        <v>0</v>
      </c>
      <c r="D28" s="451">
        <f t="shared" si="4"/>
        <v>0</v>
      </c>
      <c r="E28" s="451">
        <f t="shared" si="5"/>
        <v>0</v>
      </c>
      <c r="F28" s="451">
        <f t="shared" si="6"/>
        <v>0</v>
      </c>
      <c r="G28" s="451">
        <f t="shared" si="7"/>
        <v>536.74485999125284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536.74485999125284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147.80740399378624</v>
      </c>
      <c r="C32" s="451">
        <f t="shared" ca="1" si="3"/>
        <v>0</v>
      </c>
      <c r="D32" s="451">
        <f t="shared" si="4"/>
        <v>499.1171271145252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646.92453110831138</v>
      </c>
    </row>
    <row r="33" spans="1:17" s="460" customFormat="1">
      <c r="A33" s="1005" t="s">
        <v>554</v>
      </c>
      <c r="B33" s="953">
        <f ca="1">SUM(B22:B32)</f>
        <v>18957.330608716908</v>
      </c>
      <c r="C33" s="953">
        <f t="shared" ref="C33:Q33" ca="1" si="18">SUM(C22:C32)</f>
        <v>19660.371428571434</v>
      </c>
      <c r="D33" s="953">
        <f t="shared" ca="1" si="18"/>
        <v>31454.028167947712</v>
      </c>
      <c r="E33" s="953">
        <f t="shared" si="18"/>
        <v>1021.7754077773451</v>
      </c>
      <c r="F33" s="953">
        <f t="shared" ca="1" si="18"/>
        <v>5232.2557845489955</v>
      </c>
      <c r="G33" s="953">
        <f t="shared" si="18"/>
        <v>59434.029780673533</v>
      </c>
      <c r="H33" s="953">
        <f t="shared" si="18"/>
        <v>10517.071648436398</v>
      </c>
      <c r="I33" s="953">
        <f t="shared" si="18"/>
        <v>0</v>
      </c>
      <c r="J33" s="953">
        <f t="shared" si="18"/>
        <v>69.688758695118395</v>
      </c>
      <c r="K33" s="953">
        <f t="shared" si="18"/>
        <v>0</v>
      </c>
      <c r="L33" s="953">
        <f t="shared" ca="1" si="18"/>
        <v>0</v>
      </c>
      <c r="M33" s="953">
        <f t="shared" si="18"/>
        <v>0</v>
      </c>
      <c r="N33" s="953">
        <f t="shared" ca="1" si="18"/>
        <v>0</v>
      </c>
      <c r="O33" s="953">
        <f t="shared" si="18"/>
        <v>0</v>
      </c>
      <c r="P33" s="953">
        <f t="shared" si="18"/>
        <v>0</v>
      </c>
      <c r="Q33" s="953">
        <f t="shared" ca="1" si="18"/>
        <v>146346.55158536744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4428.8348405406068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57910.499999999993</v>
      </c>
      <c r="D8" s="1022">
        <f>'SEAP template'!D76</f>
        <v>68130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13762.26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4472.4848405406065</v>
      </c>
      <c r="C10" s="1026">
        <f>SUM(C4:C9)</f>
        <v>57910.499999999993</v>
      </c>
      <c r="D10" s="1026">
        <f t="shared" ref="D10:H10" si="0">SUM(D8:D9)</f>
        <v>68130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13762.26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0.22071615294283412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82729.285714285725</v>
      </c>
      <c r="D17" s="1023">
        <f>'SEAP template'!D87</f>
        <v>97328.571428571449</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19660.371428571434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82729.285714285725</v>
      </c>
      <c r="D20" s="1026">
        <f t="shared" ref="D20:H20" si="2">SUM(D17:D19)</f>
        <v>97328.571428571449</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19660.371428571434</v>
      </c>
    </row>
    <row r="22" spans="1:16">
      <c r="A22" s="461" t="s">
        <v>848</v>
      </c>
      <c r="B22" s="760" t="s">
        <v>842</v>
      </c>
      <c r="C22" s="760">
        <f ca="1">'EF ele_warmte'!B22</f>
        <v>0.23746806742916601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0.22071615294283412</v>
      </c>
      <c r="C17" s="498">
        <f ca="1">'EF ele_warmte'!B22</f>
        <v>0.23746806742916601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2020-06-20T15:39:12Z</dcterms:modified>
</cp:coreProperties>
</file>