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C9" i="18"/>
  <c r="K22" i="18"/>
  <c r="J22" i="18"/>
  <c r="I22" i="18"/>
  <c r="H22" i="18"/>
  <c r="K12" i="18"/>
  <c r="J12" i="18"/>
  <c r="I12" i="18"/>
  <c r="H12" i="18"/>
  <c r="W46" i="18"/>
  <c r="V46" i="18"/>
  <c r="U46" i="18"/>
  <c r="T46" i="18"/>
  <c r="S46" i="18"/>
  <c r="R46" i="18"/>
  <c r="Q46" i="18"/>
  <c r="P46" i="18"/>
  <c r="O46" i="18"/>
  <c r="N46" i="18"/>
  <c r="M46" i="18"/>
  <c r="W45" i="18"/>
  <c r="V45" i="18"/>
  <c r="U45" i="18"/>
  <c r="T45" i="18"/>
  <c r="S45" i="18"/>
  <c r="R45" i="18"/>
  <c r="Q45" i="18"/>
  <c r="P45" i="18"/>
  <c r="O45" i="18"/>
  <c r="N45" i="18"/>
  <c r="M45" i="18"/>
  <c r="W44" i="18"/>
  <c r="V44" i="18"/>
  <c r="U44" i="18"/>
  <c r="T44" i="18"/>
  <c r="S44" i="18"/>
  <c r="R44" i="18"/>
  <c r="Q44" i="18"/>
  <c r="P44" i="18"/>
  <c r="O44" i="18"/>
  <c r="N44" i="18"/>
  <c r="M44" i="18"/>
  <c r="W43" i="18"/>
  <c r="V43" i="18"/>
  <c r="J9" i="18" s="1"/>
  <c r="J77" i="14" s="1"/>
  <c r="J9" i="61" s="1"/>
  <c r="U43" i="18"/>
  <c r="T43" i="18"/>
  <c r="I9" i="18" s="1"/>
  <c r="S43" i="18"/>
  <c r="E9" i="18" s="1"/>
  <c r="R43" i="18"/>
  <c r="Q43" i="18"/>
  <c r="P43" i="18"/>
  <c r="O43" i="18"/>
  <c r="N43" i="18"/>
  <c r="B9" i="18" s="1"/>
  <c r="M43" i="18"/>
  <c r="W39" i="18"/>
  <c r="V39" i="18"/>
  <c r="N6" i="17" s="1"/>
  <c r="U39" i="18"/>
  <c r="L6" i="17" s="1"/>
  <c r="T39" i="18"/>
  <c r="S39" i="18"/>
  <c r="F6" i="17" s="1"/>
  <c r="R39" i="18"/>
  <c r="Q39" i="18"/>
  <c r="P39" i="18"/>
  <c r="D6" i="17" s="1"/>
  <c r="O39" i="18"/>
  <c r="N39" i="18"/>
  <c r="M39" i="18"/>
  <c r="W38" i="18"/>
  <c r="V38" i="18"/>
  <c r="U38" i="18"/>
  <c r="T38" i="18"/>
  <c r="S38" i="18"/>
  <c r="F13" i="15" s="1"/>
  <c r="R38" i="18"/>
  <c r="Q38" i="18"/>
  <c r="P38" i="18"/>
  <c r="D13" i="15" s="1"/>
  <c r="O38" i="18"/>
  <c r="N38" i="18"/>
  <c r="M38" i="18"/>
  <c r="W37" i="18"/>
  <c r="V37" i="18"/>
  <c r="U37" i="18"/>
  <c r="T37" i="18"/>
  <c r="S37" i="18"/>
  <c r="R37" i="18"/>
  <c r="Q37" i="18"/>
  <c r="P37" i="18"/>
  <c r="O37" i="18"/>
  <c r="N37" i="18"/>
  <c r="M37" i="18"/>
  <c r="W36" i="18"/>
  <c r="V36" i="18"/>
  <c r="U36" i="18"/>
  <c r="T36" i="18"/>
  <c r="S36" i="18"/>
  <c r="R36" i="18"/>
  <c r="Q36" i="18"/>
  <c r="P36" i="18"/>
  <c r="O36" i="18"/>
  <c r="B17" i="18" s="1"/>
  <c r="N36" i="18"/>
  <c r="C52" i="18" s="1"/>
  <c r="M36" i="18"/>
  <c r="G22" i="18"/>
  <c r="F22" i="18"/>
  <c r="E22" i="18"/>
  <c r="D22" i="18"/>
  <c r="C22" i="18"/>
  <c r="G12" i="18"/>
  <c r="F12" i="18"/>
  <c r="E12" i="18"/>
  <c r="D12" i="18"/>
  <c r="C12" i="18"/>
  <c r="L10" i="18"/>
  <c r="E77" i="14"/>
  <c r="E9" i="61" s="1"/>
  <c r="B6" i="18"/>
  <c r="B74" i="14" s="1"/>
  <c r="B6" i="61" s="1"/>
  <c r="B5" i="18"/>
  <c r="B73" i="14" s="1"/>
  <c r="B5" i="61" s="1"/>
  <c r="B4" i="18"/>
  <c r="B72" i="14" s="1"/>
  <c r="B4" i="61" s="1"/>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B8" i="18" l="1"/>
  <c r="M77" i="14"/>
  <c r="M9" i="61" s="1"/>
  <c r="H9" i="18"/>
  <c r="O9" i="18" s="1"/>
  <c r="B52" i="18"/>
  <c r="G56" i="18" s="1"/>
  <c r="C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55" i="18"/>
  <c r="H8" i="18" s="1"/>
  <c r="E55" i="18"/>
  <c r="E8" i="18" s="1"/>
  <c r="G55" i="18"/>
  <c r="F55" i="18"/>
  <c r="H55" i="18"/>
  <c r="D55" i="18"/>
  <c r="C55" i="18"/>
  <c r="B55" i="18"/>
  <c r="C8" i="18" s="1"/>
  <c r="I56" i="18"/>
  <c r="H17" i="18" s="1"/>
  <c r="E56" i="18"/>
  <c r="E17" i="18" s="1"/>
  <c r="C56" i="18"/>
  <c r="B56" i="18"/>
  <c r="C17" i="18" s="1"/>
  <c r="D56" i="18"/>
  <c r="F56"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H56" i="18" l="1"/>
  <c r="I8"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P11" i="14"/>
  <c r="O4" i="48"/>
  <c r="O22" i="48" s="1"/>
  <c r="D4" i="48"/>
  <c r="D22" i="48" s="1"/>
  <c r="E11" i="14"/>
  <c r="Q11" i="14"/>
  <c r="P4" i="48"/>
  <c r="P22" i="48" s="1"/>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Q13" i="14"/>
  <c r="Q16" i="14" s="1"/>
  <c r="Q27" i="14" s="1"/>
  <c r="P8" i="48"/>
  <c r="P26" i="48"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E7" i="48"/>
  <c r="E25" i="48" s="1"/>
  <c r="F24" i="14"/>
  <c r="F26" i="14"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N52" i="14"/>
  <c r="N61" i="14" s="1"/>
  <c r="N63" i="14" s="1"/>
  <c r="K10" i="14"/>
  <c r="J5" i="48"/>
  <c r="J23" i="48" s="1"/>
  <c r="I20" i="14"/>
  <c r="I22" i="14" s="1"/>
  <c r="I27" i="14" s="1"/>
  <c r="E5" i="48"/>
  <c r="E23" i="48" s="1"/>
  <c r="F10" i="14"/>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J8" i="48" l="1"/>
  <c r="J26" i="48" s="1"/>
  <c r="K13" i="14"/>
  <c r="K16" i="14" s="1"/>
  <c r="K27" i="14" s="1"/>
  <c r="J33" i="48"/>
  <c r="F13" i="14"/>
  <c r="F16" i="14" s="1"/>
  <c r="F27" i="14" s="1"/>
  <c r="E8" i="48"/>
  <c r="E26" i="48" s="1"/>
  <c r="E33" i="48" s="1"/>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<sst xmlns="http://schemas.openxmlformats.org/spreadsheetml/2006/main" count="2468" uniqueCount="914">
  <si>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</si>
  <si>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</si>
  <si>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</si>
  <si>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</si>
  <si>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</si>
  <si>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</si>
  <si>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</si>
  <si>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</si>
  <si>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</si>
  <si>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</si>
  <si>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</si>
  <si>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</si>
  <si>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</si>
  <si>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</si>
  <si>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</si>
  <si>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</si>
  <si>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</si>
  <si>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</si>
  <si>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</si>
  <si>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</si>
  <si>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</si>
  <si>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</si>
  <si>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</si>
  <si>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</si>
  <si>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</si>
  <si>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</si>
  <si>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</si>
  <si>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</si>
  <si>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</si>
  <si>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</si>
  <si>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</si>
  <si>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</si>
  <si>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</si>
  <si>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</si>
  <si>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</si>
  <si>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</si>
  <si>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</si>
  <si>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</si>
  <si>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</si>
  <si>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</si>
  <si>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</si>
  <si>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</si>
  <si>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</si>
  <si>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</si>
  <si>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</si>
  <si>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</si>
  <si>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</si>
  <si>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</si>
  <si>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</si>
  <si>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</si>
  <si>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</si>
  <si>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</si>
  <si>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</si>
  <si>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</si>
  <si>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</si>
  <si>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</si>
  <si>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</si>
  <si>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</si>
  <si>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</si>
  <si>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</si>
  <si>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</si>
  <si>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</si>
  <si>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</si>
  <si>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</si>
  <si>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</si>
  <si>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</si>
  <si>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</si>
  <si>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</si>
  <si>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</si>
  <si>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</si>
  <si>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</si>
  <si>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</si>
  <si>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</si>
  <si>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</si>
  <si>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</si>
  <si>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</si>
  <si>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</si>
  <si>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</si>
  <si>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</si>
  <si>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</si>
  <si>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</si>
  <si>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</si>
  <si>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</si>
  <si>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</si>
  <si>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</si>
  <si>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</si>
  <si>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</si>
  <si>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</si>
  <si>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</si>
  <si>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</si>
  <si>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</si>
  <si>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</si>
  <si>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</si>
  <si>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</si>
  <si>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</si>
  <si>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</si>
  <si>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</si>
  <si>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</si>
  <si>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</si>
  <si>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</si>
  <si>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</si>
  <si>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</si>
  <si>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</si>
  <si>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</si>
  <si>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</si>
  <si>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</si>
  <si>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</si>
  <si>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</si>
  <si>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</si>
  <si>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</si>
  <si>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</si>
  <si>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</si>
  <si>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</si>
  <si>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</si>
  <si>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</si>
  <si>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</si>
  <si>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</si>
  <si>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</si>
  <si>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</si>
  <si>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</si>
  <si>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</si>
  <si>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</si>
  <si>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</si>
  <si>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</si>
  <si>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</si>
  <si>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</si>
  <si>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</si>
  <si>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</si>
  <si>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</si>
  <si>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</si>
  <si>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</si>
  <si>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</si>
  <si>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</si>
  <si>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</si>
  <si>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</si>
  <si>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</si>
  <si>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</si>
  <si>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</si>
  <si>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</si>
  <si>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</si>
  <si>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</si>
  <si>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</si>
  <si>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</si>
  <si>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</si>
  <si>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</si>
  <si>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</si>
  <si>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</si>
  <si>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</si>
  <si>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</si>
  <si>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</si>
  <si>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</si>
  <si>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</si>
  <si>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</si>
  <si>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</si>
  <si>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</si>
  <si>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</si>
  <si>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</si>
  <si>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</si>
  <si>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</si>
  <si>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</si>
  <si>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</si>
  <si>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</si>
  <si>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</si>
  <si>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</si>
  <si>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</si>
  <si>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</si>
  <si>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</si>
  <si>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</si>
  <si>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</si>
  <si>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</si>
  <si>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</si>
  <si>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</si>
  <si>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</si>
  <si>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</si>
  <si>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</si>
  <si>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</si>
  <si>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</si>
  <si>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</si>
  <si>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</si>
  <si>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</si>
  <si>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</si>
  <si>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</si>
  <si>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</si>
  <si>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</si>
  <si>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</si>
  <si>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</si>
  <si>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</si>
  <si>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</si>
  <si>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</si>
  <si>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</si>
  <si>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</si>
  <si>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</si>
  <si>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</si>
  <si>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</si>
  <si>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</si>
  <si>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</si>
  <si>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</si>
  <si>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</si>
  <si>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</si>
  <si>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</si>
  <si>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</si>
  <si>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</si>
  <si>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</si>
  <si>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</si>
  <si>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</si>
  <si>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</si>
  <si>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</si>
  <si>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</si>
  <si>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</si>
  <si>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</si>
  <si>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</si>
  <si>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</si>
  <si>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</si>
  <si>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</si>
  <si>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</si>
  <si>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</si>
  <si>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</si>
  <si>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</si>
  <si>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</si>
  <si>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</si>
  <si>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</si>
  <si>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</si>
  <si>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</si>
  <si>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</si>
  <si>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</si>
  <si>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</si>
  <si>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</si>
  <si>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</si>
  <si>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</si>
  <si>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</si>
  <si>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</si>
  <si>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</si>
  <si>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</si>
  <si>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</si>
  <si>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</si>
  <si>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</si>
  <si>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</si>
  <si>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</si>
  <si>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</si>
  <si>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</si>
  <si>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</si>
  <si>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</si>
  <si>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</si>
  <si>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</si>
  <si>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</si>
  <si>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</si>
  <si>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</si>
  <si>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</si>
  <si>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</si>
  <si>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</si>
  <si>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</si>
  <si>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</si>
  <si>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</si>
  <si>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</si>
  <si>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</si>
  <si>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</si>
  <si>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</si>
  <si>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</si>
  <si>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</si>
  <si>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</si>
  <si>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</si>
  <si>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</si>
  <si>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</si>
  <si>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</si>
  <si>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</si>
  <si>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</si>
  <si>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</si>
  <si>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</si>
  <si>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</si>
  <si>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</si>
  <si>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</si>
  <si>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</si>
  <si>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</si>
  <si>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</si>
  <si>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</si>
  <si>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</si>
  <si>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</si>
  <si>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</si>
  <si>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</si>
  <si>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</si>
  <si>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</si>
  <si>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</si>
  <si>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</si>
  <si>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</si>
  <si>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</si>
  <si>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</si>
  <si>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</si>
  <si>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</si>
  <si>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</si>
  <si>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</si>
  <si>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</si>
  <si>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</si>
  <si>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</si>
  <si>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</si>
  <si>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</si>
  <si>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</si>
  <si>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</si>
  <si>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</si>
  <si>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</si>
  <si>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</si>
  <si>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</si>
  <si>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</si>
  <si>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</si>
  <si>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</si>
  <si>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</si>
  <si>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</si>
  <si>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</si>
  <si>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</si>
  <si>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</si>
  <si>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</si>
  <si>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</si>
  <si>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</si>
  <si>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</si>
  <si>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</si>
  <si>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</si>
  <si>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</si>
  <si>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</si>
  <si>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</si>
  <si>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</si>
  <si>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</si>
  <si>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</si>
  <si>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</si>
  <si>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</si>
  <si>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</si>
  <si>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</si>
  <si>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</si>
  <si>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</si>
  <si>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</si>
  <si>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</si>
  <si>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</si>
  <si>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</si>
  <si>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</si>
  <si>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</si>
  <si>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</si>
  <si>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</si>
  <si>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</si>
  <si>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</si>
  <si>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</si>
  <si>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</si>
  <si>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</si>
  <si>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</si>
  <si>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</si>
  <si>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</si>
  <si>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</si>
  <si>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</si>
  <si>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</si>
  <si>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</si>
  <si>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</si>
  <si>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</si>
  <si>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</si>
  <si>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</si>
  <si>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</si>
  <si>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</si>
  <si>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</si>
  <si>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</si>
  <si>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</si>
  <si>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</si>
  <si>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</si>
  <si>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</si>
  <si>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</si>
  <si>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</si>
  <si>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</si>
  <si>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</si>
  <si>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</si>
  <si>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</si>
  <si>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</si>
  <si>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</si>
  <si>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</si>
  <si>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</si>
  <si>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</si>
  <si>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</si>
  <si>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</si>
  <si>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</si>
  <si>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</si>
  <si>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</si>
  <si>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</si>
  <si>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</si>
  <si>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</si>
  <si>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</si>
  <si>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</si>
  <si>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</si>
  <si>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</si>
  <si>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</si>
  <si>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</si>
  <si>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</si>
  <si>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</si>
  <si>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</si>
  <si>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</si>
  <si>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</si>
  <si>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</si>
  <si>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</si>
  <si>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</si>
  <si>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</si>
  <si>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</si>
  <si>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</si>
  <si>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</si>
  <si>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</si>
  <si>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</si>
  <si>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</si>
  <si>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</si>
  <si>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</si>
  <si>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</si>
  <si>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</si>
  <si>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</si>
  <si>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</si>
  <si>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</si>
  <si>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</si>
  <si>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</si>
  <si>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</si>
  <si>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</si>
  <si>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</si>
  <si>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</si>
  <si>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</si>
  <si>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</si>
  <si>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</si>
  <si>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</si>
  <si>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</si>
  <si>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</si>
  <si>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</si>
  <si>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</si>
  <si>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</si>
  <si>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</si>
  <si>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</si>
  <si>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</si>
  <si>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</si>
  <si>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</si>
  <si>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</si>
  <si>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</si>
  <si>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</si>
  <si>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</si>
  <si>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</si>
  <si>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</si>
  <si>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</si>
  <si>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</si>
  <si>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</si>
  <si>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</si>
  <si>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</si>
  <si>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</si>
  <si>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</si>
  <si>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</si>
  <si>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</si>
  <si>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</si>
  <si>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</si>
  <si>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</si>
  <si>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</si>
  <si>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</si>
  <si>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</si>
  <si>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</si>
  <si>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</si>
  <si>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</si>
  <si>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</si>
  <si>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</si>
  <si>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</si>
  <si>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</si>
  <si>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</si>
  <si>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</si>
  <si>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</si>
  <si>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</si>
  <si>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</si>
  <si>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</si>
  <si>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</si>
  <si>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</si>
  <si>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</si>
  <si>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</si>
  <si>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</si>
  <si>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</si>
  <si>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</si>
  <si>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</si>
  <si>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</si>
  <si>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</si>
  <si>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</si>
  <si>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</si>
  <si>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</si>
  <si>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</si>
  <si>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</si>
  <si>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</si>
  <si>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</si>
  <si>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</si>
  <si>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</si>
  <si>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</si>
  <si>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</si>
  <si>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</si>
  <si>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</si>
  <si>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</si>
  <si>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</si>
  <si>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</si>
  <si>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</si>
  <si>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</si>
  <si>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</si>
  <si>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</si>
  <si>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</si>
  <si>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</si>
  <si>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</si>
  <si>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</si>
  <si>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</si>
  <si>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</si>
  <si>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</si>
  <si>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</si>
  <si>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</si>
  <si>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</si>
  <si>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</si>
  <si>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</si>
  <si>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</si>
  <si>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</si>
  <si>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</si>
  <si>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</si>
  <si>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</si>
  <si>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</si>
  <si>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</si>
  <si>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</si>
  <si>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</si>
  <si>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</si>
  <si>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</si>
  <si>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</si>
  <si>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</si>
  <si>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</si>
  <si>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</si>
  <si>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</si>
  <si>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</si>
  <si>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</si>
  <si>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</si>
  <si>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</si>
  <si>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</si>
  <si>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</si>
  <si>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</si>
  <si>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</si>
  <si>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</si>
  <si>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</si>
  <si>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</si>
  <si>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</si>
  <si>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</si>
  <si>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</si>
  <si>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</si>
  <si>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</si>
  <si>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</si>
  <si>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</si>
  <si>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</si>
  <si>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</si>
  <si>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</si>
  <si>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</si>
  <si>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</si>
  <si>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</si>
  <si>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</si>
  <si>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</si>
  <si>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</si>
  <si>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</si>
  <si>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</si>
  <si>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</si>
  <si>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</si>
  <si>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</si>
  <si>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</si>
  <si>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</si>
  <si>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</si>
  <si>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</si>
  <si>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</si>
  <si>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</si>
  <si>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</si>
  <si>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</si>
  <si>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</si>
  <si>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</si>
  <si>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</si>
  <si>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</si>
  <si>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</si>
  <si>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</si>
  <si>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</si>
  <si>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</si>
  <si>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</si>
  <si>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</si>
  <si>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</si>
  <si>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</si>
  <si>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</si>
  <si>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</si>
  <si>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</si>
  <si>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</si>
  <si>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</si>
  <si>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</si>
  <si>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</si>
  <si>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</si>
  <si>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</si>
  <si>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</si>
  <si>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</si>
  <si>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</si>
  <si>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</si>
  <si>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</si>
  <si>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</si>
  <si>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</si>
  <si>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</si>
  <si>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</si>
  <si>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</si>
  <si>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</si>
  <si>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</si>
  <si>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</si>
  <si>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</si>
  <si>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</si>
  <si>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</si>
  <si>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</si>
  <si>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</si>
  <si>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</si>
  <si>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</si>
  <si>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</si>
  <si>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</si>
  <si>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</si>
  <si>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</si>
  <si>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</si>
  <si>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</si>
  <si>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</si>
  <si>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</si>
  <si>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</si>
  <si>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</si>
  <si>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</si>
  <si>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</si>
  <si>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</si>
  <si>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</si>
  <si>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</si>
  <si>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</si>
  <si>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</si>
  <si>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</si>
  <si>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</si>
  <si>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</si>
  <si>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</si>
  <si>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</si>
  <si>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</si>
  <si>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</si>
  <si>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</si>
  <si>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</si>
  <si>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</si>
  <si>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</si>
  <si>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</si>
  <si>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</si>
  <si>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</si>
  <si>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</si>
  <si>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</si>
  <si>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</si>
  <si>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</si>
  <si>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</si>
  <si>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</si>
  <si>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</si>
  <si>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</si>
  <si>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</si>
  <si>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</si>
  <si>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</si>
  <si>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</si>
  <si>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</si>
  <si>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</si>
  <si>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</si>
  <si>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</si>
  <si>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</si>
  <si>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</si>
  <si>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</si>
  <si>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</si>
  <si>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</si>
  <si>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</si>
  <si>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</si>
  <si>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</si>
  <si>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</si>
  <si>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</si>
  <si>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</si>
  <si>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</si>
  <si>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</si>
  <si>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</si>
  <si>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</si>
  <si>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</si>
  <si>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</si>
  <si>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</si>
  <si>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</si>
  <si>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</si>
  <si>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</si>
  <si>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</si>
  <si>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</si>
  <si>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</si>
  <si>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</si>
  <si>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</si>
  <si>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</si>
  <si>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</si>
  <si>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</si>
  <si>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</si>
  <si>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</si>
  <si>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</si>
  <si>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</si>
  <si>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</si>
  <si>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</si>
  <si>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</si>
  <si>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</si>
  <si>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</si>
  <si>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</si>
  <si>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</si>
  <si>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</si>
  <si>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</si>
  <si>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</si>
  <si>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</si>
  <si>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</si>
  <si>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</si>
  <si>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</si>
  <si>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</si>
  <si>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</si>
  <si>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</si>
  <si>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</si>
  <si>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</si>
  <si>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</si>
  <si>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</si>
  <si>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</si>
  <si>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</si>
  <si>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</si>
  <si>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</si>
  <si>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</si>
  <si>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</si>
  <si>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</si>
  <si>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</si>
  <si>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</si>
  <si>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</si>
  <si>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</si>
  <si>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</si>
  <si>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</si>
  <si>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</si>
  <si>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</si>
  <si>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</si>
  <si>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</si>
  <si>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</si>
  <si>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</si>
  <si>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</si>
  <si>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</si>
  <si>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</si>
  <si>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</si>
  <si>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</si>
  <si>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</si>
  <si>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</si>
  <si>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</si>
  <si>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</si>
  <si>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</si>
  <si>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</si>
  <si>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</si>
  <si>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</si>
  <si>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</si>
  <si>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</si>
  <si>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</si>
  <si>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</si>
  <si>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</si>
  <si>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</si>
  <si>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</si>
  <si>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</si>
  <si>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</si>
  <si>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</si>
  <si>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</si>
  <si>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</si>
  <si>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</si>
  <si>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</si>
  <si>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</si>
  <si>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</si>
  <si>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</si>
  <si>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</si>
  <si>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</si>
  <si>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</si>
  <si>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</si>
  <si>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</si>
  <si>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</si>
  <si>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</si>
  <si>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</si>
  <si>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</si>
  <si>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</si>
  <si>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</si>
  <si>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</si>
  <si>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</si>
  <si>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</si>
  <si>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</si>
  <si>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</si>
  <si>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</si>
  <si>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</si>
  <si>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</si>
  <si>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</si>
  <si>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</si>
  <si>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</si>
  <si>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</si>
  <si>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</si>
  <si>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</si>
  <si>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</si>
  <si>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</si>
  <si>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</si>
  <si>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</si>
  <si>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</si>
  <si>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</si>
  <si>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</si>
  <si>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</si>
  <si>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</si>
  <si>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</si>
  <si>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</si>
  <si>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</si>
  <si>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</si>
  <si>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</si>
  <si>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</si>
  <si>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</si>
  <si>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</si>
  <si>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</si>
  <si>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</si>
  <si>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</si>
  <si>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</si>
  <si>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</si>
  <si>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</si>
  <si>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</si>
  <si>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</si>
  <si>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</si>
  <si>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</si>
  <si>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</si>
  <si>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</si>
  <si>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</si>
  <si>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</si>
  <si>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</si>
  <si>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</si>
  <si>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</si>
  <si>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</si>
  <si>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</si>
  <si>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</si>
  <si>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</si>
  <si>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</si>
  <si>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</si>
  <si>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</si>
  <si>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</si>
  <si>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</si>
  <si>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</si>
  <si>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</si>
  <si>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</si>
  <si>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</si>
  <si>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</si>
  <si>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</si>
  <si>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</si>
  <si>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</si>
  <si>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</si>
  <si>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</si>
  <si>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</si>
  <si>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</si>
  <si>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</si>
  <si>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</si>
  <si>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</si>
  <si>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</si>
  <si>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</si>
  <si>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</si>
  <si>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</si>
  <si>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</si>
  <si>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</si>
  <si>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</si>
  <si>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</si>
  <si>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</si>
  <si>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</si>
  <si>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</si>
  <si>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</si>
  <si>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</si>
  <si>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</si>
  <si>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</si>
  <si>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</si>
  <si>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</si>
  <si>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</si>
  <si>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</si>
  <si>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</si>
  <si>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</si>
  <si>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</si>
  <si>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</si>
  <si>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</si>
  <si>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</si>
  <si>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</si>
  <si>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</si>
  <si>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</si>
  <si>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</si>
  <si>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</si>
  <si>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</si>
  <si>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</si>
  <si>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</si>
  <si>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</si>
  <si>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</si>
  <si>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</si>
  <si>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</si>
  <si>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</si>
  <si>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</si>
  <si>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</si>
  <si>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</si>
  <si>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</si>
  <si>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</si>
  <si>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</si>
  <si>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</si>
  <si>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</si>
  <si>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</si>
  <si>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</si>
  <si>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</si>
  <si>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</si>
  <si>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</si>
  <si>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11035</t>
  </si>
  <si>
    <t>RANST</t>
  </si>
  <si>
    <t>Fluvius</t>
  </si>
  <si>
    <t>referentietaak LNE (2017); Jaarverslag De Lijn</t>
  </si>
  <si>
    <t>Groeikracht Broechem NV</t>
  </si>
  <si>
    <t>Bistweg 37, 2520 Broechem</t>
  </si>
  <si>
    <t>WKK-0040a Groeikracht Broechem</t>
  </si>
  <si>
    <t>interne verbrandingsmotor</t>
  </si>
  <si>
    <t>WKK interne verbrandinsgmotor (gas)</t>
  </si>
  <si>
    <t>IVEKA</t>
  </si>
  <si>
    <t>Groeikracht Abelebaan NV</t>
  </si>
  <si>
    <t>Abelebaan 66, 2520 Broechem</t>
  </si>
  <si>
    <t>WKK-0165 Groeikracht Abelebaan</t>
  </si>
  <si>
    <t>Verdonck-Van Dessel bvba</t>
  </si>
  <si>
    <t>Achterlo 17 , 2520 Broechem</t>
  </si>
  <si>
    <t>WKK-0191 Verdonck-Van Dessel</t>
  </si>
  <si>
    <t>Redgrow bvba</t>
  </si>
  <si>
    <t>Bistweg 37 , 2520 Broechem</t>
  </si>
  <si>
    <t>WKK-0232 Almo Energie</t>
  </si>
  <si>
    <t>Johan Bossaerts</t>
  </si>
  <si>
    <t>Laarstraat 35 , 2520 Ranst</t>
  </si>
  <si>
    <t>WKK-0268 Johan Bossaerts</t>
  </si>
  <si>
    <t>ABR Energy bvba</t>
  </si>
  <si>
    <t>Oelegemsteenweg 154 , 2160 Wommelgem</t>
  </si>
  <si>
    <t>WKK-0315 Biofors</t>
  </si>
  <si>
    <t>Ginnegemveld 154 , 2520 Ranst</t>
  </si>
  <si>
    <t>Rafael Bossaerts</t>
  </si>
  <si>
    <t>Moorstraat 21 , 2520 Broechem</t>
  </si>
  <si>
    <t>WKK-0273 Raf Bossaerts</t>
  </si>
  <si>
    <t>WKK-0496 Paul Van der Schoot</t>
  </si>
  <si>
    <t>Hallebaan 21 21a, 2520 Oelegem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</si>
</sst>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158727.20201169982</c:v>
                </c:pt>
                <c:pt idx="1">
                  <c:v>89336.049125227597</c:v>
                </c:pt>
                <c:pt idx="2">
                  <c:v>1425.2080000000001</c:v>
                </c:pt>
                <c:pt idx="3">
                  <c:v>82956.380429255209</c:v>
                </c:pt>
                <c:pt idx="4">
                  <c:v>141766.395006242</c:v>
                </c:pt>
                <c:pt idx="5">
                  <c:v>412521.72391845874</c:v>
                </c:pt>
                <c:pt idx="6">
                  <c:v>3513.5335543408319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158727.20201169982</c:v>
                </c:pt>
                <c:pt idx="1">
                  <c:v>89336.049125227597</c:v>
                </c:pt>
                <c:pt idx="2">
                  <c:v>1425.2080000000001</c:v>
                </c:pt>
                <c:pt idx="3">
                  <c:v>82956.380429255209</c:v>
                </c:pt>
                <c:pt idx="4">
                  <c:v>141766.395006242</c:v>
                </c:pt>
                <c:pt idx="5">
                  <c:v>412521.72391845874</c:v>
                </c:pt>
                <c:pt idx="6">
                  <c:v>3513.5335543408319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27169.96616028903</c:v>
                </c:pt>
                <c:pt idx="2">
                  <c:v>15266.198030135807</c:v>
                </c:pt>
                <c:pt idx="3">
                  <c:v>286.93620614555493</c:v>
                </c:pt>
                <c:pt idx="4">
                  <c:v>17366.84679137772</c:v>
                </c:pt>
                <c:pt idx="5">
                  <c:v>28688.419319237139</c:v>
                </c:pt>
                <c:pt idx="6">
                  <c:v>103457.08827476171</c:v>
                </c:pt>
                <c:pt idx="7">
                  <c:v>887.69983565239102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27169.96616028903</c:v>
                </c:pt>
                <c:pt idx="2">
                  <c:v>15266.198030135807</c:v>
                </c:pt>
                <c:pt idx="3">
                  <c:v>286.93620614555493</c:v>
                </c:pt>
                <c:pt idx="4">
                  <c:v>17366.84679137772</c:v>
                </c:pt>
                <c:pt idx="5">
                  <c:v>28688.419319237139</c:v>
                </c:pt>
                <c:pt idx="6">
                  <c:v>103457.08827476171</c:v>
                </c:pt>
                <c:pt idx="7">
                  <c:v>887.69983565239102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11035</v>
      </c>
      <c r="B6" s="390"/>
      <c r="C6" s="391"/>
    </row>
    <row r="7" spans="1:7" s="388" customFormat="1" ht="15.75" customHeight="1">
      <c r="A7" s="392" t="str">
        <f>txtMunicipality</f>
        <v>RANST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0.20132935413325978</v>
      </c>
      <c r="C17" s="498">
        <f ca="1">'EF ele_warmte'!B22</f>
        <v>0.19948126680570022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0.20132935413325978</v>
      </c>
      <c r="C29" s="499">
        <f ca="1">'EF ele_warmte'!B22</f>
        <v>0.19948126680570022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7604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1443.74</v>
      </c>
      <c r="C14" s="330"/>
      <c r="D14" s="330"/>
      <c r="E14" s="330"/>
      <c r="F14" s="330"/>
    </row>
    <row r="15" spans="1:6">
      <c r="A15" s="1293" t="s">
        <v>183</v>
      </c>
      <c r="B15" s="1294">
        <v>1111</v>
      </c>
      <c r="C15" s="330"/>
      <c r="D15" s="330"/>
      <c r="E15" s="330"/>
      <c r="F15" s="330"/>
    </row>
    <row r="16" spans="1:6">
      <c r="A16" s="1293" t="s">
        <v>6</v>
      </c>
      <c r="B16" s="1294">
        <v>333</v>
      </c>
      <c r="C16" s="330"/>
      <c r="D16" s="330"/>
      <c r="E16" s="330"/>
      <c r="F16" s="330"/>
    </row>
    <row r="17" spans="1:6">
      <c r="A17" s="1293" t="s">
        <v>7</v>
      </c>
      <c r="B17" s="1294">
        <v>203</v>
      </c>
      <c r="C17" s="330"/>
      <c r="D17" s="330"/>
      <c r="E17" s="330"/>
      <c r="F17" s="330"/>
    </row>
    <row r="18" spans="1:6">
      <c r="A18" s="1293" t="s">
        <v>8</v>
      </c>
      <c r="B18" s="1294">
        <v>338</v>
      </c>
      <c r="C18" s="330"/>
      <c r="D18" s="330"/>
      <c r="E18" s="330"/>
      <c r="F18" s="330"/>
    </row>
    <row r="19" spans="1:6">
      <c r="A19" s="1293" t="s">
        <v>9</v>
      </c>
      <c r="B19" s="1294">
        <v>349</v>
      </c>
      <c r="C19" s="330"/>
      <c r="D19" s="330"/>
      <c r="E19" s="330"/>
      <c r="F19" s="330"/>
    </row>
    <row r="20" spans="1:6">
      <c r="A20" s="1293" t="s">
        <v>10</v>
      </c>
      <c r="B20" s="1294">
        <v>245</v>
      </c>
      <c r="C20" s="330"/>
      <c r="D20" s="330"/>
      <c r="E20" s="330"/>
      <c r="F20" s="330"/>
    </row>
    <row r="21" spans="1:6">
      <c r="A21" s="1293" t="s">
        <v>11</v>
      </c>
      <c r="B21" s="1294">
        <v>470</v>
      </c>
      <c r="C21" s="330"/>
      <c r="D21" s="330"/>
      <c r="E21" s="330"/>
      <c r="F21" s="330"/>
    </row>
    <row r="22" spans="1:6">
      <c r="A22" s="1293" t="s">
        <v>12</v>
      </c>
      <c r="B22" s="1294">
        <v>4010</v>
      </c>
      <c r="C22" s="330"/>
      <c r="D22" s="330"/>
      <c r="E22" s="330"/>
      <c r="F22" s="330"/>
    </row>
    <row r="23" spans="1:6">
      <c r="A23" s="1293" t="s">
        <v>13</v>
      </c>
      <c r="B23" s="1294">
        <v>53</v>
      </c>
      <c r="C23" s="330"/>
      <c r="D23" s="330"/>
      <c r="E23" s="330"/>
      <c r="F23" s="330"/>
    </row>
    <row r="24" spans="1:6">
      <c r="A24" s="1293" t="s">
        <v>14</v>
      </c>
      <c r="B24" s="1294">
        <v>2</v>
      </c>
      <c r="C24" s="330"/>
      <c r="D24" s="330"/>
      <c r="E24" s="330"/>
      <c r="F24" s="330"/>
    </row>
    <row r="25" spans="1:6">
      <c r="A25" s="1293" t="s">
        <v>15</v>
      </c>
      <c r="B25" s="1294">
        <v>230</v>
      </c>
      <c r="C25" s="330"/>
      <c r="D25" s="330"/>
      <c r="E25" s="330"/>
      <c r="F25" s="330"/>
    </row>
    <row r="26" spans="1:6">
      <c r="A26" s="1293" t="s">
        <v>16</v>
      </c>
      <c r="B26" s="1294">
        <v>138</v>
      </c>
      <c r="C26" s="330"/>
      <c r="D26" s="330"/>
      <c r="E26" s="330"/>
      <c r="F26" s="330"/>
    </row>
    <row r="27" spans="1:6">
      <c r="A27" s="1293" t="s">
        <v>17</v>
      </c>
      <c r="B27" s="1294">
        <v>3</v>
      </c>
      <c r="C27" s="330"/>
      <c r="D27" s="330"/>
      <c r="E27" s="330"/>
      <c r="F27" s="330"/>
    </row>
    <row r="28" spans="1:6" s="43" customFormat="1">
      <c r="A28" s="1295" t="s">
        <v>18</v>
      </c>
      <c r="B28" s="1296">
        <v>79264</v>
      </c>
      <c r="C28" s="336"/>
      <c r="D28" s="336"/>
      <c r="E28" s="336"/>
      <c r="F28" s="336"/>
    </row>
    <row r="29" spans="1:6">
      <c r="A29" s="1295" t="s">
        <v>734</v>
      </c>
      <c r="B29" s="1296">
        <v>272</v>
      </c>
      <c r="C29" s="336"/>
      <c r="D29" s="336"/>
      <c r="E29" s="336"/>
      <c r="F29" s="336"/>
    </row>
    <row r="30" spans="1:6">
      <c r="A30" s="1288" t="s">
        <v>735</v>
      </c>
      <c r="B30" s="1297">
        <v>43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3</v>
      </c>
      <c r="F35" s="1294">
        <v>52858</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3</v>
      </c>
      <c r="D38" s="1294">
        <v>23148767.009805899</v>
      </c>
      <c r="E38" s="1294">
        <v>4</v>
      </c>
      <c r="F38" s="1294">
        <v>142514.20490376899</v>
      </c>
    </row>
    <row r="39" spans="1:6">
      <c r="A39" s="1293" t="s">
        <v>29</v>
      </c>
      <c r="B39" s="1293" t="s">
        <v>30</v>
      </c>
      <c r="C39" s="1294">
        <v>5688</v>
      </c>
      <c r="D39" s="1294">
        <v>102957691.52946401</v>
      </c>
      <c r="E39" s="1294">
        <v>7327</v>
      </c>
      <c r="F39" s="1294">
        <v>31034507.520197801</v>
      </c>
    </row>
    <row r="40" spans="1:6">
      <c r="A40" s="1293" t="s">
        <v>29</v>
      </c>
      <c r="B40" s="1293" t="s">
        <v>28</v>
      </c>
      <c r="C40" s="1294">
        <v>0</v>
      </c>
      <c r="D40" s="1294">
        <v>0</v>
      </c>
      <c r="E40" s="1294">
        <v>0</v>
      </c>
      <c r="F40" s="1294">
        <v>0</v>
      </c>
    </row>
    <row r="41" spans="1:6">
      <c r="A41" s="1293" t="s">
        <v>31</v>
      </c>
      <c r="B41" s="1293" t="s">
        <v>32</v>
      </c>
      <c r="C41" s="1294">
        <v>73</v>
      </c>
      <c r="D41" s="1294">
        <v>1869407.8032720899</v>
      </c>
      <c r="E41" s="1294">
        <v>179</v>
      </c>
      <c r="F41" s="1294">
        <v>1315692.9054910699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6</v>
      </c>
      <c r="D44" s="1294">
        <v>217475.70332408001</v>
      </c>
      <c r="E44" s="1294">
        <v>21</v>
      </c>
      <c r="F44" s="1294">
        <v>208401.17729560801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38</v>
      </c>
      <c r="D48" s="1294">
        <v>102593277.208875</v>
      </c>
      <c r="E48" s="1294">
        <v>43</v>
      </c>
      <c r="F48" s="1294">
        <v>32539680.765365001</v>
      </c>
    </row>
    <row r="49" spans="1:6">
      <c r="A49" s="1293" t="s">
        <v>31</v>
      </c>
      <c r="B49" s="1293" t="s">
        <v>39</v>
      </c>
      <c r="C49" s="1294">
        <v>0</v>
      </c>
      <c r="D49" s="1294">
        <v>0</v>
      </c>
      <c r="E49" s="1294">
        <v>0</v>
      </c>
      <c r="F49" s="1294">
        <v>0</v>
      </c>
    </row>
    <row r="50" spans="1:6">
      <c r="A50" s="1293" t="s">
        <v>31</v>
      </c>
      <c r="B50" s="1293" t="s">
        <v>40</v>
      </c>
      <c r="C50" s="1294">
        <v>9</v>
      </c>
      <c r="D50" s="1294">
        <v>711869.19785562798</v>
      </c>
      <c r="E50" s="1294">
        <v>9</v>
      </c>
      <c r="F50" s="1294">
        <v>376369.72303702403</v>
      </c>
    </row>
    <row r="51" spans="1:6">
      <c r="A51" s="1293" t="s">
        <v>41</v>
      </c>
      <c r="B51" s="1293" t="s">
        <v>42</v>
      </c>
      <c r="C51" s="1294">
        <v>19</v>
      </c>
      <c r="D51" s="1294">
        <v>49978191.438214101</v>
      </c>
      <c r="E51" s="1294">
        <v>107</v>
      </c>
      <c r="F51" s="1294">
        <v>2074585.8772463801</v>
      </c>
    </row>
    <row r="52" spans="1:6">
      <c r="A52" s="1293" t="s">
        <v>41</v>
      </c>
      <c r="B52" s="1293" t="s">
        <v>28</v>
      </c>
      <c r="C52" s="1294">
        <v>9</v>
      </c>
      <c r="D52" s="1294">
        <v>33907505.069007002</v>
      </c>
      <c r="E52" s="1294">
        <v>5</v>
      </c>
      <c r="F52" s="1294">
        <v>597768.15060736903</v>
      </c>
    </row>
    <row r="53" spans="1:6">
      <c r="A53" s="1293" t="s">
        <v>43</v>
      </c>
      <c r="B53" s="1293" t="s">
        <v>44</v>
      </c>
      <c r="C53" s="1294">
        <v>146</v>
      </c>
      <c r="D53" s="1294">
        <v>2597152.54719911</v>
      </c>
      <c r="E53" s="1294">
        <v>323</v>
      </c>
      <c r="F53" s="1294">
        <v>1138296.92781099</v>
      </c>
    </row>
    <row r="54" spans="1:6">
      <c r="A54" s="1293" t="s">
        <v>45</v>
      </c>
      <c r="B54" s="1293" t="s">
        <v>46</v>
      </c>
      <c r="C54" s="1294">
        <v>0</v>
      </c>
      <c r="D54" s="1294">
        <v>0</v>
      </c>
      <c r="E54" s="1294">
        <v>1</v>
      </c>
      <c r="F54" s="1294">
        <v>1425208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38</v>
      </c>
      <c r="D57" s="1294">
        <v>1223166.86329135</v>
      </c>
      <c r="E57" s="1294">
        <v>96</v>
      </c>
      <c r="F57" s="1294">
        <v>18542817.238541398</v>
      </c>
    </row>
    <row r="58" spans="1:6">
      <c r="A58" s="1293" t="s">
        <v>48</v>
      </c>
      <c r="B58" s="1293" t="s">
        <v>50</v>
      </c>
      <c r="C58" s="1294">
        <v>33</v>
      </c>
      <c r="D58" s="1294">
        <v>5996837.6413345998</v>
      </c>
      <c r="E58" s="1294">
        <v>37</v>
      </c>
      <c r="F58" s="1294">
        <v>235432.100782831</v>
      </c>
    </row>
    <row r="59" spans="1:6">
      <c r="A59" s="1293" t="s">
        <v>48</v>
      </c>
      <c r="B59" s="1293" t="s">
        <v>51</v>
      </c>
      <c r="C59" s="1294">
        <v>77</v>
      </c>
      <c r="D59" s="1294">
        <v>3576801.51594827</v>
      </c>
      <c r="E59" s="1294">
        <v>172</v>
      </c>
      <c r="F59" s="1294">
        <v>7440679.4566102596</v>
      </c>
    </row>
    <row r="60" spans="1:6">
      <c r="A60" s="1293" t="s">
        <v>48</v>
      </c>
      <c r="B60" s="1293" t="s">
        <v>52</v>
      </c>
      <c r="C60" s="1294">
        <v>45</v>
      </c>
      <c r="D60" s="1294">
        <v>2121345.6249073902</v>
      </c>
      <c r="E60" s="1294">
        <v>67</v>
      </c>
      <c r="F60" s="1294">
        <v>1318869.93245404</v>
      </c>
    </row>
    <row r="61" spans="1:6">
      <c r="A61" s="1293" t="s">
        <v>48</v>
      </c>
      <c r="B61" s="1293" t="s">
        <v>53</v>
      </c>
      <c r="C61" s="1294">
        <v>157</v>
      </c>
      <c r="D61" s="1294">
        <v>6692199.7560427804</v>
      </c>
      <c r="E61" s="1294">
        <v>330</v>
      </c>
      <c r="F61" s="1294">
        <v>5458854.0581136402</v>
      </c>
    </row>
    <row r="62" spans="1:6">
      <c r="A62" s="1293" t="s">
        <v>48</v>
      </c>
      <c r="B62" s="1293" t="s">
        <v>54</v>
      </c>
      <c r="C62" s="1294">
        <v>5</v>
      </c>
      <c r="D62" s="1294">
        <v>359010.73577688</v>
      </c>
      <c r="E62" s="1294">
        <v>12</v>
      </c>
      <c r="F62" s="1294">
        <v>110955.511669029</v>
      </c>
    </row>
    <row r="63" spans="1:6">
      <c r="A63" s="1293" t="s">
        <v>48</v>
      </c>
      <c r="B63" s="1293" t="s">
        <v>28</v>
      </c>
      <c r="C63" s="1294">
        <v>111</v>
      </c>
      <c r="D63" s="1294">
        <v>7768080.2975403797</v>
      </c>
      <c r="E63" s="1294">
        <v>108</v>
      </c>
      <c r="F63" s="1294">
        <v>6070281.17723272</v>
      </c>
    </row>
    <row r="64" spans="1:6">
      <c r="A64" s="1293" t="s">
        <v>55</v>
      </c>
      <c r="B64" s="1293" t="s">
        <v>56</v>
      </c>
      <c r="C64" s="1294">
        <v>0</v>
      </c>
      <c r="D64" s="1294">
        <v>0</v>
      </c>
      <c r="E64" s="1294">
        <v>0</v>
      </c>
      <c r="F64" s="1294">
        <v>0</v>
      </c>
    </row>
    <row r="65" spans="1:6">
      <c r="A65" s="1293" t="s">
        <v>55</v>
      </c>
      <c r="B65" s="1293" t="s">
        <v>28</v>
      </c>
      <c r="C65" s="1294">
        <v>5</v>
      </c>
      <c r="D65" s="1294">
        <v>216385.13025569901</v>
      </c>
      <c r="E65" s="1294">
        <v>5</v>
      </c>
      <c r="F65" s="1294">
        <v>14552.832811765</v>
      </c>
    </row>
    <row r="66" spans="1:6">
      <c r="A66" s="1293" t="s">
        <v>55</v>
      </c>
      <c r="B66" s="1293" t="s">
        <v>57</v>
      </c>
      <c r="C66" s="1294">
        <v>0</v>
      </c>
      <c r="D66" s="1294">
        <v>0</v>
      </c>
      <c r="E66" s="1294">
        <v>13</v>
      </c>
      <c r="F66" s="1294">
        <v>551215.70148722897</v>
      </c>
    </row>
    <row r="67" spans="1:6">
      <c r="A67" s="1295" t="s">
        <v>55</v>
      </c>
      <c r="B67" s="1295" t="s">
        <v>58</v>
      </c>
      <c r="C67" s="1294">
        <v>0</v>
      </c>
      <c r="D67" s="1294">
        <v>0</v>
      </c>
      <c r="E67" s="1294">
        <v>0</v>
      </c>
      <c r="F67" s="1294">
        <v>0</v>
      </c>
    </row>
    <row r="68" spans="1:6">
      <c r="A68" s="1288" t="s">
        <v>55</v>
      </c>
      <c r="B68" s="1288" t="s">
        <v>59</v>
      </c>
      <c r="C68" s="1297">
        <v>5</v>
      </c>
      <c r="D68" s="1297">
        <v>187312.97295558901</v>
      </c>
      <c r="E68" s="1297">
        <v>25</v>
      </c>
      <c r="F68" s="1297">
        <v>347783.37623768602</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95797063</v>
      </c>
      <c r="E73" s="449"/>
      <c r="F73" s="330"/>
    </row>
    <row r="74" spans="1:6">
      <c r="A74" s="1293" t="s">
        <v>63</v>
      </c>
      <c r="B74" s="1293" t="s">
        <v>656</v>
      </c>
      <c r="C74" s="1307" t="s">
        <v>658</v>
      </c>
      <c r="D74" s="1308">
        <v>8023691</v>
      </c>
      <c r="E74" s="449"/>
      <c r="F74" s="330"/>
    </row>
    <row r="75" spans="1:6">
      <c r="A75" s="1293" t="s">
        <v>64</v>
      </c>
      <c r="B75" s="1293" t="s">
        <v>655</v>
      </c>
      <c r="C75" s="1307" t="s">
        <v>659</v>
      </c>
      <c r="D75" s="1308">
        <v>9796636</v>
      </c>
      <c r="E75" s="449"/>
      <c r="F75" s="330"/>
    </row>
    <row r="76" spans="1:6">
      <c r="A76" s="1293" t="s">
        <v>64</v>
      </c>
      <c r="B76" s="1293" t="s">
        <v>656</v>
      </c>
      <c r="C76" s="1307" t="s">
        <v>660</v>
      </c>
      <c r="D76" s="1308">
        <v>36069.300000000003</v>
      </c>
      <c r="E76" s="449"/>
      <c r="F76" s="330"/>
    </row>
    <row r="77" spans="1:6">
      <c r="A77" s="1293" t="s">
        <v>65</v>
      </c>
      <c r="B77" s="1293" t="s">
        <v>655</v>
      </c>
      <c r="C77" s="1307" t="s">
        <v>661</v>
      </c>
      <c r="D77" s="1308">
        <v>255243556</v>
      </c>
      <c r="E77" s="449"/>
      <c r="F77" s="330"/>
    </row>
    <row r="78" spans="1:6">
      <c r="A78" s="1288" t="s">
        <v>65</v>
      </c>
      <c r="B78" s="1288" t="s">
        <v>656</v>
      </c>
      <c r="C78" s="1288" t="s">
        <v>662</v>
      </c>
      <c r="D78" s="1309">
        <v>57746426</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958252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4294.1754240261262</v>
      </c>
      <c r="C91" s="330"/>
      <c r="D91" s="330"/>
      <c r="E91" s="330"/>
      <c r="F91" s="330"/>
    </row>
    <row r="92" spans="1:6">
      <c r="A92" s="1288" t="s">
        <v>68</v>
      </c>
      <c r="B92" s="1289">
        <v>1198.1432179917847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3910</v>
      </c>
      <c r="C97" s="330"/>
      <c r="D97" s="330"/>
      <c r="E97" s="330"/>
      <c r="F97" s="330"/>
    </row>
    <row r="98" spans="1:6">
      <c r="A98" s="1293" t="s">
        <v>71</v>
      </c>
      <c r="B98" s="1294">
        <v>3</v>
      </c>
      <c r="C98" s="330"/>
      <c r="D98" s="330"/>
      <c r="E98" s="330"/>
      <c r="F98" s="330"/>
    </row>
    <row r="99" spans="1:6">
      <c r="A99" s="1293" t="s">
        <v>72</v>
      </c>
      <c r="B99" s="1294">
        <v>58</v>
      </c>
      <c r="C99" s="330"/>
      <c r="D99" s="330"/>
      <c r="E99" s="330"/>
      <c r="F99" s="330"/>
    </row>
    <row r="100" spans="1:6">
      <c r="A100" s="1293" t="s">
        <v>73</v>
      </c>
      <c r="B100" s="1294">
        <v>755</v>
      </c>
      <c r="C100" s="330"/>
      <c r="D100" s="330"/>
      <c r="E100" s="330"/>
      <c r="F100" s="330"/>
    </row>
    <row r="101" spans="1:6">
      <c r="A101" s="1293" t="s">
        <v>74</v>
      </c>
      <c r="B101" s="1294">
        <v>168</v>
      </c>
      <c r="C101" s="330"/>
      <c r="D101" s="330"/>
      <c r="E101" s="330"/>
      <c r="F101" s="330"/>
    </row>
    <row r="102" spans="1:6">
      <c r="A102" s="1293" t="s">
        <v>75</v>
      </c>
      <c r="B102" s="1294">
        <v>70</v>
      </c>
      <c r="C102" s="330"/>
      <c r="D102" s="330"/>
      <c r="E102" s="330"/>
      <c r="F102" s="330"/>
    </row>
    <row r="103" spans="1:6">
      <c r="A103" s="1293" t="s">
        <v>76</v>
      </c>
      <c r="B103" s="1294">
        <v>164</v>
      </c>
      <c r="C103" s="330"/>
      <c r="D103" s="330"/>
      <c r="E103" s="330"/>
      <c r="F103" s="330"/>
    </row>
    <row r="104" spans="1:6">
      <c r="A104" s="1293" t="s">
        <v>77</v>
      </c>
      <c r="B104" s="1294">
        <v>1316</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1</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51</v>
      </c>
      <c r="C123" s="1294">
        <v>33</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176</v>
      </c>
      <c r="C129" s="330"/>
      <c r="D129" s="330"/>
      <c r="E129" s="330"/>
      <c r="F129" s="330"/>
    </row>
    <row r="130" spans="1:6">
      <c r="A130" s="1293" t="s">
        <v>294</v>
      </c>
      <c r="B130" s="1294">
        <v>1</v>
      </c>
      <c r="C130" s="330"/>
      <c r="D130" s="330"/>
      <c r="E130" s="330"/>
      <c r="F130" s="330"/>
    </row>
    <row r="131" spans="1:6">
      <c r="A131" s="1293" t="s">
        <v>295</v>
      </c>
      <c r="B131" s="1294">
        <v>1</v>
      </c>
      <c r="C131" s="330"/>
      <c r="D131" s="330"/>
      <c r="E131" s="330"/>
      <c r="F131" s="330"/>
    </row>
    <row r="132" spans="1:6">
      <c r="A132" s="1288" t="s">
        <v>296</v>
      </c>
      <c r="B132" s="1289">
        <v>36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114303.25284453166</v>
      </c>
      <c r="C3" s="43" t="s">
        <v>169</v>
      </c>
      <c r="D3" s="43"/>
      <c r="E3" s="154"/>
      <c r="F3" s="43"/>
      <c r="G3" s="43"/>
      <c r="H3" s="43"/>
      <c r="I3" s="43"/>
      <c r="J3" s="43"/>
      <c r="K3" s="96"/>
    </row>
    <row r="4" spans="1:11">
      <c r="A4" s="358" t="s">
        <v>170</v>
      </c>
      <c r="B4" s="49">
        <f>IF(ISERROR('SEAP template'!B78+'SEAP template'!C78),0,'SEAP template'!B78+'SEAP template'!C78)</f>
        <v>53572.118642017915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9591.0194117647079</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0.20132935413325978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13701.45630252101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68685.42857142858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0.19948126680570022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1425.2080000000001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1425.2080000000001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0.20132935413325978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286.93620614555493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31034.5075201978</v>
      </c>
      <c r="C5" s="17">
        <f>IF(ISERROR('Eigen informatie GS &amp; warmtenet'!B57),0,'Eigen informatie GS &amp; warmtenet'!B57)</f>
        <v>0</v>
      </c>
      <c r="D5" s="30">
        <f>(SUM(HH_hh_gas_kWh,HH_rest_gas_kWh)/1000)*0.902</f>
        <v>92867.837759576534</v>
      </c>
      <c r="E5" s="17">
        <f>B46*B57</f>
        <v>5717.89433178526</v>
      </c>
      <c r="F5" s="17">
        <f>B51*B62</f>
        <v>0</v>
      </c>
      <c r="G5" s="18"/>
      <c r="H5" s="17"/>
      <c r="I5" s="17"/>
      <c r="J5" s="17">
        <f>B50*B61+C50*C61</f>
        <v>0</v>
      </c>
      <c r="K5" s="17"/>
      <c r="L5" s="17"/>
      <c r="M5" s="17"/>
      <c r="N5" s="17">
        <f>B48*B59+C48*C59</f>
        <v>22827.250309447423</v>
      </c>
      <c r="O5" s="17">
        <f>B69*B70*B71</f>
        <v>326.73666666666668</v>
      </c>
      <c r="P5" s="17">
        <f>B77*B78*B79/1000-B77*B78*B79/1000/B80</f>
        <v>1658.8</v>
      </c>
    </row>
    <row r="6" spans="1:16">
      <c r="A6" s="16" t="s">
        <v>620</v>
      </c>
      <c r="B6" s="762">
        <f>kWh_PV_kleiner_dan_10kW</f>
        <v>4294.1754240261262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35328.682944223925</v>
      </c>
      <c r="C8" s="21">
        <f>C5</f>
        <v>0</v>
      </c>
      <c r="D8" s="21">
        <f>D5</f>
        <v>92867.837759576534</v>
      </c>
      <c r="E8" s="21">
        <f>E5</f>
        <v>5717.89433178526</v>
      </c>
      <c r="F8" s="21">
        <f>F5</f>
        <v>0</v>
      </c>
      <c r="G8" s="21"/>
      <c r="H8" s="21"/>
      <c r="I8" s="21"/>
      <c r="J8" s="21">
        <f>J5</f>
        <v>0</v>
      </c>
      <c r="K8" s="21"/>
      <c r="L8" s="21">
        <f>L5</f>
        <v>0</v>
      </c>
      <c r="M8" s="21">
        <f>M5</f>
        <v>0</v>
      </c>
      <c r="N8" s="21">
        <f>N5</f>
        <v>22827.250309447423</v>
      </c>
      <c r="O8" s="21">
        <f>O5</f>
        <v>326.73666666666668</v>
      </c>
      <c r="P8" s="21">
        <f>P5</f>
        <v>1658.8</v>
      </c>
    </row>
    <row r="9" spans="1:16">
      <c r="B9" s="19"/>
      <c r="C9" s="19"/>
      <c r="D9" s="258"/>
      <c r="E9" s="19"/>
      <c r="F9" s="19"/>
      <c r="G9" s="19"/>
      <c r="H9" s="19"/>
      <c r="I9" s="19"/>
      <c r="J9" s="19"/>
      <c r="K9" s="19"/>
      <c r="L9" s="19"/>
      <c r="M9" s="19"/>
      <c r="N9" s="19"/>
      <c r="O9" s="19"/>
      <c r="P9" s="19"/>
    </row>
    <row r="10" spans="1:16">
      <c r="A10" s="24" t="s">
        <v>213</v>
      </c>
      <c r="B10" s="25">
        <f ca="1">'EF ele_warmte'!B12</f>
        <v>0.20132935413325978</v>
      </c>
      <c r="C10" s="25">
        <f ca="1">'EF ele_warmte'!B22</f>
        <v>0.19948126680570022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7112.700919539313</v>
      </c>
      <c r="C12" s="23">
        <f ca="1">C10*C8</f>
        <v>0</v>
      </c>
      <c r="D12" s="23">
        <f>D8*D10</f>
        <v>18759.303227434462</v>
      </c>
      <c r="E12" s="23">
        <f>E10*E8</f>
        <v>1297.9620133152541</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3910</v>
      </c>
      <c r="C18" s="166" t="s">
        <v>110</v>
      </c>
      <c r="D18" s="228"/>
      <c r="E18" s="15"/>
    </row>
    <row r="19" spans="1:7">
      <c r="A19" s="171" t="s">
        <v>71</v>
      </c>
      <c r="B19" s="37">
        <f>aantalw2001_ander</f>
        <v>3</v>
      </c>
      <c r="C19" s="166" t="s">
        <v>110</v>
      </c>
      <c r="D19" s="229"/>
      <c r="E19" s="15"/>
    </row>
    <row r="20" spans="1:7">
      <c r="A20" s="171" t="s">
        <v>72</v>
      </c>
      <c r="B20" s="37">
        <f>aantalw2001_propaan</f>
        <v>58</v>
      </c>
      <c r="C20" s="167">
        <f>IF(ISERROR(B20/SUM($B$20,$B$21,$B$22)*100),0,B20/SUM($B$20,$B$21,$B$22)*100)</f>
        <v>5.9123343527013255</v>
      </c>
      <c r="D20" s="229"/>
      <c r="E20" s="15"/>
    </row>
    <row r="21" spans="1:7">
      <c r="A21" s="171" t="s">
        <v>73</v>
      </c>
      <c r="B21" s="37">
        <f>aantalw2001_elektriciteit</f>
        <v>755</v>
      </c>
      <c r="C21" s="167">
        <f>IF(ISERROR(B21/SUM($B$20,$B$21,$B$22)*100),0,B21/SUM($B$20,$B$21,$B$22)*100)</f>
        <v>76.962283384301728</v>
      </c>
      <c r="D21" s="229"/>
      <c r="E21" s="15"/>
    </row>
    <row r="22" spans="1:7">
      <c r="A22" s="171" t="s">
        <v>74</v>
      </c>
      <c r="B22" s="37">
        <f>aantalw2001_hout</f>
        <v>168</v>
      </c>
      <c r="C22" s="167">
        <f>IF(ISERROR(B22/SUM($B$20,$B$21,$B$22)*100),0,B22/SUM($B$20,$B$21,$B$22)*100)</f>
        <v>17.12538226299694</v>
      </c>
      <c r="D22" s="229"/>
      <c r="E22" s="15"/>
    </row>
    <row r="23" spans="1:7">
      <c r="A23" s="171" t="s">
        <v>75</v>
      </c>
      <c r="B23" s="37">
        <f>aantalw2001_niet_gespec</f>
        <v>70</v>
      </c>
      <c r="C23" s="166" t="s">
        <v>110</v>
      </c>
      <c r="D23" s="228"/>
      <c r="E23" s="15"/>
    </row>
    <row r="24" spans="1:7">
      <c r="A24" s="171" t="s">
        <v>76</v>
      </c>
      <c r="B24" s="37">
        <f>aantalw2001_steenkool</f>
        <v>164</v>
      </c>
      <c r="C24" s="166" t="s">
        <v>110</v>
      </c>
      <c r="D24" s="229"/>
      <c r="E24" s="15"/>
    </row>
    <row r="25" spans="1:7">
      <c r="A25" s="171" t="s">
        <v>77</v>
      </c>
      <c r="B25" s="37">
        <f>aantalw2001_stookolie</f>
        <v>1316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7604</v>
      </c>
      <c r="C28" s="36"/>
      <c r="D28" s="228"/>
    </row>
    <row r="29" spans="1:7" s="15" customFormat="1">
      <c r="A29" s="230" t="s">
        <v>781</v>
      </c>
      <c r="B29" s="37">
        <f>SUM(HH_hh_gas_aantal,HH_rest_gas_aantal)</f>
        <v>5688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5688</v>
      </c>
      <c r="C32" s="167">
        <f>IF(ISERROR(B32/SUM($B$32,$B$34,$B$35,$B$36,$B$38,$B$39)*100),0,B32/SUM($B$32,$B$34,$B$35,$B$36,$B$38,$B$39)*100)</f>
        <v>75.668484767859525</v>
      </c>
      <c r="D32" s="233"/>
      <c r="G32" s="15"/>
    </row>
    <row r="33" spans="1:7">
      <c r="A33" s="171" t="s">
        <v>71</v>
      </c>
      <c r="B33" s="34" t="s">
        <v>110</v>
      </c>
      <c r="C33" s="167"/>
      <c r="D33" s="233"/>
      <c r="G33" s="15"/>
    </row>
    <row r="34" spans="1:7">
      <c r="A34" s="171" t="s">
        <v>72</v>
      </c>
      <c r="B34" s="33">
        <f>IF((($B$28-$B$32-$B$39-$B$77-$B$38)*C20/100)&lt;0,0,($B$28-$B$32-$B$39-$B$77-$B$38)*C20/100)</f>
        <v>108.13659531090725</v>
      </c>
      <c r="C34" s="167">
        <f>IF(ISERROR(B34/SUM($B$32,$B$34,$B$35,$B$36,$B$38,$B$39)*100),0,B34/SUM($B$32,$B$34,$B$35,$B$36,$B$38,$B$39)*100)</f>
        <v>1.4385605336025975</v>
      </c>
      <c r="D34" s="233"/>
      <c r="G34" s="15"/>
    </row>
    <row r="35" spans="1:7">
      <c r="A35" s="171" t="s">
        <v>73</v>
      </c>
      <c r="B35" s="33">
        <f>IF((($B$28-$B$32-$B$39-$B$77-$B$38)*C21/100)&lt;0,0,($B$28-$B$32-$B$39-$B$77-$B$38)*C21/100)</f>
        <v>1407.6401630988787</v>
      </c>
      <c r="C35" s="167">
        <f>IF(ISERROR(B35/SUM($B$32,$B$34,$B$35,$B$36,$B$38,$B$39)*100),0,B35/SUM($B$32,$B$34,$B$35,$B$36,$B$38,$B$39)*100)</f>
        <v>18.726089704654498</v>
      </c>
      <c r="D35" s="233"/>
      <c r="G35" s="15"/>
    </row>
    <row r="36" spans="1:7">
      <c r="A36" s="171" t="s">
        <v>74</v>
      </c>
      <c r="B36" s="33">
        <f>IF((($B$28-$B$32-$B$39-$B$77-$B$38)*C22/100)&lt;0,0,($B$28-$B$32-$B$39-$B$77-$B$38)*C22/100)</f>
        <v>313.223241590214</v>
      </c>
      <c r="C36" s="167">
        <f>IF(ISERROR(B36/SUM($B$32,$B$34,$B$35,$B$36,$B$38,$B$39)*100),0,B36/SUM($B$32,$B$34,$B$35,$B$36,$B$38,$B$39)*100)</f>
        <v>4.1668649938833848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5688</v>
      </c>
      <c r="C44" s="34" t="s">
        <v>110</v>
      </c>
      <c r="D44" s="174"/>
    </row>
    <row r="45" spans="1:7">
      <c r="A45" s="171" t="s">
        <v>71</v>
      </c>
      <c r="B45" s="33" t="str">
        <f t="shared" si="0"/>
        <v>-</v>
      </c>
      <c r="C45" s="34" t="s">
        <v>110</v>
      </c>
      <c r="D45" s="174"/>
    </row>
    <row r="46" spans="1:7">
      <c r="A46" s="171" t="s">
        <v>72</v>
      </c>
      <c r="B46" s="33">
        <f t="shared" si="0"/>
        <v>108.13659531090725</v>
      </c>
      <c r="C46" s="34" t="s">
        <v>110</v>
      </c>
      <c r="D46" s="174"/>
    </row>
    <row r="47" spans="1:7">
      <c r="A47" s="171" t="s">
        <v>73</v>
      </c>
      <c r="B47" s="33">
        <f t="shared" si="0"/>
        <v>1407.6401630988787</v>
      </c>
      <c r="C47" s="34" t="s">
        <v>110</v>
      </c>
      <c r="D47" s="174"/>
    </row>
    <row r="48" spans="1:7">
      <c r="A48" s="171" t="s">
        <v>74</v>
      </c>
      <c r="B48" s="33">
        <f t="shared" si="0"/>
        <v>313.223241590214</v>
      </c>
      <c r="C48" s="33">
        <f>B48*10</f>
        <v>3132.23241590214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39177.889475403921</v>
      </c>
      <c r="C5" s="17">
        <f>IF(ISERROR('Eigen informatie GS &amp; warmtenet'!B58),0,'Eigen informatie GS &amp; warmtenet'!B58)</f>
        <v>0</v>
      </c>
      <c r="D5" s="30">
        <f>SUM(D6:D12)</f>
        <v>25019.173076227169</v>
      </c>
      <c r="E5" s="17">
        <f>SUM(E6:E12)</f>
        <v>387.96463885319383</v>
      </c>
      <c r="F5" s="17">
        <f>SUM(F6:F12)</f>
        <v>8376.2180735605052</v>
      </c>
      <c r="G5" s="18"/>
      <c r="H5" s="17"/>
      <c r="I5" s="17"/>
      <c r="J5" s="17">
        <f>SUM(J6:J12)</f>
        <v>0.41719121547558713</v>
      </c>
      <c r="K5" s="17"/>
      <c r="L5" s="17"/>
      <c r="M5" s="17"/>
      <c r="N5" s="17">
        <f>SUM(N6:N12)</f>
        <v>16353.756669967335</v>
      </c>
      <c r="O5" s="17">
        <f>B38*B39*B40</f>
        <v>1.5633333333333335</v>
      </c>
      <c r="P5" s="17">
        <f>B46*B47*B48/1000-B46*B47*B48/1000/B49</f>
        <v>19.066666666666666</v>
      </c>
      <c r="R5" s="32"/>
    </row>
    <row r="6" spans="1:18">
      <c r="A6" s="32" t="s">
        <v>53</v>
      </c>
      <c r="B6" s="37">
        <f>B26</f>
        <v>5458.8540581136403</v>
      </c>
      <c r="C6" s="33"/>
      <c r="D6" s="37">
        <f>IF(ISERROR(TER_kantoor_gas_kWh/1000),0,TER_kantoor_gas_kWh/1000)*0.902</f>
        <v>6036.3641799505886</v>
      </c>
      <c r="E6" s="33">
        <f>$C$26*'E Balans VL '!I12/100/3.6*1000000</f>
        <v>3.4214281649840292E-2</v>
      </c>
      <c r="F6" s="33">
        <f>$C$26*('E Balans VL '!L12+'E Balans VL '!N12)/100/3.6*1000000</f>
        <v>820.31323000426642</v>
      </c>
      <c r="G6" s="34"/>
      <c r="H6" s="33"/>
      <c r="I6" s="33"/>
      <c r="J6" s="33">
        <f>$C$26*('E Balans VL '!D12+'E Balans VL '!E12)/100/3.6*1000000</f>
        <v>0</v>
      </c>
      <c r="K6" s="33"/>
      <c r="L6" s="33"/>
      <c r="M6" s="33"/>
      <c r="N6" s="33">
        <f>$C$26*'E Balans VL '!Y12/100/3.6*1000000</f>
        <v>5.2205845426486128</v>
      </c>
      <c r="O6" s="33"/>
      <c r="P6" s="33"/>
      <c r="R6" s="32"/>
    </row>
    <row r="7" spans="1:18">
      <c r="A7" s="32" t="s">
        <v>52</v>
      </c>
      <c r="B7" s="37">
        <f t="shared" ref="B7:B12" si="0">B27</f>
        <v>1318.8699324540401</v>
      </c>
      <c r="C7" s="33"/>
      <c r="D7" s="37">
        <f>IF(ISERROR(TER_horeca_gas_kWh/1000),0,TER_horeca_gas_kWh/1000)*0.902</f>
        <v>1913.4537536664659</v>
      </c>
      <c r="E7" s="33">
        <f>$C$27*'E Balans VL '!I9/100/3.6*1000000</f>
        <v>18.885997750947947</v>
      </c>
      <c r="F7" s="33">
        <f>$C$27*('E Balans VL '!L9+'E Balans VL '!N9)/100/3.6*1000000</f>
        <v>167.01243145485208</v>
      </c>
      <c r="G7" s="34"/>
      <c r="H7" s="33"/>
      <c r="I7" s="33"/>
      <c r="J7" s="33">
        <f>$C$27*('E Balans VL '!D9+'E Balans VL '!E9)/100/3.6*1000000</f>
        <v>0</v>
      </c>
      <c r="K7" s="33"/>
      <c r="L7" s="33"/>
      <c r="M7" s="33"/>
      <c r="N7" s="33">
        <f>$C$27*'E Balans VL '!Y9/100/3.6*1000000</f>
        <v>0.37914602699462202</v>
      </c>
      <c r="O7" s="33"/>
      <c r="P7" s="33"/>
      <c r="R7" s="32"/>
    </row>
    <row r="8" spans="1:18">
      <c r="A8" s="6" t="s">
        <v>51</v>
      </c>
      <c r="B8" s="37">
        <f t="shared" si="0"/>
        <v>7440.6794566102599</v>
      </c>
      <c r="C8" s="33"/>
      <c r="D8" s="37">
        <f>IF(ISERROR(TER_handel_gas_kWh/1000),0,TER_handel_gas_kWh/1000)*0.902</f>
        <v>3226.27496738534</v>
      </c>
      <c r="E8" s="33">
        <f>$C$28*'E Balans VL '!I13/100/3.6*1000000</f>
        <v>269.87252634777099</v>
      </c>
      <c r="F8" s="33">
        <f>$C$28*('E Balans VL '!L13+'E Balans VL '!N13)/100/3.6*1000000</f>
        <v>1433.1502050127085</v>
      </c>
      <c r="G8" s="34"/>
      <c r="H8" s="33"/>
      <c r="I8" s="33"/>
      <c r="J8" s="33">
        <f>$C$28*('E Balans VL '!D13+'E Balans VL '!E13)/100/3.6*1000000</f>
        <v>0</v>
      </c>
      <c r="K8" s="33"/>
      <c r="L8" s="33"/>
      <c r="M8" s="33"/>
      <c r="N8" s="33">
        <f>$C$28*'E Balans VL '!Y13/100/3.6*1000000</f>
        <v>10.307053071394195</v>
      </c>
      <c r="O8" s="33"/>
      <c r="P8" s="33"/>
      <c r="R8" s="32"/>
    </row>
    <row r="9" spans="1:18">
      <c r="A9" s="32" t="s">
        <v>50</v>
      </c>
      <c r="B9" s="37">
        <f t="shared" si="0"/>
        <v>235.43210078283099</v>
      </c>
      <c r="C9" s="33"/>
      <c r="D9" s="37">
        <f>IF(ISERROR(TER_gezond_gas_kWh/1000),0,TER_gezond_gas_kWh/1000)*0.902</f>
        <v>5409.1475524838088</v>
      </c>
      <c r="E9" s="33">
        <f>$C$29*'E Balans VL '!I10/100/3.6*1000000</f>
        <v>1.4740373981060291E-2</v>
      </c>
      <c r="F9" s="33">
        <f>$C$29*('E Balans VL '!L10+'E Balans VL '!N10)/100/3.6*1000000</f>
        <v>34.974155393769863</v>
      </c>
      <c r="G9" s="34"/>
      <c r="H9" s="33"/>
      <c r="I9" s="33"/>
      <c r="J9" s="33">
        <f>$C$29*('E Balans VL '!D10+'E Balans VL '!E10)/100/3.6*1000000</f>
        <v>0</v>
      </c>
      <c r="K9" s="33"/>
      <c r="L9" s="33"/>
      <c r="M9" s="33"/>
      <c r="N9" s="33">
        <f>$C$29*'E Balans VL '!Y10/100/3.6*1000000</f>
        <v>3.6416864521646803</v>
      </c>
      <c r="O9" s="33"/>
      <c r="P9" s="33"/>
      <c r="R9" s="32"/>
    </row>
    <row r="10" spans="1:18">
      <c r="A10" s="32" t="s">
        <v>49</v>
      </c>
      <c r="B10" s="37">
        <f t="shared" si="0"/>
        <v>18542.8172385414</v>
      </c>
      <c r="C10" s="33"/>
      <c r="D10" s="37">
        <f>IF(ISERROR(TER_ander_gas_kWh/1000),0,TER_ander_gas_kWh/1000)*0.902</f>
        <v>1103.2965106887978</v>
      </c>
      <c r="E10" s="33">
        <f>$C$30*'E Balans VL '!I14/100/3.6*1000000</f>
        <v>22.102375540014378</v>
      </c>
      <c r="F10" s="33">
        <f>$C$30*('E Balans VL '!L14+'E Balans VL '!N14)/100/3.6*1000000</f>
        <v>4851.6253385099026</v>
      </c>
      <c r="G10" s="34"/>
      <c r="H10" s="33"/>
      <c r="I10" s="33"/>
      <c r="J10" s="33">
        <f>$C$30*('E Balans VL '!D14+'E Balans VL '!E14)/100/3.6*1000000</f>
        <v>0.40249187641215711</v>
      </c>
      <c r="K10" s="33"/>
      <c r="L10" s="33"/>
      <c r="M10" s="33"/>
      <c r="N10" s="33">
        <f>$C$30*'E Balans VL '!Y14/100/3.6*1000000</f>
        <v>15746.106662618324</v>
      </c>
      <c r="O10" s="33"/>
      <c r="P10" s="33"/>
      <c r="R10" s="32"/>
    </row>
    <row r="11" spans="1:18">
      <c r="A11" s="32" t="s">
        <v>54</v>
      </c>
      <c r="B11" s="37">
        <f t="shared" si="0"/>
        <v>110.95551166902901</v>
      </c>
      <c r="C11" s="33"/>
      <c r="D11" s="37">
        <f>IF(ISERROR(TER_onderwijs_gas_kWh/1000),0,TER_onderwijs_gas_kWh/1000)*0.902</f>
        <v>323.82768367074573</v>
      </c>
      <c r="E11" s="33">
        <f>$C$31*'E Balans VL '!I11/100/3.6*1000000</f>
        <v>1.6741399602405451</v>
      </c>
      <c r="F11" s="33">
        <f>$C$31*('E Balans VL '!L11+'E Balans VL '!N11)/100/3.6*1000000</f>
        <v>19.441178211446072</v>
      </c>
      <c r="G11" s="34"/>
      <c r="H11" s="33"/>
      <c r="I11" s="33"/>
      <c r="J11" s="33">
        <f>$C$31*('E Balans VL '!D11+'E Balans VL '!E11)/100/3.6*1000000</f>
        <v>0</v>
      </c>
      <c r="K11" s="33"/>
      <c r="L11" s="33"/>
      <c r="M11" s="33"/>
      <c r="N11" s="33">
        <f>$C$31*'E Balans VL '!Y11/100/3.6*1000000</f>
        <v>0.31223724499587135</v>
      </c>
      <c r="O11" s="33"/>
      <c r="P11" s="33"/>
      <c r="R11" s="32"/>
    </row>
    <row r="12" spans="1:18">
      <c r="A12" s="32" t="s">
        <v>259</v>
      </c>
      <c r="B12" s="37">
        <f t="shared" si="0"/>
        <v>6070.2811772327195</v>
      </c>
      <c r="C12" s="33"/>
      <c r="D12" s="37">
        <f>IF(ISERROR(TER_rest_gas_kWh/1000),0,TER_rest_gas_kWh/1000)*0.902</f>
        <v>7006.8084283814223</v>
      </c>
      <c r="E12" s="33">
        <f>$C$32*'E Balans VL '!I8/100/3.6*1000000</f>
        <v>75.380644598589058</v>
      </c>
      <c r="F12" s="33">
        <f>$C$32*('E Balans VL '!L8+'E Balans VL '!N8)/100/3.6*1000000</f>
        <v>1049.7015349735605</v>
      </c>
      <c r="G12" s="34"/>
      <c r="H12" s="33"/>
      <c r="I12" s="33"/>
      <c r="J12" s="33">
        <f>$C$32*('E Balans VL '!D8+'E Balans VL '!E8)/100/3.6*1000000</f>
        <v>1.4699339063430036E-2</v>
      </c>
      <c r="K12" s="33"/>
      <c r="L12" s="33"/>
      <c r="M12" s="33"/>
      <c r="N12" s="33">
        <f>$C$32*'E Balans VL '!Y8/100/3.6*1000000</f>
        <v>587.78930001081324</v>
      </c>
      <c r="O12" s="33"/>
      <c r="P12" s="33"/>
      <c r="R12" s="32"/>
    </row>
    <row r="13" spans="1:18">
      <c r="A13" s="16" t="s">
        <v>487</v>
      </c>
      <c r="B13" s="247">
        <f ca="1">'lokale energieproductie'!N45+'lokale energieproductie'!N38</f>
        <v>0</v>
      </c>
      <c r="C13" s="247">
        <f ca="1">'lokale energieproductie'!O45+'lokale energieproductie'!O38</f>
        <v>0</v>
      </c>
      <c r="D13" s="308">
        <f ca="1">('lokale energieproductie'!P38+'lokale energieproductie'!P45)*(-1)</f>
        <v>0</v>
      </c>
      <c r="E13" s="248"/>
      <c r="F13" s="308">
        <f ca="1">('lokale energieproductie'!S38+'lokale energieproductie'!S45)*(-1)</f>
        <v>0</v>
      </c>
      <c r="G13" s="249"/>
      <c r="H13" s="248"/>
      <c r="I13" s="248"/>
      <c r="J13" s="248"/>
      <c r="K13" s="248"/>
      <c r="L13" s="308">
        <f ca="1">('lokale energieproductie'!U38+'lokale energieproductie'!T38+'lokale energieproductie'!U45+'lokale energieproductie'!T45)*(-1)</f>
        <v>0</v>
      </c>
      <c r="M13" s="248"/>
      <c r="N13" s="308">
        <f ca="1">('lokale energieproductie'!Q38+'lokale energieproductie'!R38+'lokale energieproductie'!V38+'lokale energieproductie'!Q45+'lokale energieproductie'!R45+'lokale energieproductie'!V45)*(-1)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39177.889475403921</v>
      </c>
      <c r="C16" s="21">
        <f t="shared" ca="1" si="1"/>
        <v>0</v>
      </c>
      <c r="D16" s="21">
        <f t="shared" ca="1" si="1"/>
        <v>25019.173076227169</v>
      </c>
      <c r="E16" s="21">
        <f t="shared" si="1"/>
        <v>387.96463885319383</v>
      </c>
      <c r="F16" s="21">
        <f t="shared" ca="1" si="1"/>
        <v>8376.2180735605052</v>
      </c>
      <c r="G16" s="21">
        <f t="shared" si="1"/>
        <v>0</v>
      </c>
      <c r="H16" s="21">
        <f t="shared" si="1"/>
        <v>0</v>
      </c>
      <c r="I16" s="21">
        <f t="shared" si="1"/>
        <v>0</v>
      </c>
      <c r="J16" s="21">
        <f t="shared" si="1"/>
        <v>0.41719121547558713</v>
      </c>
      <c r="K16" s="21">
        <f t="shared" si="1"/>
        <v>0</v>
      </c>
      <c r="L16" s="21">
        <f t="shared" ca="1" si="1"/>
        <v>0</v>
      </c>
      <c r="M16" s="21">
        <f t="shared" si="1"/>
        <v>0</v>
      </c>
      <c r="N16" s="21">
        <f t="shared" ca="1" si="1"/>
        <v>16353.756669967335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0.20132935413325978</v>
      </c>
      <c r="C18" s="25">
        <f ca="1">'EF ele_warmte'!B22</f>
        <v>0.19948126680570022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7887.6591843873075</v>
      </c>
      <c r="C20" s="23">
        <f t="shared" ref="C20:P20" ca="1" si="2">C16*C18</f>
        <v>0</v>
      </c>
      <c r="D20" s="23">
        <f t="shared" ca="1" si="2"/>
        <v>5053.8729613978885</v>
      </c>
      <c r="E20" s="23">
        <f t="shared" si="2"/>
        <v>88.067973019675009</v>
      </c>
      <c r="F20" s="23">
        <f t="shared" ca="1" si="2"/>
        <v>2236.4502256406549</v>
      </c>
      <c r="G20" s="23">
        <f t="shared" si="2"/>
        <v>0</v>
      </c>
      <c r="H20" s="23">
        <f t="shared" si="2"/>
        <v>0</v>
      </c>
      <c r="I20" s="23">
        <f t="shared" si="2"/>
        <v>0</v>
      </c>
      <c r="J20" s="23">
        <f t="shared" si="2"/>
        <v>0.14768569027835785</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5458.8540581136403</v>
      </c>
      <c r="C26" s="39">
        <f>IF(ISERROR(B26*3.6/1000000/'E Balans VL '!Z12*100),0,B26*3.6/1000000/'E Balans VL '!Z12*100)</f>
        <v>0.11539152726519002</v>
      </c>
      <c r="D26" s="237" t="s">
        <v>744</v>
      </c>
      <c r="F26" s="6"/>
    </row>
    <row r="27" spans="1:18">
      <c r="A27" s="231" t="s">
        <v>52</v>
      </c>
      <c r="B27" s="33">
        <f>IF(ISERROR(TER_horeca_ele_kWh/1000),0,TER_horeca_ele_kWh/1000)</f>
        <v>1318.8699324540401</v>
      </c>
      <c r="C27" s="39">
        <f>IF(ISERROR(B27*3.6/1000000/'E Balans VL '!Z9*100),0,B27*3.6/1000000/'E Balans VL '!Z9*100)</f>
        <v>0.10396602520743271</v>
      </c>
      <c r="D27" s="237" t="s">
        <v>744</v>
      </c>
      <c r="F27" s="6"/>
    </row>
    <row r="28" spans="1:18">
      <c r="A28" s="171" t="s">
        <v>51</v>
      </c>
      <c r="B28" s="33">
        <f>IF(ISERROR(TER_handel_ele_kWh/1000),0,TER_handel_ele_kWh/1000)</f>
        <v>7440.6794566102599</v>
      </c>
      <c r="C28" s="39">
        <f>IF(ISERROR(B28*3.6/1000000/'E Balans VL '!Z13*100),0,B28*3.6/1000000/'E Balans VL '!Z13*100)</f>
        <v>0.21595858154465714</v>
      </c>
      <c r="D28" s="237" t="s">
        <v>744</v>
      </c>
      <c r="F28" s="6"/>
    </row>
    <row r="29" spans="1:18">
      <c r="A29" s="231" t="s">
        <v>50</v>
      </c>
      <c r="B29" s="33">
        <f>IF(ISERROR(TER_gezond_ele_kWh/1000),0,TER_gezond_ele_kWh/1000)</f>
        <v>235.43210078283099</v>
      </c>
      <c r="C29" s="39">
        <f>IF(ISERROR(B29*3.6/1000000/'E Balans VL '!Z10*100),0,B29*3.6/1000000/'E Balans VL '!Z10*100)</f>
        <v>2.4794866109571698E-2</v>
      </c>
      <c r="D29" s="237" t="s">
        <v>744</v>
      </c>
      <c r="F29" s="6"/>
    </row>
    <row r="30" spans="1:18">
      <c r="A30" s="231" t="s">
        <v>49</v>
      </c>
      <c r="B30" s="33">
        <f>IF(ISERROR(TER_ander_ele_kWh/1000),0,TER_ander_ele_kWh/1000)</f>
        <v>18542.8172385414</v>
      </c>
      <c r="C30" s="39">
        <f>IF(ISERROR(B30*3.6/1000000/'E Balans VL '!Z14*100),0,B30*3.6/1000000/'E Balans VL '!Z14*100)</f>
        <v>1.3677222269946838</v>
      </c>
      <c r="D30" s="237" t="s">
        <v>744</v>
      </c>
      <c r="F30" s="6"/>
    </row>
    <row r="31" spans="1:18">
      <c r="A31" s="231" t="s">
        <v>54</v>
      </c>
      <c r="B31" s="33">
        <f>IF(ISERROR(TER_onderwijs_ele_kWh/1000),0,TER_onderwijs_ele_kWh/1000)</f>
        <v>110.95551166902901</v>
      </c>
      <c r="C31" s="39">
        <f>IF(ISERROR(B31*3.6/1000000/'E Balans VL '!Z11*100),0,B31*3.6/1000000/'E Balans VL '!Z11*100)</f>
        <v>2.7555451009675738E-2</v>
      </c>
      <c r="D31" s="237" t="s">
        <v>744</v>
      </c>
    </row>
    <row r="32" spans="1:18">
      <c r="A32" s="231" t="s">
        <v>259</v>
      </c>
      <c r="B32" s="33">
        <f>IF(ISERROR(TER_rest_ele_kWh/1000),0,TER_rest_ele_kWh/1000)</f>
        <v>6070.2811772327195</v>
      </c>
      <c r="C32" s="39">
        <f>IF(ISERROR(B32*3.6/1000000/'E Balans VL '!Z8*100),0,B32*3.6/1000000/'E Balans VL '!Z8*100)</f>
        <v>4.9950356609426531E-2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34440.144571188699</v>
      </c>
      <c r="C5" s="17">
        <f>IF(ISERROR('Eigen informatie GS &amp; warmtenet'!B59),0,'Eigen informatie GS &amp; warmtenet'!B59)</f>
        <v>0</v>
      </c>
      <c r="D5" s="30">
        <f>SUM(D6:D15)</f>
        <v>95063.610981820777</v>
      </c>
      <c r="E5" s="17">
        <f>SUM(E6:E15)</f>
        <v>2184.0240152108922</v>
      </c>
      <c r="F5" s="17">
        <f>SUM(F6:F15)</f>
        <v>7545.8667321996345</v>
      </c>
      <c r="G5" s="18"/>
      <c r="H5" s="17"/>
      <c r="I5" s="17"/>
      <c r="J5" s="17">
        <f>SUM(J6:J15)</f>
        <v>116.49143837754967</v>
      </c>
      <c r="K5" s="17"/>
      <c r="L5" s="17"/>
      <c r="M5" s="17"/>
      <c r="N5" s="17">
        <f>SUM(N6:N15)</f>
        <v>2416.2572674444364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208.40117729560802</v>
      </c>
      <c r="C8" s="33"/>
      <c r="D8" s="37">
        <f>IF( ISERROR(IND_metaal_Gas_kWH/1000),0,IND_metaal_Gas_kWH/1000)*0.902</f>
        <v>196.16308439832017</v>
      </c>
      <c r="E8" s="33">
        <f>C30*'E Balans VL '!I18/100/3.6*1000000</f>
        <v>1.9160475494619456</v>
      </c>
      <c r="F8" s="33">
        <f>C30*'E Balans VL '!L18/100/3.6*1000000+C30*'E Balans VL '!N18/100/3.6*1000000</f>
        <v>19.541092052801481</v>
      </c>
      <c r="G8" s="34"/>
      <c r="H8" s="33"/>
      <c r="I8" s="33"/>
      <c r="J8" s="40">
        <f>C30*'E Balans VL '!D18/100/3.6*1000000+C30*'E Balans VL '!E18/100/3.6*1000000</f>
        <v>0</v>
      </c>
      <c r="K8" s="33"/>
      <c r="L8" s="33"/>
      <c r="M8" s="33"/>
      <c r="N8" s="33">
        <f>C30*'E Balans VL '!Y18/100/3.6*1000000</f>
        <v>2.973187191570267</v>
      </c>
      <c r="O8" s="33"/>
      <c r="P8" s="33"/>
      <c r="R8" s="32"/>
    </row>
    <row r="9" spans="1:18">
      <c r="A9" s="6" t="s">
        <v>32</v>
      </c>
      <c r="B9" s="37">
        <f t="shared" si="0"/>
        <v>1315.69290549107</v>
      </c>
      <c r="C9" s="33"/>
      <c r="D9" s="37">
        <f>IF( ISERROR(IND_andere_gas_kWh/1000),0,IND_andere_gas_kWh/1000)*0.902</f>
        <v>1686.2058385514251</v>
      </c>
      <c r="E9" s="33">
        <f>C31*'E Balans VL '!I19/100/3.6*1000000</f>
        <v>384.60264979481252</v>
      </c>
      <c r="F9" s="33">
        <f>C31*'E Balans VL '!L19/100/3.6*1000000+C31*'E Balans VL '!N19/100/3.6*1000000</f>
        <v>1057.2588383642117</v>
      </c>
      <c r="G9" s="34"/>
      <c r="H9" s="33"/>
      <c r="I9" s="33"/>
      <c r="J9" s="40">
        <f>C31*'E Balans VL '!D19/100/3.6*1000000+C31*'E Balans VL '!E19/100/3.6*1000000</f>
        <v>0</v>
      </c>
      <c r="K9" s="33"/>
      <c r="L9" s="33"/>
      <c r="M9" s="33"/>
      <c r="N9" s="33">
        <f>C31*'E Balans VL '!Y19/100/3.6*1000000</f>
        <v>103.20116457357264</v>
      </c>
      <c r="O9" s="33"/>
      <c r="P9" s="33"/>
      <c r="R9" s="32"/>
    </row>
    <row r="10" spans="1:18">
      <c r="A10" s="6" t="s">
        <v>40</v>
      </c>
      <c r="B10" s="37">
        <f t="shared" si="0"/>
        <v>376.36972303702402</v>
      </c>
      <c r="C10" s="33"/>
      <c r="D10" s="37">
        <f>IF( ISERROR(IND_voed_gas_kWh/1000),0,IND_voed_gas_kWh/1000)*0.902</f>
        <v>642.10601646577641</v>
      </c>
      <c r="E10" s="33">
        <f>C32*'E Balans VL '!I20/100/3.6*1000000</f>
        <v>0.79621598476649713</v>
      </c>
      <c r="F10" s="33">
        <f>C32*'E Balans VL '!L20/100/3.6*1000000+C32*'E Balans VL '!N20/100/3.6*1000000</f>
        <v>23.929971441092235</v>
      </c>
      <c r="G10" s="34"/>
      <c r="H10" s="33"/>
      <c r="I10" s="33"/>
      <c r="J10" s="40">
        <f>C32*'E Balans VL '!D20/100/3.6*1000000+C32*'E Balans VL '!E20/100/3.6*1000000</f>
        <v>0</v>
      </c>
      <c r="K10" s="33"/>
      <c r="L10" s="33"/>
      <c r="M10" s="33"/>
      <c r="N10" s="33">
        <f>C32*'E Balans VL '!Y20/100/3.6*1000000</f>
        <v>25.973224996734238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32539.680765364999</v>
      </c>
      <c r="C15" s="33"/>
      <c r="D15" s="37">
        <f>IF( ISERROR(IND_rest_gas_kWh/1000),0,IND_rest_gas_kWh/1000)*0.902</f>
        <v>92539.136042405255</v>
      </c>
      <c r="E15" s="33">
        <f>C37*'E Balans VL '!I15/100/3.6*1000000</f>
        <v>1796.7091018818514</v>
      </c>
      <c r="F15" s="33">
        <f>C37*'E Balans VL '!L15/100/3.6*1000000+C37*'E Balans VL '!N15/100/3.6*1000000</f>
        <v>6445.1368303415293</v>
      </c>
      <c r="G15" s="34"/>
      <c r="H15" s="33"/>
      <c r="I15" s="33"/>
      <c r="J15" s="40">
        <f>C37*'E Balans VL '!D15/100/3.6*1000000+C37*'E Balans VL '!E15/100/3.6*1000000</f>
        <v>116.49143837754967</v>
      </c>
      <c r="K15" s="33"/>
      <c r="L15" s="33"/>
      <c r="M15" s="33"/>
      <c r="N15" s="33">
        <f>C37*'E Balans VL '!Y15/100/3.6*1000000</f>
        <v>2284.1096906825592</v>
      </c>
      <c r="O15" s="33"/>
      <c r="P15" s="33"/>
      <c r="R15" s="32"/>
    </row>
    <row r="16" spans="1:18">
      <c r="A16" s="16" t="s">
        <v>487</v>
      </c>
      <c r="B16" s="247">
        <f>'lokale energieproductie'!N44+'lokale energieproductie'!N37</f>
        <v>0</v>
      </c>
      <c r="C16" s="247">
        <f>'lokale energieproductie'!O44+'lokale energieproductie'!O37</f>
        <v>0</v>
      </c>
      <c r="D16" s="308">
        <f>('lokale energieproductie'!P37+'lokale energieproductie'!P44)*(-1)</f>
        <v>0</v>
      </c>
      <c r="E16" s="248"/>
      <c r="F16" s="308">
        <f>('lokale energieproductie'!S37+'lokale energieproductie'!S44)*(-1)</f>
        <v>0</v>
      </c>
      <c r="G16" s="249"/>
      <c r="H16" s="248"/>
      <c r="I16" s="248"/>
      <c r="J16" s="248"/>
      <c r="K16" s="248"/>
      <c r="L16" s="308">
        <f>('lokale energieproductie'!T37+'lokale energieproductie'!U37+'lokale energieproductie'!T44+'lokale energieproductie'!U44)*(-1)</f>
        <v>0</v>
      </c>
      <c r="M16" s="248"/>
      <c r="N16" s="308">
        <f>('lokale energieproductie'!Q37+'lokale energieproductie'!R37+'lokale energieproductie'!V37+'lokale energieproductie'!Q44+'lokale energieproductie'!R44+'lokale energieproductie'!V44)*(-1)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34440.144571188699</v>
      </c>
      <c r="C18" s="21">
        <f>C5+C16</f>
        <v>0</v>
      </c>
      <c r="D18" s="21">
        <f>MAX((D5+D16),0)</f>
        <v>95063.610981820777</v>
      </c>
      <c r="E18" s="21">
        <f>MAX((E5+E16),0)</f>
        <v>2184.0240152108922</v>
      </c>
      <c r="F18" s="21">
        <f>MAX((F5+F16),0)</f>
        <v>7545.8667321996345</v>
      </c>
      <c r="G18" s="21"/>
      <c r="H18" s="21"/>
      <c r="I18" s="21"/>
      <c r="J18" s="21">
        <f>MAX((J5+J16),0)</f>
        <v>116.49143837754967</v>
      </c>
      <c r="K18" s="21"/>
      <c r="L18" s="21">
        <f>MAX((L5+L16),0)</f>
        <v>0</v>
      </c>
      <c r="M18" s="21"/>
      <c r="N18" s="21">
        <f>MAX((N5+N16),0)</f>
        <v>2416.2572674444364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0.20132935413325978</v>
      </c>
      <c r="C20" s="25">
        <f ca="1">'EF ele_warmte'!B22</f>
        <v>0.19948126680570022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6933.8120627735143</v>
      </c>
      <c r="C22" s="23">
        <f ca="1">C18*C20</f>
        <v>0</v>
      </c>
      <c r="D22" s="23">
        <f>D18*D20</f>
        <v>19202.849418327798</v>
      </c>
      <c r="E22" s="23">
        <f>E18*E20</f>
        <v>495.77345145287256</v>
      </c>
      <c r="F22" s="23">
        <f>F18*F20</f>
        <v>2014.7464174973024</v>
      </c>
      <c r="G22" s="23"/>
      <c r="H22" s="23"/>
      <c r="I22" s="23"/>
      <c r="J22" s="23">
        <f>J18*J20</f>
        <v>41.237969185652581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208.40117729560802</v>
      </c>
      <c r="C30" s="39">
        <f>IF(ISERROR(B30*3.6/1000000/'E Balans VL '!Z18*100),0,B30*3.6/1000000/'E Balans VL '!Z18*100)</f>
        <v>1.1810629092911442E-2</v>
      </c>
      <c r="D30" s="237" t="s">
        <v>744</v>
      </c>
    </row>
    <row r="31" spans="1:18">
      <c r="A31" s="6" t="s">
        <v>32</v>
      </c>
      <c r="B31" s="37">
        <f>IF( ISERROR(IND_ander_ele_kWh/1000),0,IND_ander_ele_kWh/1000)</f>
        <v>1315.69290549107</v>
      </c>
      <c r="C31" s="39">
        <f>IF(ISERROR(B31*3.6/1000000/'E Balans VL '!Z19*100),0,B31*3.6/1000000/'E Balans VL '!Z19*100)</f>
        <v>5.9674351743167223E-2</v>
      </c>
      <c r="D31" s="237" t="s">
        <v>744</v>
      </c>
    </row>
    <row r="32" spans="1:18">
      <c r="A32" s="171" t="s">
        <v>40</v>
      </c>
      <c r="B32" s="37">
        <f>IF( ISERROR(IND_voed_ele_kWh/1000),0,IND_voed_ele_kWh/1000)</f>
        <v>376.36972303702402</v>
      </c>
      <c r="C32" s="39">
        <f>IF(ISERROR(B32*3.6/1000000/'E Balans VL '!Z20*100),0,B32*3.6/1000000/'E Balans VL '!Z20*100)</f>
        <v>1.1642824107813428E-2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32539.680765364999</v>
      </c>
      <c r="C37" s="39">
        <f>IF(ISERROR(B37*3.6/1000000/'E Balans VL '!Z15*100),0,B37*3.6/1000000/'E Balans VL '!Z15*100)</f>
        <v>0.25791693259412635</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2672.3540278537494</v>
      </c>
      <c r="C5" s="17">
        <f>'Eigen informatie GS &amp; warmtenet'!B60</f>
        <v>0</v>
      </c>
      <c r="D5" s="30">
        <f>IF(ISERROR(SUM(LB_lb_gas_kWh,LB_rest_gas_kWh)/1000),0,SUM(LB_lb_gas_kWh,LB_rest_gas_kWh)/1000)*0.902</f>
        <v>75664.898249513441</v>
      </c>
      <c r="E5" s="17">
        <f>B17*'E Balans VL '!I25/3.6*1000000/100</f>
        <v>78.548647189928957</v>
      </c>
      <c r="F5" s="17">
        <f>B17*('E Balans VL '!L25/3.6*1000000+'E Balans VL '!N25/3.6*1000000)/100</f>
        <v>11132.882473606611</v>
      </c>
      <c r="G5" s="18"/>
      <c r="H5" s="17"/>
      <c r="I5" s="17"/>
      <c r="J5" s="17">
        <f>('E Balans VL '!D25+'E Balans VL '!E25)/3.6*1000000*landbouw!B17/100</f>
        <v>387.16670917632945</v>
      </c>
      <c r="K5" s="17"/>
      <c r="L5" s="17">
        <f>L6*(-1)</f>
        <v>0</v>
      </c>
      <c r="M5" s="17"/>
      <c r="N5" s="17">
        <f>N6*(-1)</f>
        <v>22061.571428571431</v>
      </c>
      <c r="O5" s="17"/>
      <c r="P5" s="17"/>
      <c r="R5" s="32"/>
    </row>
    <row r="6" spans="1:18">
      <c r="A6" s="16" t="s">
        <v>487</v>
      </c>
      <c r="B6" s="17" t="s">
        <v>210</v>
      </c>
      <c r="C6" s="17">
        <f>'lokale energieproductie'!O46+'lokale energieproductie'!O39</f>
        <v>68685.42857142858</v>
      </c>
      <c r="D6" s="308">
        <f>('lokale energieproductie'!P39+'lokale energieproductie'!P46)*(-1)</f>
        <v>-115309.28571428572</v>
      </c>
      <c r="E6" s="248"/>
      <c r="F6" s="308">
        <f>('lokale energieproductie'!S39+'lokale energieproductie'!S46)*(-1)</f>
        <v>0</v>
      </c>
      <c r="G6" s="249"/>
      <c r="H6" s="248"/>
      <c r="I6" s="248"/>
      <c r="J6" s="248"/>
      <c r="K6" s="248"/>
      <c r="L6" s="308">
        <f>('lokale energieproductie'!T39+'lokale energieproductie'!U39+'lokale energieproductie'!T46+'lokale energieproductie'!U46)*(-1)</f>
        <v>0</v>
      </c>
      <c r="M6" s="248"/>
      <c r="N6" s="308">
        <f>('lokale energieproductie'!V39+'lokale energieproductie'!R39+'lokale energieproductie'!Q39+'lokale energieproductie'!Q46+'lokale energieproductie'!R46+'lokale energieproductie'!V46)*(-1)</f>
        <v>-22061.571428571431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2672.3540278537494</v>
      </c>
      <c r="C8" s="21">
        <f>C5+C6</f>
        <v>68685.42857142858</v>
      </c>
      <c r="D8" s="21">
        <f>MAX((D5+D6),0)</f>
        <v>0</v>
      </c>
      <c r="E8" s="21">
        <f>MAX((E5+E6),0)</f>
        <v>78.548647189928957</v>
      </c>
      <c r="F8" s="21">
        <f>MAX((F5+F6),0)</f>
        <v>11132.882473606611</v>
      </c>
      <c r="G8" s="21"/>
      <c r="H8" s="21"/>
      <c r="I8" s="21"/>
      <c r="J8" s="21">
        <f>MAX((J5+J6),0)</f>
        <v>387.16670917632945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0.20132935413325978</v>
      </c>
      <c r="C10" s="31">
        <f ca="1">'EF ele_warmte'!B22</f>
        <v>0.19948126680570022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538.02331044321068</v>
      </c>
      <c r="C12" s="23">
        <f ca="1">C8*C10</f>
        <v>13701.45630252101</v>
      </c>
      <c r="D12" s="23">
        <f>D8*D10</f>
        <v>0</v>
      </c>
      <c r="E12" s="23">
        <f>E8*E10</f>
        <v>17.830542912113874</v>
      </c>
      <c r="F12" s="23">
        <f>F8*F10</f>
        <v>2972.4796204529653</v>
      </c>
      <c r="G12" s="23"/>
      <c r="H12" s="23"/>
      <c r="I12" s="23"/>
      <c r="J12" s="23">
        <f>J8*J10</f>
        <v>137.05701504842062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0.37921542080751575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126.10067154671742</v>
      </c>
      <c r="C26" s="247">
        <f>B26*'GWP N2O_CH4'!B5</f>
        <v>2648.1141024810659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46.31688621167477</v>
      </c>
      <c r="C27" s="247">
        <f>B27*'GWP N2O_CH4'!B5</f>
        <v>972.65461044517019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2.5513627574738451</v>
      </c>
      <c r="C28" s="247">
        <f>B28*'GWP N2O_CH4'!B4</f>
        <v>790.92245481689201</v>
      </c>
      <c r="D28" s="50"/>
    </row>
    <row r="29" spans="1:4">
      <c r="A29" s="41" t="s">
        <v>276</v>
      </c>
      <c r="B29" s="247">
        <f>B34*'ha_N2O bodem landbouw'!B4</f>
        <v>9.3933194934676933</v>
      </c>
      <c r="C29" s="247">
        <f>B29*'GWP N2O_CH4'!B4</f>
        <v>2911.9290429749849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2.1435231375902699E-3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4.3443683298136949E-4</v>
      </c>
      <c r="C5" s="437" t="s">
        <v>210</v>
      </c>
      <c r="D5" s="422">
        <f>SUM(D6:D11)</f>
        <v>1.0964190930357492E-3</v>
      </c>
      <c r="E5" s="422">
        <f>SUM(E6:E11)</f>
        <v>2.2005368924096821E-3</v>
      </c>
      <c r="F5" s="435" t="s">
        <v>210</v>
      </c>
      <c r="G5" s="422">
        <f>SUM(G6:G11)</f>
        <v>1.2130494084363146</v>
      </c>
      <c r="H5" s="422">
        <f>SUM(H6:H11)</f>
        <v>0.19177856352722941</v>
      </c>
      <c r="I5" s="437" t="s">
        <v>210</v>
      </c>
      <c r="J5" s="437" t="s">
        <v>210</v>
      </c>
      <c r="K5" s="437" t="s">
        <v>210</v>
      </c>
      <c r="L5" s="437" t="s">
        <v>210</v>
      </c>
      <c r="M5" s="422">
        <f>SUM(M6:M11)</f>
        <v>7.6518841324480752E-2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1.1533668456334069E-4</v>
      </c>
      <c r="C6" s="423"/>
      <c r="D6" s="865">
        <f>vkm_GW_PW*SUMIFS(TableVerdeelsleutelVkm[CNG],TableVerdeelsleutelVkm[Voertuigtype],"Lichte voertuigen")*SUMIFS(TableECFTransport[EnergieConsumptieFactor (PJ per km)],TableECFTransport[Index],CONCATENATE($A6,"_CNG_CNG"))</f>
        <v>2.8583246593018774E-4</v>
      </c>
      <c r="E6" s="865">
        <f>vkm_GW_PW*SUMIFS(TableVerdeelsleutelVkm[LPG],TableVerdeelsleutelVkm[Voertuigtype],"Lichte voertuigen")*SUMIFS(TableECFTransport[EnergieConsumptieFactor (PJ per km)],TableECFTransport[Index],CONCATENATE($A6,"_LPG_LPG"))</f>
        <v>4.9070296768634531E-4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0.15035851526704044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4.8564130003863872E-2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1.0214532978394898E-2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7.5381597011034529E-2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1.2609970006871216E-6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4.4042117188431654E-3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1.17948450686204E-5</v>
      </c>
      <c r="C8" s="423"/>
      <c r="D8" s="425">
        <f>vkm_NGW_PW*SUMIFS(TableVerdeelsleutelVkm[CNG],TableVerdeelsleutelVkm[Voertuigtype],"Lichte voertuigen")*SUMIFS(TableECFTransport[EnergieConsumptieFactor (PJ per km)],TableECFTransport[Index],CONCATENATE($A8,"_CNG_CNG"))</f>
        <v>4.9405897079385682E-5</v>
      </c>
      <c r="E8" s="425">
        <f>vkm_NGW_PW*SUMIFS(TableVerdeelsleutelVkm[LPG],TableVerdeelsleutelVkm[Voertuigtype],"Lichte voertuigen")*SUMIFS(TableECFTransport[EnergieConsumptieFactor (PJ per km)],TableECFTransport[Index],CONCATENATE($A8,"_LPG_LPG"))</f>
        <v>8.0547615502882331E-5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2.3215734503796066E-2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8.2096401178487731E-3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1.5980893352564706E-3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4.3597878522283668E-4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8.984189461478416E-9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2.5472352726583814E-5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3.0730530334940843E-4</v>
      </c>
      <c r="C10" s="423"/>
      <c r="D10" s="425">
        <f>vkm_SW_PW*SUMIFS(TableVerdeelsleutelVkm[CNG],TableVerdeelsleutelVkm[Voertuigtype],"Lichte voertuigen")*SUMIFS(TableECFTransport[EnergieConsumptieFactor (PJ per km)],TableECFTransport[Index],CONCATENATE($A10,"_CNG_CNG"))</f>
        <v>7.6118073002617577E-4</v>
      </c>
      <c r="E10" s="425">
        <f>vkm_SW_PW*SUMIFS(TableVerdeelsleutelVkm[LPG],TableVerdeelsleutelVkm[Voertuigtype],"Lichte voertuigen")*SUMIFS(TableECFTransport[EnergieConsumptieFactor (PJ per km)],TableECFTransport[Index],CONCATENATE($A10,"_LPG_LPG"))</f>
        <v>1.6292863092204546E-3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0.44663403086032438</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0.13499431015834065</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3.006912982193078E-2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0.51702355200889638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9.2132659859539634E-6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3.0207405117328848E-2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120.67689805038042</v>
      </c>
      <c r="C14" s="21"/>
      <c r="D14" s="21">
        <f t="shared" ref="D14:M14" si="0">((D5)*10^9/3600)+D12</f>
        <v>304.56085917659698</v>
      </c>
      <c r="E14" s="21">
        <f t="shared" si="0"/>
        <v>611.26024789157839</v>
      </c>
      <c r="F14" s="21"/>
      <c r="G14" s="21">
        <f t="shared" si="0"/>
        <v>336958.16901008738</v>
      </c>
      <c r="H14" s="21">
        <f t="shared" si="0"/>
        <v>53271.823202008163</v>
      </c>
      <c r="I14" s="21"/>
      <c r="J14" s="21"/>
      <c r="K14" s="21"/>
      <c r="L14" s="21"/>
      <c r="M14" s="21">
        <f t="shared" si="0"/>
        <v>21255.233701244655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0.20132935413325978</v>
      </c>
      <c r="C16" s="56">
        <f ca="1">'EF ele_warmte'!B22</f>
        <v>0.19948126680570022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24.295801943288325</v>
      </c>
      <c r="C18" s="23"/>
      <c r="D18" s="23">
        <f t="shared" ref="D18:M18" si="1">D14*D16</f>
        <v>61.521293553672592</v>
      </c>
      <c r="E18" s="23">
        <f t="shared" si="1"/>
        <v>138.75607627138831</v>
      </c>
      <c r="F18" s="23"/>
      <c r="G18" s="23">
        <f t="shared" si="1"/>
        <v>89967.831125693338</v>
      </c>
      <c r="H18" s="23">
        <f t="shared" si="1"/>
        <v>13264.683977300032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1.1968986548122125E-2</v>
      </c>
      <c r="H50" s="319">
        <f t="shared" si="2"/>
        <v>0</v>
      </c>
      <c r="I50" s="319">
        <f t="shared" si="2"/>
        <v>0</v>
      </c>
      <c r="J50" s="319">
        <f t="shared" si="2"/>
        <v>0</v>
      </c>
      <c r="K50" s="319">
        <f t="shared" si="2"/>
        <v>0</v>
      </c>
      <c r="L50" s="319">
        <f t="shared" si="2"/>
        <v>0</v>
      </c>
      <c r="M50" s="319">
        <f t="shared" si="2"/>
        <v>6.7973424750486977E-4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1.1968986548122125E-2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6.7973424750486977E-4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3324.7184855894793</v>
      </c>
      <c r="H54" s="21">
        <f t="shared" si="3"/>
        <v>0</v>
      </c>
      <c r="I54" s="21">
        <f t="shared" si="3"/>
        <v>0</v>
      </c>
      <c r="J54" s="21">
        <f t="shared" si="3"/>
        <v>0</v>
      </c>
      <c r="K54" s="21">
        <f t="shared" si="3"/>
        <v>0</v>
      </c>
      <c r="L54" s="21">
        <f t="shared" si="3"/>
        <v>0</v>
      </c>
      <c r="M54" s="21">
        <f t="shared" si="3"/>
        <v>188.81506875135273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0.20132935413325978</v>
      </c>
      <c r="C56" s="56">
        <f ca="1">'EF ele_warmte'!B22</f>
        <v>0.19948126680570022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887.69983565239102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40603.09747540392</v>
      </c>
      <c r="D10" s="979">
        <f ca="1">tertiair!C16</f>
        <v>0</v>
      </c>
      <c r="E10" s="979">
        <f ca="1">tertiair!D16</f>
        <v>25019.173076227169</v>
      </c>
      <c r="F10" s="979">
        <f>tertiair!E16</f>
        <v>387.96463885319383</v>
      </c>
      <c r="G10" s="979">
        <f ca="1">tertiair!F16</f>
        <v>8376.2180735605052</v>
      </c>
      <c r="H10" s="979">
        <f>tertiair!G16</f>
        <v>0</v>
      </c>
      <c r="I10" s="979">
        <f>tertiair!H16</f>
        <v>0</v>
      </c>
      <c r="J10" s="979">
        <f>tertiair!I16</f>
        <v>0</v>
      </c>
      <c r="K10" s="979">
        <f>tertiair!J16</f>
        <v>0.41719121547558713</v>
      </c>
      <c r="L10" s="979">
        <f>tertiair!K16</f>
        <v>0</v>
      </c>
      <c r="M10" s="979">
        <f ca="1">tertiair!L16</f>
        <v>0</v>
      </c>
      <c r="N10" s="979">
        <f>tertiair!M16</f>
        <v>0</v>
      </c>
      <c r="O10" s="979">
        <f ca="1">tertiair!N16</f>
        <v>16353.756669967335</v>
      </c>
      <c r="P10" s="979">
        <f>tertiair!O16</f>
        <v>1.5633333333333335</v>
      </c>
      <c r="Q10" s="980">
        <f>tertiair!P16</f>
        <v>19.066666666666666</v>
      </c>
      <c r="R10" s="674">
        <f ca="1">SUM(C10:Q10)</f>
        <v>90761.257125227596</v>
      </c>
      <c r="S10" s="67"/>
    </row>
    <row r="11" spans="1:19" s="447" customFormat="1">
      <c r="A11" s="783" t="s">
        <v>224</v>
      </c>
      <c r="B11" s="788"/>
      <c r="C11" s="979">
        <f>huishoudens!B8</f>
        <v>35328.682944223925</v>
      </c>
      <c r="D11" s="979">
        <f>huishoudens!C8</f>
        <v>0</v>
      </c>
      <c r="E11" s="979">
        <f>huishoudens!D8</f>
        <v>92867.837759576534</v>
      </c>
      <c r="F11" s="979">
        <f>huishoudens!E8</f>
        <v>5717.89433178526</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22827.250309447423</v>
      </c>
      <c r="P11" s="979">
        <f>huishoudens!O8</f>
        <v>326.73666666666668</v>
      </c>
      <c r="Q11" s="980">
        <f>huishoudens!P8</f>
        <v>1658.8</v>
      </c>
      <c r="R11" s="674">
        <f>SUM(C11:Q11)</f>
        <v>158727.20201169982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34440.144571188699</v>
      </c>
      <c r="D13" s="979">
        <f>industrie!C18</f>
        <v>0</v>
      </c>
      <c r="E13" s="979">
        <f>industrie!D18</f>
        <v>95063.610981820777</v>
      </c>
      <c r="F13" s="979">
        <f>industrie!E18</f>
        <v>2184.0240152108922</v>
      </c>
      <c r="G13" s="979">
        <f>industrie!F18</f>
        <v>7545.8667321996345</v>
      </c>
      <c r="H13" s="979">
        <f>industrie!G18</f>
        <v>0</v>
      </c>
      <c r="I13" s="979">
        <f>industrie!H18</f>
        <v>0</v>
      </c>
      <c r="J13" s="979">
        <f>industrie!I18</f>
        <v>0</v>
      </c>
      <c r="K13" s="979">
        <f>industrie!J18</f>
        <v>116.49143837754967</v>
      </c>
      <c r="L13" s="979">
        <f>industrie!K18</f>
        <v>0</v>
      </c>
      <c r="M13" s="979">
        <f>industrie!L18</f>
        <v>0</v>
      </c>
      <c r="N13" s="979">
        <f>industrie!M18</f>
        <v>0</v>
      </c>
      <c r="O13" s="979">
        <f>industrie!N18</f>
        <v>2416.2572674444364</v>
      </c>
      <c r="P13" s="979">
        <f>industrie!O18</f>
        <v>0</v>
      </c>
      <c r="Q13" s="980">
        <f>industrie!P18</f>
        <v>0</v>
      </c>
      <c r="R13" s="674">
        <f>SUM(C13:Q13)</f>
        <v>141766.395006242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110371.92499081654</v>
      </c>
      <c r="D16" s="706">
        <f t="shared" ref="D16:R16" ca="1" si="0">SUM(D9:D15)</f>
        <v>0</v>
      </c>
      <c r="E16" s="706">
        <f t="shared" ca="1" si="0"/>
        <v>212950.62181762449</v>
      </c>
      <c r="F16" s="706">
        <f t="shared" si="0"/>
        <v>8289.8829858493464</v>
      </c>
      <c r="G16" s="706">
        <f t="shared" ca="1" si="0"/>
        <v>15922.08480576014</v>
      </c>
      <c r="H16" s="706">
        <f t="shared" si="0"/>
        <v>0</v>
      </c>
      <c r="I16" s="706">
        <f t="shared" si="0"/>
        <v>0</v>
      </c>
      <c r="J16" s="706">
        <f t="shared" si="0"/>
        <v>0</v>
      </c>
      <c r="K16" s="706">
        <f t="shared" si="0"/>
        <v>116.90862959302525</v>
      </c>
      <c r="L16" s="706">
        <f t="shared" si="0"/>
        <v>0</v>
      </c>
      <c r="M16" s="706">
        <f t="shared" ca="1" si="0"/>
        <v>0</v>
      </c>
      <c r="N16" s="706">
        <f t="shared" si="0"/>
        <v>0</v>
      </c>
      <c r="O16" s="706">
        <f t="shared" ca="1" si="0"/>
        <v>41597.264246859195</v>
      </c>
      <c r="P16" s="706">
        <f t="shared" si="0"/>
        <v>328.3</v>
      </c>
      <c r="Q16" s="706">
        <f t="shared" si="0"/>
        <v>1677.8666666666666</v>
      </c>
      <c r="R16" s="706">
        <f t="shared" ca="1" si="0"/>
        <v>391254.85414316942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3324.7184855894793</v>
      </c>
      <c r="I19" s="979">
        <f>transport!H54</f>
        <v>0</v>
      </c>
      <c r="J19" s="979">
        <f>transport!I54</f>
        <v>0</v>
      </c>
      <c r="K19" s="979">
        <f>transport!J54</f>
        <v>0</v>
      </c>
      <c r="L19" s="979">
        <f>transport!K54</f>
        <v>0</v>
      </c>
      <c r="M19" s="979">
        <f>transport!L54</f>
        <v>0</v>
      </c>
      <c r="N19" s="979">
        <f>transport!M54</f>
        <v>188.81506875135273</v>
      </c>
      <c r="O19" s="979">
        <f>transport!N54</f>
        <v>0</v>
      </c>
      <c r="P19" s="979">
        <f>transport!O54</f>
        <v>0</v>
      </c>
      <c r="Q19" s="980">
        <f>transport!P54</f>
        <v>0</v>
      </c>
      <c r="R19" s="674">
        <f>SUM(C19:Q19)</f>
        <v>3513.5335543408319</v>
      </c>
      <c r="S19" s="67"/>
    </row>
    <row r="20" spans="1:19" s="447" customFormat="1">
      <c r="A20" s="783" t="s">
        <v>306</v>
      </c>
      <c r="B20" s="788"/>
      <c r="C20" s="979">
        <f>transport!B14</f>
        <v>120.67689805038042</v>
      </c>
      <c r="D20" s="979">
        <f>transport!C14</f>
        <v>0</v>
      </c>
      <c r="E20" s="979">
        <f>transport!D14</f>
        <v>304.56085917659698</v>
      </c>
      <c r="F20" s="979">
        <f>transport!E14</f>
        <v>611.26024789157839</v>
      </c>
      <c r="G20" s="979">
        <f>transport!F14</f>
        <v>0</v>
      </c>
      <c r="H20" s="979">
        <f>transport!G14</f>
        <v>336958.16901008738</v>
      </c>
      <c r="I20" s="979">
        <f>transport!H14</f>
        <v>53271.823202008163</v>
      </c>
      <c r="J20" s="979">
        <f>transport!I14</f>
        <v>0</v>
      </c>
      <c r="K20" s="979">
        <f>transport!J14</f>
        <v>0</v>
      </c>
      <c r="L20" s="979">
        <f>transport!K14</f>
        <v>0</v>
      </c>
      <c r="M20" s="979">
        <f>transport!L14</f>
        <v>0</v>
      </c>
      <c r="N20" s="979">
        <f>transport!M14</f>
        <v>21255.233701244655</v>
      </c>
      <c r="O20" s="979">
        <f>transport!N14</f>
        <v>0</v>
      </c>
      <c r="P20" s="979">
        <f>transport!O14</f>
        <v>0</v>
      </c>
      <c r="Q20" s="980">
        <f>transport!P14</f>
        <v>0</v>
      </c>
      <c r="R20" s="674">
        <f>SUM(C20:Q20)</f>
        <v>412521.72391845874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120.67689805038042</v>
      </c>
      <c r="D22" s="786">
        <f t="shared" ref="D22:R22" si="1">SUM(D18:D21)</f>
        <v>0</v>
      </c>
      <c r="E22" s="786">
        <f t="shared" si="1"/>
        <v>304.56085917659698</v>
      </c>
      <c r="F22" s="786">
        <f t="shared" si="1"/>
        <v>611.26024789157839</v>
      </c>
      <c r="G22" s="786">
        <f t="shared" si="1"/>
        <v>0</v>
      </c>
      <c r="H22" s="786">
        <f t="shared" si="1"/>
        <v>340282.88749567687</v>
      </c>
      <c r="I22" s="786">
        <f t="shared" si="1"/>
        <v>53271.823202008163</v>
      </c>
      <c r="J22" s="786">
        <f t="shared" si="1"/>
        <v>0</v>
      </c>
      <c r="K22" s="786">
        <f t="shared" si="1"/>
        <v>0</v>
      </c>
      <c r="L22" s="786">
        <f t="shared" si="1"/>
        <v>0</v>
      </c>
      <c r="M22" s="786">
        <f t="shared" si="1"/>
        <v>0</v>
      </c>
      <c r="N22" s="786">
        <f t="shared" si="1"/>
        <v>21444.048769996007</v>
      </c>
      <c r="O22" s="786">
        <f t="shared" si="1"/>
        <v>0</v>
      </c>
      <c r="P22" s="786">
        <f t="shared" si="1"/>
        <v>0</v>
      </c>
      <c r="Q22" s="786">
        <f t="shared" si="1"/>
        <v>0</v>
      </c>
      <c r="R22" s="786">
        <f t="shared" si="1"/>
        <v>416035.25747279957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2672.3540278537494</v>
      </c>
      <c r="D24" s="979">
        <f>+landbouw!C8</f>
        <v>68685.42857142858</v>
      </c>
      <c r="E24" s="979">
        <f>+landbouw!D8</f>
        <v>0</v>
      </c>
      <c r="F24" s="979">
        <f>+landbouw!E8</f>
        <v>78.548647189928957</v>
      </c>
      <c r="G24" s="979">
        <f>+landbouw!F8</f>
        <v>11132.882473606611</v>
      </c>
      <c r="H24" s="979">
        <f>+landbouw!G8</f>
        <v>0</v>
      </c>
      <c r="I24" s="979">
        <f>+landbouw!H8</f>
        <v>0</v>
      </c>
      <c r="J24" s="979">
        <f>+landbouw!I8</f>
        <v>0</v>
      </c>
      <c r="K24" s="979">
        <f>+landbouw!J8</f>
        <v>387.16670917632945</v>
      </c>
      <c r="L24" s="979">
        <f>+landbouw!K8</f>
        <v>0</v>
      </c>
      <c r="M24" s="979">
        <f>+landbouw!L8</f>
        <v>0</v>
      </c>
      <c r="N24" s="979">
        <f>+landbouw!M8</f>
        <v>0</v>
      </c>
      <c r="O24" s="979">
        <f>+landbouw!N8</f>
        <v>0</v>
      </c>
      <c r="P24" s="979">
        <f>+landbouw!O8</f>
        <v>0</v>
      </c>
      <c r="Q24" s="980">
        <f>+landbouw!P8</f>
        <v>0</v>
      </c>
      <c r="R24" s="674">
        <f>SUM(C24:Q24)</f>
        <v>82956.380429255209</v>
      </c>
      <c r="S24" s="67"/>
    </row>
    <row r="25" spans="1:19" s="447" customFormat="1" ht="15" thickBot="1">
      <c r="A25" s="805" t="s">
        <v>823</v>
      </c>
      <c r="B25" s="982"/>
      <c r="C25" s="983">
        <f>IF(Onbekend_ele_kWh="---",0,Onbekend_ele_kWh)/1000+IF(REST_rest_ele_kWh="---",0,REST_rest_ele_kWh)/1000</f>
        <v>1138.2969278109899</v>
      </c>
      <c r="D25" s="983"/>
      <c r="E25" s="983">
        <f>IF(onbekend_gas_kWh="---",0,onbekend_gas_kWh)/1000+IF(REST_rest_gas_kWh="---",0,REST_rest_gas_kWh)/1000</f>
        <v>2597.1525471991099</v>
      </c>
      <c r="F25" s="983"/>
      <c r="G25" s="983"/>
      <c r="H25" s="983"/>
      <c r="I25" s="983"/>
      <c r="J25" s="983"/>
      <c r="K25" s="983"/>
      <c r="L25" s="983"/>
      <c r="M25" s="983"/>
      <c r="N25" s="983"/>
      <c r="O25" s="983"/>
      <c r="P25" s="983"/>
      <c r="Q25" s="984"/>
      <c r="R25" s="674">
        <f>SUM(C25:Q25)</f>
        <v>3735.4494750100998</v>
      </c>
      <c r="S25" s="67"/>
    </row>
    <row r="26" spans="1:19" s="447" customFormat="1" ht="15.75" thickBot="1">
      <c r="A26" s="679" t="s">
        <v>824</v>
      </c>
      <c r="B26" s="791"/>
      <c r="C26" s="786">
        <f>SUM(C24:C25)</f>
        <v>3810.6509556647393</v>
      </c>
      <c r="D26" s="786">
        <f t="shared" ref="D26:R26" si="2">SUM(D24:D25)</f>
        <v>68685.42857142858</v>
      </c>
      <c r="E26" s="786">
        <f t="shared" si="2"/>
        <v>2597.1525471991099</v>
      </c>
      <c r="F26" s="786">
        <f t="shared" si="2"/>
        <v>78.548647189928957</v>
      </c>
      <c r="G26" s="786">
        <f t="shared" si="2"/>
        <v>11132.882473606611</v>
      </c>
      <c r="H26" s="786">
        <f t="shared" si="2"/>
        <v>0</v>
      </c>
      <c r="I26" s="786">
        <f t="shared" si="2"/>
        <v>0</v>
      </c>
      <c r="J26" s="786">
        <f t="shared" si="2"/>
        <v>0</v>
      </c>
      <c r="K26" s="786">
        <f t="shared" si="2"/>
        <v>387.16670917632945</v>
      </c>
      <c r="L26" s="786">
        <f t="shared" si="2"/>
        <v>0</v>
      </c>
      <c r="M26" s="786">
        <f t="shared" si="2"/>
        <v>0</v>
      </c>
      <c r="N26" s="786">
        <f t="shared" si="2"/>
        <v>0</v>
      </c>
      <c r="O26" s="786">
        <f t="shared" si="2"/>
        <v>0</v>
      </c>
      <c r="P26" s="786">
        <f t="shared" si="2"/>
        <v>0</v>
      </c>
      <c r="Q26" s="786">
        <f t="shared" si="2"/>
        <v>0</v>
      </c>
      <c r="R26" s="786">
        <f t="shared" si="2"/>
        <v>86691.829904265309</v>
      </c>
      <c r="S26" s="67"/>
    </row>
    <row r="27" spans="1:19" s="447" customFormat="1" ht="17.25" thickTop="1" thickBot="1">
      <c r="A27" s="680" t="s">
        <v>115</v>
      </c>
      <c r="B27" s="779"/>
      <c r="C27" s="681">
        <f ca="1">C22+C16+C26</f>
        <v>114303.25284453166</v>
      </c>
      <c r="D27" s="681">
        <f t="shared" ref="D27:R27" ca="1" si="3">D22+D16+D26</f>
        <v>68685.42857142858</v>
      </c>
      <c r="E27" s="681">
        <f t="shared" ca="1" si="3"/>
        <v>215852.33522400018</v>
      </c>
      <c r="F27" s="681">
        <f t="shared" si="3"/>
        <v>8979.6918809308536</v>
      </c>
      <c r="G27" s="681">
        <f t="shared" ca="1" si="3"/>
        <v>27054.967279366749</v>
      </c>
      <c r="H27" s="681">
        <f t="shared" si="3"/>
        <v>340282.88749567687</v>
      </c>
      <c r="I27" s="681">
        <f t="shared" si="3"/>
        <v>53271.823202008163</v>
      </c>
      <c r="J27" s="681">
        <f t="shared" si="3"/>
        <v>0</v>
      </c>
      <c r="K27" s="681">
        <f t="shared" si="3"/>
        <v>504.07533876935469</v>
      </c>
      <c r="L27" s="681">
        <f t="shared" si="3"/>
        <v>0</v>
      </c>
      <c r="M27" s="681">
        <f t="shared" ca="1" si="3"/>
        <v>0</v>
      </c>
      <c r="N27" s="681">
        <f t="shared" si="3"/>
        <v>21444.048769996007</v>
      </c>
      <c r="O27" s="681">
        <f t="shared" ca="1" si="3"/>
        <v>41597.264246859195</v>
      </c>
      <c r="P27" s="681">
        <f t="shared" si="3"/>
        <v>328.3</v>
      </c>
      <c r="Q27" s="681">
        <f t="shared" si="3"/>
        <v>1677.8666666666666</v>
      </c>
      <c r="R27" s="681">
        <f t="shared" ca="1" si="3"/>
        <v>893981.94152023434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8174.5953905328624</v>
      </c>
      <c r="D40" s="979">
        <f ca="1">tertiair!C20</f>
        <v>0</v>
      </c>
      <c r="E40" s="979">
        <f ca="1">tertiair!D20</f>
        <v>5053.8729613978885</v>
      </c>
      <c r="F40" s="979">
        <f>tertiair!E20</f>
        <v>88.067973019675009</v>
      </c>
      <c r="G40" s="979">
        <f ca="1">tertiair!F20</f>
        <v>2236.4502256406549</v>
      </c>
      <c r="H40" s="979">
        <f>tertiair!G20</f>
        <v>0</v>
      </c>
      <c r="I40" s="979">
        <f>tertiair!H20</f>
        <v>0</v>
      </c>
      <c r="J40" s="979">
        <f>tertiair!I20</f>
        <v>0</v>
      </c>
      <c r="K40" s="979">
        <f>tertiair!J20</f>
        <v>0.14768569027835785</v>
      </c>
      <c r="L40" s="979">
        <f>tertiair!K20</f>
        <v>0</v>
      </c>
      <c r="M40" s="979">
        <f ca="1">tertiair!L20</f>
        <v>0</v>
      </c>
      <c r="N40" s="979">
        <f>tertiair!M20</f>
        <v>0</v>
      </c>
      <c r="O40" s="979">
        <f ca="1">tertiair!N20</f>
        <v>0</v>
      </c>
      <c r="P40" s="979">
        <f>tertiair!O20</f>
        <v>0</v>
      </c>
      <c r="Q40" s="748">
        <f>tertiair!P20</f>
        <v>0</v>
      </c>
      <c r="R40" s="824">
        <f t="shared" ca="1" si="4"/>
        <v>15553.134236281361</v>
      </c>
    </row>
    <row r="41" spans="1:18">
      <c r="A41" s="796" t="s">
        <v>224</v>
      </c>
      <c r="B41" s="803"/>
      <c r="C41" s="979">
        <f ca="1">huishoudens!B12</f>
        <v>7112.700919539313</v>
      </c>
      <c r="D41" s="979">
        <f ca="1">huishoudens!C12</f>
        <v>0</v>
      </c>
      <c r="E41" s="979">
        <f>huishoudens!D12</f>
        <v>18759.303227434462</v>
      </c>
      <c r="F41" s="979">
        <f>huishoudens!E12</f>
        <v>1297.9620133152541</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27169.96616028903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6933.8120627735143</v>
      </c>
      <c r="D43" s="979">
        <f ca="1">industrie!C22</f>
        <v>0</v>
      </c>
      <c r="E43" s="979">
        <f>industrie!D22</f>
        <v>19202.849418327798</v>
      </c>
      <c r="F43" s="979">
        <f>industrie!E22</f>
        <v>495.77345145287256</v>
      </c>
      <c r="G43" s="979">
        <f>industrie!F22</f>
        <v>2014.7464174973024</v>
      </c>
      <c r="H43" s="979">
        <f>industrie!G22</f>
        <v>0</v>
      </c>
      <c r="I43" s="979">
        <f>industrie!H22</f>
        <v>0</v>
      </c>
      <c r="J43" s="979">
        <f>industrie!I22</f>
        <v>0</v>
      </c>
      <c r="K43" s="979">
        <f>industrie!J22</f>
        <v>41.237969185652581</v>
      </c>
      <c r="L43" s="979">
        <f>industrie!K22</f>
        <v>0</v>
      </c>
      <c r="M43" s="979">
        <f>industrie!L22</f>
        <v>0</v>
      </c>
      <c r="N43" s="979">
        <f>industrie!M22</f>
        <v>0</v>
      </c>
      <c r="O43" s="979">
        <f>industrie!N22</f>
        <v>0</v>
      </c>
      <c r="P43" s="979">
        <f>industrie!O22</f>
        <v>0</v>
      </c>
      <c r="Q43" s="748">
        <f>industrie!P22</f>
        <v>0</v>
      </c>
      <c r="R43" s="823">
        <f t="shared" ca="1" si="4"/>
        <v>28688.419319237139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22221.108372845691</v>
      </c>
      <c r="D46" s="706">
        <f t="shared" ref="D46:Q46" ca="1" si="5">SUM(D39:D45)</f>
        <v>0</v>
      </c>
      <c r="E46" s="706">
        <f t="shared" ca="1" si="5"/>
        <v>43016.025607160147</v>
      </c>
      <c r="F46" s="706">
        <f t="shared" si="5"/>
        <v>1881.8034377878016</v>
      </c>
      <c r="G46" s="706">
        <f t="shared" ca="1" si="5"/>
        <v>4251.1966431379569</v>
      </c>
      <c r="H46" s="706">
        <f t="shared" si="5"/>
        <v>0</v>
      </c>
      <c r="I46" s="706">
        <f t="shared" si="5"/>
        <v>0</v>
      </c>
      <c r="J46" s="706">
        <f t="shared" si="5"/>
        <v>0</v>
      </c>
      <c r="K46" s="706">
        <f t="shared" si="5"/>
        <v>41.385654875930939</v>
      </c>
      <c r="L46" s="706">
        <f t="shared" si="5"/>
        <v>0</v>
      </c>
      <c r="M46" s="706">
        <f t="shared" ca="1" si="5"/>
        <v>0</v>
      </c>
      <c r="N46" s="706">
        <f t="shared" si="5"/>
        <v>0</v>
      </c>
      <c r="O46" s="706">
        <f t="shared" ca="1" si="5"/>
        <v>0</v>
      </c>
      <c r="P46" s="706">
        <f t="shared" si="5"/>
        <v>0</v>
      </c>
      <c r="Q46" s="706">
        <f t="shared" si="5"/>
        <v>0</v>
      </c>
      <c r="R46" s="706">
        <f ca="1">SUM(R39:R45)</f>
        <v>71411.519715807532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887.69983565239102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887.69983565239102</v>
      </c>
    </row>
    <row r="50" spans="1:18">
      <c r="A50" s="799" t="s">
        <v>306</v>
      </c>
      <c r="B50" s="809"/>
      <c r="C50" s="677">
        <f ca="1">transport!B18</f>
        <v>24.295801943288325</v>
      </c>
      <c r="D50" s="677">
        <f>transport!C18</f>
        <v>0</v>
      </c>
      <c r="E50" s="677">
        <f>transport!D18</f>
        <v>61.521293553672592</v>
      </c>
      <c r="F50" s="677">
        <f>transport!E18</f>
        <v>138.75607627138831</v>
      </c>
      <c r="G50" s="677">
        <f>transport!F18</f>
        <v>0</v>
      </c>
      <c r="H50" s="677">
        <f>transport!G18</f>
        <v>89967.831125693338</v>
      </c>
      <c r="I50" s="677">
        <f>transport!H18</f>
        <v>13264.683977300032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103457.08827476171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24.295801943288325</v>
      </c>
      <c r="D52" s="706">
        <f t="shared" ref="D52:Q52" ca="1" si="6">SUM(D48:D51)</f>
        <v>0</v>
      </c>
      <c r="E52" s="706">
        <f t="shared" si="6"/>
        <v>61.521293553672592</v>
      </c>
      <c r="F52" s="706">
        <f t="shared" si="6"/>
        <v>138.75607627138831</v>
      </c>
      <c r="G52" s="706">
        <f t="shared" si="6"/>
        <v>0</v>
      </c>
      <c r="H52" s="706">
        <f t="shared" si="6"/>
        <v>90855.530961345736</v>
      </c>
      <c r="I52" s="706">
        <f t="shared" si="6"/>
        <v>13264.683977300032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104344.78811041411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538.02331044321068</v>
      </c>
      <c r="D54" s="677">
        <f ca="1">+landbouw!C12</f>
        <v>13701.45630252101</v>
      </c>
      <c r="E54" s="677">
        <f>+landbouw!D12</f>
        <v>0</v>
      </c>
      <c r="F54" s="677">
        <f>+landbouw!E12</f>
        <v>17.830542912113874</v>
      </c>
      <c r="G54" s="677">
        <f>+landbouw!F12</f>
        <v>2972.4796204529653</v>
      </c>
      <c r="H54" s="677">
        <f>+landbouw!G12</f>
        <v>0</v>
      </c>
      <c r="I54" s="677">
        <f>+landbouw!H12</f>
        <v>0</v>
      </c>
      <c r="J54" s="677">
        <f>+landbouw!I12</f>
        <v>0</v>
      </c>
      <c r="K54" s="677">
        <f>+landbouw!J12</f>
        <v>137.05701504842062</v>
      </c>
      <c r="L54" s="677">
        <f>+landbouw!K12</f>
        <v>0</v>
      </c>
      <c r="M54" s="677">
        <f>+landbouw!L12</f>
        <v>0</v>
      </c>
      <c r="N54" s="677">
        <f>+landbouw!M12</f>
        <v>0</v>
      </c>
      <c r="O54" s="677">
        <f>+landbouw!N12</f>
        <v>0</v>
      </c>
      <c r="P54" s="677">
        <f>+landbouw!O12</f>
        <v>0</v>
      </c>
      <c r="Q54" s="678">
        <f>+landbouw!P12</f>
        <v>0</v>
      </c>
      <c r="R54" s="705">
        <f ca="1">SUM(C54:Q54)</f>
        <v>17366.84679137772</v>
      </c>
    </row>
    <row r="55" spans="1:18" ht="15" thickBot="1">
      <c r="A55" s="799" t="s">
        <v>823</v>
      </c>
      <c r="B55" s="809"/>
      <c r="C55" s="677">
        <f ca="1">C25*'EF ele_warmte'!B12</f>
        <v>229.17258528806045</v>
      </c>
      <c r="D55" s="677"/>
      <c r="E55" s="677">
        <f>E25*EF_CO2_aardgas</f>
        <v>524.62481453422026</v>
      </c>
      <c r="F55" s="677"/>
      <c r="G55" s="677"/>
      <c r="H55" s="677"/>
      <c r="I55" s="677"/>
      <c r="J55" s="677"/>
      <c r="K55" s="677"/>
      <c r="L55" s="677"/>
      <c r="M55" s="677"/>
      <c r="N55" s="677"/>
      <c r="O55" s="677"/>
      <c r="P55" s="677"/>
      <c r="Q55" s="678"/>
      <c r="R55" s="705">
        <f ca="1">SUM(C55:Q55)</f>
        <v>753.79739982228068</v>
      </c>
    </row>
    <row r="56" spans="1:18" ht="15.75" thickBot="1">
      <c r="A56" s="797" t="s">
        <v>824</v>
      </c>
      <c r="B56" s="810"/>
      <c r="C56" s="706">
        <f ca="1">SUM(C54:C55)</f>
        <v>767.19589573127109</v>
      </c>
      <c r="D56" s="706">
        <f t="shared" ref="D56:Q56" ca="1" si="7">SUM(D54:D55)</f>
        <v>13701.45630252101</v>
      </c>
      <c r="E56" s="706">
        <f t="shared" si="7"/>
        <v>524.62481453422026</v>
      </c>
      <c r="F56" s="706">
        <f t="shared" si="7"/>
        <v>17.830542912113874</v>
      </c>
      <c r="G56" s="706">
        <f t="shared" si="7"/>
        <v>2972.4796204529653</v>
      </c>
      <c r="H56" s="706">
        <f t="shared" si="7"/>
        <v>0</v>
      </c>
      <c r="I56" s="706">
        <f t="shared" si="7"/>
        <v>0</v>
      </c>
      <c r="J56" s="706">
        <f t="shared" si="7"/>
        <v>0</v>
      </c>
      <c r="K56" s="706">
        <f t="shared" si="7"/>
        <v>137.05701504842062</v>
      </c>
      <c r="L56" s="706">
        <f t="shared" si="7"/>
        <v>0</v>
      </c>
      <c r="M56" s="706">
        <f t="shared" si="7"/>
        <v>0</v>
      </c>
      <c r="N56" s="706">
        <f t="shared" si="7"/>
        <v>0</v>
      </c>
      <c r="O56" s="706">
        <f t="shared" si="7"/>
        <v>0</v>
      </c>
      <c r="P56" s="706">
        <f t="shared" si="7"/>
        <v>0</v>
      </c>
      <c r="Q56" s="707">
        <f t="shared" si="7"/>
        <v>0</v>
      </c>
      <c r="R56" s="708">
        <f ca="1">SUM(R54:R55)</f>
        <v>18120.644191200001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23012.60007052025</v>
      </c>
      <c r="D61" s="714">
        <f t="shared" ref="D61:Q61" ca="1" si="8">D46+D52+D56</f>
        <v>13701.45630252101</v>
      </c>
      <c r="E61" s="714">
        <f t="shared" ca="1" si="8"/>
        <v>43602.171715248034</v>
      </c>
      <c r="F61" s="714">
        <f t="shared" si="8"/>
        <v>2038.3900569713039</v>
      </c>
      <c r="G61" s="714">
        <f t="shared" ca="1" si="8"/>
        <v>7223.6762635909217</v>
      </c>
      <c r="H61" s="714">
        <f t="shared" si="8"/>
        <v>90855.530961345736</v>
      </c>
      <c r="I61" s="714">
        <f t="shared" si="8"/>
        <v>13264.683977300032</v>
      </c>
      <c r="J61" s="714">
        <f t="shared" si="8"/>
        <v>0</v>
      </c>
      <c r="K61" s="714">
        <f t="shared" si="8"/>
        <v>178.44266992435155</v>
      </c>
      <c r="L61" s="714">
        <f t="shared" si="8"/>
        <v>0</v>
      </c>
      <c r="M61" s="714">
        <f t="shared" ca="1" si="8"/>
        <v>0</v>
      </c>
      <c r="N61" s="714">
        <f t="shared" si="8"/>
        <v>0</v>
      </c>
      <c r="O61" s="714">
        <f t="shared" ca="1" si="8"/>
        <v>0</v>
      </c>
      <c r="P61" s="714">
        <f t="shared" si="8"/>
        <v>0</v>
      </c>
      <c r="Q61" s="714">
        <f t="shared" si="8"/>
        <v>0</v>
      </c>
      <c r="R61" s="714">
        <f ca="1">R46+R52+R56</f>
        <v>193876.95201742163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0.20132935413325981</v>
      </c>
      <c r="D63" s="755">
        <f t="shared" ca="1" si="9"/>
        <v>0.19948126680570022</v>
      </c>
      <c r="E63" s="990">
        <f t="shared" ca="1" si="9"/>
        <v>0.20199999999999999</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5492.3186420179109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7721.55</v>
      </c>
      <c r="C76" s="724">
        <f>'lokale energieproductie'!B8*IFERROR(SUM(D76:H76)/SUM(D76:O76),0)</f>
        <v>40358.25</v>
      </c>
      <c r="D76" s="1000">
        <f>'lokale energieproductie'!C8</f>
        <v>47480.294117647063</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9084.176470588236</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9591.0194117647079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13213.868642017911</v>
      </c>
      <c r="C78" s="729">
        <f>SUM(C72:C77)</f>
        <v>40358.25</v>
      </c>
      <c r="D78" s="730">
        <f t="shared" ref="D78:H78" si="10">SUM(D76:D77)</f>
        <v>47480.294117647063</v>
      </c>
      <c r="E78" s="730">
        <f t="shared" si="10"/>
        <v>0</v>
      </c>
      <c r="F78" s="730">
        <f t="shared" si="10"/>
        <v>0</v>
      </c>
      <c r="G78" s="730">
        <f t="shared" si="10"/>
        <v>0</v>
      </c>
      <c r="H78" s="730">
        <f t="shared" si="10"/>
        <v>0</v>
      </c>
      <c r="I78" s="730">
        <f>SUM(I76:I77)</f>
        <v>0</v>
      </c>
      <c r="J78" s="730">
        <f>SUM(J76:J77)</f>
        <v>9084.176470588236</v>
      </c>
      <c r="K78" s="730">
        <f t="shared" ref="K78:L78" si="11">SUM(K76:K77)</f>
        <v>0</v>
      </c>
      <c r="L78" s="730">
        <f t="shared" si="11"/>
        <v>0</v>
      </c>
      <c r="M78" s="730">
        <f>SUM(M76:M77)</f>
        <v>0</v>
      </c>
      <c r="N78" s="730">
        <f>SUM(N76:N77)</f>
        <v>0</v>
      </c>
      <c r="O78" s="834">
        <f>SUM(O76:O77)</f>
        <v>0</v>
      </c>
      <c r="P78" s="731">
        <v>0</v>
      </c>
      <c r="Q78" s="731">
        <f>SUM(Q76:Q77)</f>
        <v>9591.0194117647079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11030.785714285716</v>
      </c>
      <c r="C87" s="740">
        <f>'lokale energieproductie'!B17*IFERROR(SUM(D87:H87)/SUM(D87:O87),0)</f>
        <v>57654.642857142862</v>
      </c>
      <c r="D87" s="751">
        <f>'lokale energieproductie'!C17</f>
        <v>67828.991596638662</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12977.394957983195</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13701.45630252101</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11030.785714285716</v>
      </c>
      <c r="C90" s="729">
        <f>SUM(C87:C89)</f>
        <v>57654.642857142862</v>
      </c>
      <c r="D90" s="729">
        <f t="shared" ref="D90:H90" si="12">SUM(D87:D89)</f>
        <v>67828.991596638662</v>
      </c>
      <c r="E90" s="729">
        <f t="shared" si="12"/>
        <v>0</v>
      </c>
      <c r="F90" s="729">
        <f t="shared" si="12"/>
        <v>0</v>
      </c>
      <c r="G90" s="729">
        <f t="shared" si="12"/>
        <v>0</v>
      </c>
      <c r="H90" s="729">
        <f t="shared" si="12"/>
        <v>0</v>
      </c>
      <c r="I90" s="729">
        <f>SUM(I87:I89)</f>
        <v>0</v>
      </c>
      <c r="J90" s="729">
        <f>SUM(J87:J89)</f>
        <v>12977.394957983195</v>
      </c>
      <c r="K90" s="729">
        <f t="shared" ref="K90:L90" si="13">SUM(K87:K89)</f>
        <v>0</v>
      </c>
      <c r="L90" s="729">
        <f t="shared" si="13"/>
        <v>0</v>
      </c>
      <c r="M90" s="729">
        <f>SUM(M87:M89)</f>
        <v>0</v>
      </c>
      <c r="N90" s="729">
        <f>SUM(N87:N89)</f>
        <v>0</v>
      </c>
      <c r="O90" s="729">
        <f>SUM(O87:O89)</f>
        <v>0</v>
      </c>
      <c r="P90" s="729">
        <v>0</v>
      </c>
      <c r="Q90" s="729">
        <f>SUM(Q87:Q89)</f>
        <v>13701.45630252101</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8"/>
  <sheetViews>
    <sheetView showGridLines="0" topLeftCell="A316" zoomScaleNormal="100" workbookViewId="0">
      <selection activeCell="M35" sqref="M35"/>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5492.3186420179109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N36</f>
        <v>48079.8</v>
      </c>
      <c r="C8" s="544">
        <f>B55</f>
        <v>47480.294117647063</v>
      </c>
      <c r="D8" s="1010"/>
      <c r="E8" s="1010">
        <f>E55</f>
        <v>0</v>
      </c>
      <c r="F8" s="1011"/>
      <c r="G8" s="545"/>
      <c r="H8" s="1010">
        <f>I55</f>
        <v>0</v>
      </c>
      <c r="I8" s="1010">
        <f>G55+F55</f>
        <v>0</v>
      </c>
      <c r="J8" s="1010">
        <f>H55+D55+C55</f>
        <v>9084.176470588236</v>
      </c>
      <c r="K8" s="1010"/>
      <c r="L8" s="1010"/>
      <c r="M8" s="1010"/>
      <c r="N8" s="546"/>
      <c r="O8" s="547">
        <f>C8*$C$12+D8*$D$12+E8*$E$12+F8*$F$12+G8*$G$12+H8*$H$12+I8*$I$12+J8*$J$12</f>
        <v>9591.0194117647079</v>
      </c>
      <c r="P8" s="1250"/>
      <c r="Q8" s="1251"/>
      <c r="S8" s="973"/>
      <c r="T8" s="1225"/>
      <c r="U8" s="1225"/>
    </row>
    <row r="9" spans="1:21" s="533" customFormat="1" ht="17.45" customHeight="1" thickBot="1">
      <c r="A9" s="548" t="s">
        <v>247</v>
      </c>
      <c r="B9" s="549">
        <f>N43+'Eigen informatie GS &amp; warmtenet'!B12</f>
        <v>0</v>
      </c>
      <c r="C9" s="550">
        <f>P43+IF(ISERROR(('Eigen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S43+IF(ISERROR('Eigen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W43+IF(ISERROR('Eigen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(T43+U43)+IF(ISERROR('Eigen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V43+Q43+R43+IF(ISERROR('Eigen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53572.118642017915</v>
      </c>
      <c r="C10" s="557">
        <f t="shared" ref="C10:L10" si="0">SUM(C8:C9)</f>
        <v>47480.294117647063</v>
      </c>
      <c r="D10" s="557">
        <f t="shared" si="0"/>
        <v>0</v>
      </c>
      <c r="E10" s="557">
        <f t="shared" si="0"/>
        <v>0</v>
      </c>
      <c r="F10" s="557">
        <f t="shared" si="0"/>
        <v>0</v>
      </c>
      <c r="G10" s="557">
        <f t="shared" si="0"/>
        <v>0</v>
      </c>
      <c r="H10" s="557">
        <f t="shared" si="0"/>
        <v>0</v>
      </c>
      <c r="I10" s="557">
        <f t="shared" si="0"/>
        <v>0</v>
      </c>
      <c r="J10" s="557">
        <f t="shared" si="0"/>
        <v>9084.176470588236</v>
      </c>
      <c r="K10" s="557">
        <f t="shared" si="0"/>
        <v>0</v>
      </c>
      <c r="L10" s="557">
        <f t="shared" si="0"/>
        <v>0</v>
      </c>
      <c r="M10" s="1013"/>
      <c r="N10" s="1013"/>
      <c r="O10" s="558">
        <f>SUM(O4:O9)</f>
        <v>9591.0194117647079</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O36</f>
        <v>68685.42857142858</v>
      </c>
      <c r="C17" s="569">
        <f>B56</f>
        <v>67828.991596638662</v>
      </c>
      <c r="D17" s="570"/>
      <c r="E17" s="570">
        <f>E56</f>
        <v>0</v>
      </c>
      <c r="F17" s="1016"/>
      <c r="G17" s="571"/>
      <c r="H17" s="569">
        <f>I56</f>
        <v>0</v>
      </c>
      <c r="I17" s="570">
        <f>G56+F56</f>
        <v>0</v>
      </c>
      <c r="J17" s="570">
        <f>H56+D56+C56</f>
        <v>12977.394957983195</v>
      </c>
      <c r="K17" s="570"/>
      <c r="L17" s="570"/>
      <c r="M17" s="570"/>
      <c r="N17" s="1017"/>
      <c r="O17" s="572">
        <f>C17*$C$22+E17*$E$22+H17*$H$22+I17*$I$22+J17*$J$22+D17*$D$22+F17*$F$22+G17*$G$22+K17*$K$22+L17*$L$22</f>
        <v>13701.45630252101</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68685.42857142858</v>
      </c>
      <c r="C20" s="556">
        <f>SUM(C17:C19)</f>
        <v>67828.991596638662</v>
      </c>
      <c r="D20" s="556">
        <f t="shared" ref="D20:L20" si="1">SUM(D17:D19)</f>
        <v>0</v>
      </c>
      <c r="E20" s="556">
        <f t="shared" si="1"/>
        <v>0</v>
      </c>
      <c r="F20" s="556">
        <f t="shared" si="1"/>
        <v>0</v>
      </c>
      <c r="G20" s="556">
        <f t="shared" si="1"/>
        <v>0</v>
      </c>
      <c r="H20" s="556">
        <f t="shared" si="1"/>
        <v>0</v>
      </c>
      <c r="I20" s="556">
        <f t="shared" si="1"/>
        <v>0</v>
      </c>
      <c r="J20" s="556">
        <f t="shared" si="1"/>
        <v>12977.394957983195</v>
      </c>
      <c r="K20" s="556">
        <f t="shared" si="1"/>
        <v>0</v>
      </c>
      <c r="L20" s="556">
        <f t="shared" si="1"/>
        <v>0</v>
      </c>
      <c r="M20" s="556"/>
      <c r="N20" s="556"/>
      <c r="O20" s="575">
        <f>SUM(O17:O19)</f>
        <v>13701.45630252101</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11035</v>
      </c>
      <c r="C28" s="770">
        <v>2520</v>
      </c>
      <c r="D28" s="627" t="s">
        <v>887</v>
      </c>
      <c r="E28" s="626" t="s">
        <v>888</v>
      </c>
      <c r="F28" s="626" t="s">
        <v>889</v>
      </c>
      <c r="G28" s="626" t="s">
        <v>890</v>
      </c>
      <c r="H28" s="626" t="s">
        <v>891</v>
      </c>
      <c r="I28" s="626" t="s">
        <v>888</v>
      </c>
      <c r="J28" s="769">
        <v>41043</v>
      </c>
      <c r="K28" s="769">
        <v>39083</v>
      </c>
      <c r="L28" s="626" t="s">
        <v>892</v>
      </c>
      <c r="M28" s="626">
        <v>1817</v>
      </c>
      <c r="N28" s="626">
        <v>8176.5</v>
      </c>
      <c r="O28" s="626">
        <v>11680.714285714286</v>
      </c>
      <c r="P28" s="626">
        <v>23361.428571428572</v>
      </c>
      <c r="Q28" s="626">
        <v>0</v>
      </c>
      <c r="R28" s="626">
        <v>0</v>
      </c>
      <c r="S28" s="626">
        <v>0</v>
      </c>
      <c r="T28" s="626">
        <v>0</v>
      </c>
      <c r="U28" s="626">
        <v>0</v>
      </c>
      <c r="V28" s="626">
        <v>0</v>
      </c>
      <c r="W28" s="626">
        <v>0</v>
      </c>
      <c r="X28" s="626">
        <v>10</v>
      </c>
      <c r="Y28" s="626" t="s">
        <v>111</v>
      </c>
      <c r="Z28" s="628" t="s">
        <v>111</v>
      </c>
    </row>
    <row r="29" spans="1:26" s="580" customFormat="1" ht="38.25">
      <c r="A29" s="579"/>
      <c r="B29" s="770">
        <v>11035</v>
      </c>
      <c r="C29" s="770">
        <v>2520</v>
      </c>
      <c r="D29" s="627" t="s">
        <v>893</v>
      </c>
      <c r="E29" s="626" t="s">
        <v>894</v>
      </c>
      <c r="F29" s="626" t="s">
        <v>895</v>
      </c>
      <c r="G29" s="626" t="s">
        <v>890</v>
      </c>
      <c r="H29" s="626" t="s">
        <v>891</v>
      </c>
      <c r="I29" s="626" t="s">
        <v>894</v>
      </c>
      <c r="J29" s="769">
        <v>39853</v>
      </c>
      <c r="K29" s="769">
        <v>39853</v>
      </c>
      <c r="L29" s="626" t="s">
        <v>892</v>
      </c>
      <c r="M29" s="626">
        <v>2016</v>
      </c>
      <c r="N29" s="626">
        <v>9072</v>
      </c>
      <c r="O29" s="626">
        <v>12960</v>
      </c>
      <c r="P29" s="626">
        <v>25920</v>
      </c>
      <c r="Q29" s="626">
        <v>0</v>
      </c>
      <c r="R29" s="626">
        <v>0</v>
      </c>
      <c r="S29" s="626">
        <v>0</v>
      </c>
      <c r="T29" s="626">
        <v>0</v>
      </c>
      <c r="U29" s="626">
        <v>0</v>
      </c>
      <c r="V29" s="626">
        <v>0</v>
      </c>
      <c r="W29" s="626">
        <v>0</v>
      </c>
      <c r="X29" s="626">
        <v>10</v>
      </c>
      <c r="Y29" s="626" t="s">
        <v>111</v>
      </c>
      <c r="Z29" s="628" t="s">
        <v>111</v>
      </c>
    </row>
    <row r="30" spans="1:26" s="580" customFormat="1" ht="25.5">
      <c r="A30" s="579"/>
      <c r="B30" s="770">
        <v>11035</v>
      </c>
      <c r="C30" s="770">
        <v>2520</v>
      </c>
      <c r="D30" s="627" t="s">
        <v>896</v>
      </c>
      <c r="E30" s="626" t="s">
        <v>897</v>
      </c>
      <c r="F30" s="626" t="s">
        <v>898</v>
      </c>
      <c r="G30" s="626" t="s">
        <v>890</v>
      </c>
      <c r="H30" s="626" t="s">
        <v>891</v>
      </c>
      <c r="I30" s="626" t="s">
        <v>897</v>
      </c>
      <c r="J30" s="769">
        <v>39895</v>
      </c>
      <c r="K30" s="769">
        <v>39895</v>
      </c>
      <c r="L30" s="626" t="s">
        <v>892</v>
      </c>
      <c r="M30" s="626">
        <v>1635</v>
      </c>
      <c r="N30" s="626">
        <v>7357.5</v>
      </c>
      <c r="O30" s="626">
        <v>10510.714285714286</v>
      </c>
      <c r="P30" s="626">
        <v>21021.428571428572</v>
      </c>
      <c r="Q30" s="626">
        <v>0</v>
      </c>
      <c r="R30" s="626">
        <v>0</v>
      </c>
      <c r="S30" s="626">
        <v>0</v>
      </c>
      <c r="T30" s="626">
        <v>0</v>
      </c>
      <c r="U30" s="626">
        <v>0</v>
      </c>
      <c r="V30" s="626">
        <v>0</v>
      </c>
      <c r="W30" s="626">
        <v>0</v>
      </c>
      <c r="X30" s="626">
        <v>10</v>
      </c>
      <c r="Y30" s="626" t="s">
        <v>111</v>
      </c>
      <c r="Z30" s="628" t="s">
        <v>111</v>
      </c>
    </row>
    <row r="31" spans="1:26" s="580" customFormat="1" ht="25.5">
      <c r="A31" s="579"/>
      <c r="B31" s="770">
        <v>11035</v>
      </c>
      <c r="C31" s="770">
        <v>2520</v>
      </c>
      <c r="D31" s="627" t="s">
        <v>899</v>
      </c>
      <c r="E31" s="626" t="s">
        <v>900</v>
      </c>
      <c r="F31" s="626" t="s">
        <v>901</v>
      </c>
      <c r="G31" s="626" t="s">
        <v>890</v>
      </c>
      <c r="H31" s="626" t="s">
        <v>891</v>
      </c>
      <c r="I31" s="626" t="s">
        <v>900</v>
      </c>
      <c r="J31" s="769">
        <v>40163</v>
      </c>
      <c r="K31" s="769">
        <v>40163</v>
      </c>
      <c r="L31" s="626" t="s">
        <v>892</v>
      </c>
      <c r="M31" s="626">
        <v>1127</v>
      </c>
      <c r="N31" s="626">
        <v>5071.5</v>
      </c>
      <c r="O31" s="626">
        <v>7245</v>
      </c>
      <c r="P31" s="626">
        <v>14490.000000000002</v>
      </c>
      <c r="Q31" s="626">
        <v>0</v>
      </c>
      <c r="R31" s="626">
        <v>0</v>
      </c>
      <c r="S31" s="626">
        <v>0</v>
      </c>
      <c r="T31" s="626">
        <v>0</v>
      </c>
      <c r="U31" s="626">
        <v>0</v>
      </c>
      <c r="V31" s="626">
        <v>0</v>
      </c>
      <c r="W31" s="626">
        <v>0</v>
      </c>
      <c r="X31" s="626">
        <v>10</v>
      </c>
      <c r="Y31" s="626" t="s">
        <v>111</v>
      </c>
      <c r="Z31" s="628" t="s">
        <v>111</v>
      </c>
    </row>
    <row r="32" spans="1:26" s="580" customFormat="1" ht="25.5">
      <c r="A32" s="579"/>
      <c r="B32" s="770">
        <v>11035</v>
      </c>
      <c r="C32" s="770">
        <v>2520</v>
      </c>
      <c r="D32" s="627" t="s">
        <v>902</v>
      </c>
      <c r="E32" s="626" t="s">
        <v>903</v>
      </c>
      <c r="F32" s="626" t="s">
        <v>904</v>
      </c>
      <c r="G32" s="626" t="s">
        <v>890</v>
      </c>
      <c r="H32" s="626" t="s">
        <v>891</v>
      </c>
      <c r="I32" s="626" t="s">
        <v>903</v>
      </c>
      <c r="J32" s="769">
        <v>40259</v>
      </c>
      <c r="K32" s="769">
        <v>40259</v>
      </c>
      <c r="L32" s="626" t="s">
        <v>892</v>
      </c>
      <c r="M32" s="626">
        <v>1008</v>
      </c>
      <c r="N32" s="626">
        <v>4536</v>
      </c>
      <c r="O32" s="626">
        <v>6480</v>
      </c>
      <c r="P32" s="626">
        <v>12960</v>
      </c>
      <c r="Q32" s="626">
        <v>0</v>
      </c>
      <c r="R32" s="626">
        <v>0</v>
      </c>
      <c r="S32" s="626">
        <v>0</v>
      </c>
      <c r="T32" s="626">
        <v>0</v>
      </c>
      <c r="U32" s="626">
        <v>0</v>
      </c>
      <c r="V32" s="626">
        <v>0</v>
      </c>
      <c r="W32" s="626">
        <v>0</v>
      </c>
      <c r="X32" s="626">
        <v>10</v>
      </c>
      <c r="Y32" s="626" t="s">
        <v>111</v>
      </c>
      <c r="Z32" s="628" t="s">
        <v>111</v>
      </c>
    </row>
    <row r="33" spans="1:27" s="580" customFormat="1" ht="25.5">
      <c r="A33" s="579"/>
      <c r="B33" s="770">
        <v>11035</v>
      </c>
      <c r="C33" s="770">
        <v>2520</v>
      </c>
      <c r="D33" s="627" t="s">
        <v>905</v>
      </c>
      <c r="E33" s="626" t="s">
        <v>906</v>
      </c>
      <c r="F33" s="626" t="s">
        <v>907</v>
      </c>
      <c r="G33" s="626" t="s">
        <v>890</v>
      </c>
      <c r="H33" s="626" t="s">
        <v>891</v>
      </c>
      <c r="I33" s="626" t="s">
        <v>908</v>
      </c>
      <c r="J33" s="769">
        <v>40434</v>
      </c>
      <c r="K33" s="769">
        <v>40434</v>
      </c>
      <c r="L33" s="626" t="s">
        <v>892</v>
      </c>
      <c r="M33" s="626">
        <v>2262</v>
      </c>
      <c r="N33" s="626">
        <v>10179</v>
      </c>
      <c r="O33" s="626">
        <v>14541.428571428572</v>
      </c>
      <c r="P33" s="626">
        <v>7270.7142857142862</v>
      </c>
      <c r="Q33" s="626">
        <v>21812.142857142859</v>
      </c>
      <c r="R33" s="626">
        <v>0</v>
      </c>
      <c r="S33" s="626">
        <v>0</v>
      </c>
      <c r="T33" s="626">
        <v>0</v>
      </c>
      <c r="U33" s="626">
        <v>0</v>
      </c>
      <c r="V33" s="626">
        <v>0</v>
      </c>
      <c r="W33" s="626">
        <v>0</v>
      </c>
      <c r="X33" s="626">
        <v>10</v>
      </c>
      <c r="Y33" s="626" t="s">
        <v>111</v>
      </c>
      <c r="Z33" s="628" t="s">
        <v>111</v>
      </c>
    </row>
    <row r="34" spans="1:27" s="580" customFormat="1" ht="25.5">
      <c r="A34" s="579"/>
      <c r="B34" s="770">
        <v>11035</v>
      </c>
      <c r="C34" s="770">
        <v>2520</v>
      </c>
      <c r="D34" s="627" t="s">
        <v>909</v>
      </c>
      <c r="E34" s="626" t="s">
        <v>910</v>
      </c>
      <c r="F34" s="626" t="s">
        <v>911</v>
      </c>
      <c r="G34" s="626" t="s">
        <v>890</v>
      </c>
      <c r="H34" s="626" t="s">
        <v>891</v>
      </c>
      <c r="I34" s="626" t="s">
        <v>910</v>
      </c>
      <c r="J34" s="769">
        <v>40568</v>
      </c>
      <c r="K34" s="769">
        <v>40570</v>
      </c>
      <c r="L34" s="626" t="s">
        <v>892</v>
      </c>
      <c r="M34" s="626">
        <v>800</v>
      </c>
      <c r="N34" s="626">
        <v>3600</v>
      </c>
      <c r="O34" s="626">
        <v>5142.8571428571431</v>
      </c>
      <c r="P34" s="626">
        <v>10285.714285714286</v>
      </c>
      <c r="Q34" s="626">
        <v>0</v>
      </c>
      <c r="R34" s="626">
        <v>0</v>
      </c>
      <c r="S34" s="626">
        <v>0</v>
      </c>
      <c r="T34" s="626">
        <v>0</v>
      </c>
      <c r="U34" s="626">
        <v>0</v>
      </c>
      <c r="V34" s="626">
        <v>0</v>
      </c>
      <c r="W34" s="626">
        <v>0</v>
      </c>
      <c r="X34" s="626">
        <v>10</v>
      </c>
      <c r="Y34" s="626" t="s">
        <v>111</v>
      </c>
      <c r="Z34" s="628" t="s">
        <v>111</v>
      </c>
    </row>
    <row r="35" spans="1:27" s="580" customFormat="1" ht="25.5">
      <c r="A35" s="579"/>
      <c r="B35" s="770">
        <v>11035</v>
      </c>
      <c r="C35" s="770">
        <v>2520</v>
      </c>
      <c r="D35" s="627"/>
      <c r="E35" s="626"/>
      <c r="F35" s="626" t="s">
        <v>912</v>
      </c>
      <c r="G35" s="626" t="s">
        <v>890</v>
      </c>
      <c r="H35" s="626" t="s">
        <v>891</v>
      </c>
      <c r="I35" s="626" t="s">
        <v>913</v>
      </c>
      <c r="J35" s="769">
        <v>41627</v>
      </c>
      <c r="K35" s="769">
        <v>41627</v>
      </c>
      <c r="L35" s="626" t="s">
        <v>892</v>
      </c>
      <c r="M35" s="626">
        <v>19.399999999999999</v>
      </c>
      <c r="N35" s="626">
        <v>87.299999999999983</v>
      </c>
      <c r="O35" s="626">
        <v>124.71428571428569</v>
      </c>
      <c r="P35" s="626">
        <v>0</v>
      </c>
      <c r="Q35" s="626">
        <v>249.42857142857139</v>
      </c>
      <c r="R35" s="626">
        <v>0</v>
      </c>
      <c r="S35" s="626">
        <v>0</v>
      </c>
      <c r="T35" s="626">
        <v>0</v>
      </c>
      <c r="U35" s="626">
        <v>0</v>
      </c>
      <c r="V35" s="626">
        <v>0</v>
      </c>
      <c r="W35" s="626">
        <v>0</v>
      </c>
      <c r="X35" s="626">
        <v>10</v>
      </c>
      <c r="Y35" s="626" t="s">
        <v>111</v>
      </c>
      <c r="Z35" s="628" t="s">
        <v>111</v>
      </c>
    </row>
    <row r="36" spans="1:27" s="564" customFormat="1">
      <c r="A36" s="582" t="s">
        <v>279</v>
      </c>
      <c r="B36" s="583"/>
      <c r="C36" s="583"/>
      <c r="D36" s="583"/>
      <c r="E36" s="583"/>
      <c r="F36" s="583"/>
      <c r="G36" s="583"/>
      <c r="H36" s="583"/>
      <c r="I36" s="583"/>
      <c r="J36" s="583"/>
      <c r="K36" s="583"/>
      <c r="L36" s="584"/>
      <c r="M36" s="584">
        <f>SUM(M28:M35)</f>
        <v>10684.4</v>
      </c>
      <c r="N36" s="584">
        <f>SUM(N28:N35)</f>
        <v>48079.8</v>
      </c>
      <c r="O36" s="584">
        <f>SUM(O28:O35)</f>
        <v>68685.42857142858</v>
      </c>
      <c r="P36" s="584">
        <f>SUM(P28:P35)</f>
        <v>115309.28571428572</v>
      </c>
      <c r="Q36" s="584">
        <f>SUM(Q28:Q35)</f>
        <v>22061.571428571431</v>
      </c>
      <c r="R36" s="584">
        <f>SUM(R28:R35)</f>
        <v>0</v>
      </c>
      <c r="S36" s="584">
        <f>SUM(S28:S35)</f>
        <v>0</v>
      </c>
      <c r="T36" s="584">
        <f>SUM(T28:T35)</f>
        <v>0</v>
      </c>
      <c r="U36" s="584">
        <f>SUM(U28:U35)</f>
        <v>0</v>
      </c>
      <c r="V36" s="584">
        <f>SUM(V28:V35)</f>
        <v>0</v>
      </c>
      <c r="W36" s="584">
        <f>SUM(W28:W35)</f>
        <v>0</v>
      </c>
      <c r="X36" s="585"/>
      <c r="Y36" s="585"/>
      <c r="Z36" s="586"/>
    </row>
    <row r="37" spans="1:27" s="564" customFormat="1">
      <c r="A37" s="582" t="s">
        <v>286</v>
      </c>
      <c r="B37" s="583"/>
      <c r="C37" s="583"/>
      <c r="D37" s="583"/>
      <c r="E37" s="583"/>
      <c r="F37" s="583"/>
      <c r="G37" s="583"/>
      <c r="H37" s="583"/>
      <c r="I37" s="583"/>
      <c r="J37" s="583"/>
      <c r="K37" s="583"/>
      <c r="L37" s="584"/>
      <c r="M37" s="584">
        <f>SUMIF($Z$28:$Z$35,"industrie",M28:M35)</f>
        <v>0</v>
      </c>
      <c r="N37" s="584">
        <f>SUMIF($Z$28:$Z$35,"industrie",N28:N35)</f>
        <v>0</v>
      </c>
      <c r="O37" s="584">
        <f>SUMIF($Z$28:$Z$35,"industrie",O28:O35)</f>
        <v>0</v>
      </c>
      <c r="P37" s="584">
        <f>SUMIF($Z$28:$Z$35,"industrie",P28:P35)</f>
        <v>0</v>
      </c>
      <c r="Q37" s="584">
        <f>SUMIF($Z$28:$Z$35,"industrie",Q28:Q35)</f>
        <v>0</v>
      </c>
      <c r="R37" s="584">
        <f>SUMIF($Z$28:$Z$35,"industrie",R28:R35)</f>
        <v>0</v>
      </c>
      <c r="S37" s="584">
        <f>SUMIF($Z$28:$Z$35,"industrie",S28:S35)</f>
        <v>0</v>
      </c>
      <c r="T37" s="584">
        <f>SUMIF($Z$28:$Z$35,"industrie",T28:T35)</f>
        <v>0</v>
      </c>
      <c r="U37" s="584">
        <f>SUMIF($Z$28:$Z$35,"industrie",U28:U35)</f>
        <v>0</v>
      </c>
      <c r="V37" s="584">
        <f>SUMIF($Z$28:$Z$35,"industrie",V28:V35)</f>
        <v>0</v>
      </c>
      <c r="W37" s="584">
        <f>SUMIF($Z$28:$Z$35,"industrie",W28:W35)</f>
        <v>0</v>
      </c>
      <c r="X37" s="585"/>
      <c r="Y37" s="585"/>
      <c r="Z37" s="586"/>
    </row>
    <row r="38" spans="1:27" s="564" customFormat="1">
      <c r="A38" s="582" t="s">
        <v>287</v>
      </c>
      <c r="B38" s="583"/>
      <c r="C38" s="583"/>
      <c r="D38" s="583"/>
      <c r="E38" s="583"/>
      <c r="F38" s="583"/>
      <c r="G38" s="583"/>
      <c r="H38" s="583"/>
      <c r="I38" s="583"/>
      <c r="J38" s="583"/>
      <c r="K38" s="583"/>
      <c r="L38" s="584"/>
      <c r="M38" s="584">
        <f ca="1">SUMIF($Z$28:AC35,"tertiair",M28:M35)</f>
        <v>0</v>
      </c>
      <c r="N38" s="584">
        <f ca="1">SUMIF($Z$28:AD35,"tertiair",N28:N35)</f>
        <v>0</v>
      </c>
      <c r="O38" s="584">
        <f ca="1">SUMIF($Z$28:AE35,"tertiair",O28:O35)</f>
        <v>0</v>
      </c>
      <c r="P38" s="584">
        <f ca="1">SUMIF($Z$28:AF35,"tertiair",P28:P35)</f>
        <v>0</v>
      </c>
      <c r="Q38" s="584">
        <f ca="1">SUMIF($Z$28:AG35,"tertiair",Q28:Q35)</f>
        <v>0</v>
      </c>
      <c r="R38" s="584">
        <f ca="1">SUMIF($Z$28:AH35,"tertiair",R28:R35)</f>
        <v>0</v>
      </c>
      <c r="S38" s="584">
        <f ca="1">SUMIF($Z$28:AI35,"tertiair",S28:S35)</f>
        <v>0</v>
      </c>
      <c r="T38" s="584">
        <f ca="1">SUMIF($Z$28:AJ35,"tertiair",T28:T35)</f>
        <v>0</v>
      </c>
      <c r="U38" s="584">
        <f ca="1">SUMIF($Z$28:AK35,"tertiair",U28:U35)</f>
        <v>0</v>
      </c>
      <c r="V38" s="584">
        <f ca="1">SUMIF($Z$28:AL35,"tertiair",V28:V35)</f>
        <v>0</v>
      </c>
      <c r="W38" s="584">
        <f ca="1">SUMIF($Z$28:AM35,"tertiair",W28:W35)</f>
        <v>0</v>
      </c>
      <c r="X38" s="585"/>
      <c r="Y38" s="585"/>
      <c r="Z38" s="586"/>
    </row>
    <row r="39" spans="1:27" s="564" customFormat="1" ht="15.75" thickBot="1">
      <c r="A39" s="587" t="s">
        <v>288</v>
      </c>
      <c r="B39" s="588"/>
      <c r="C39" s="588"/>
      <c r="D39" s="588"/>
      <c r="E39" s="588"/>
      <c r="F39" s="588"/>
      <c r="G39" s="588"/>
      <c r="H39" s="588"/>
      <c r="I39" s="588"/>
      <c r="J39" s="588"/>
      <c r="K39" s="588"/>
      <c r="L39" s="589"/>
      <c r="M39" s="589">
        <f>SUMIF($Z$28:$Z$35,"landbouw",M28:M35)</f>
        <v>10684.4</v>
      </c>
      <c r="N39" s="589">
        <f>SUMIF($Z$28:$Z$35,"landbouw",N28:N35)</f>
        <v>48079.8</v>
      </c>
      <c r="O39" s="589">
        <f>SUMIF($Z$28:$Z$35,"landbouw",O28:O35)</f>
        <v>68685.42857142858</v>
      </c>
      <c r="P39" s="589">
        <f>SUMIF($Z$28:$Z$35,"landbouw",P28:P35)</f>
        <v>115309.28571428572</v>
      </c>
      <c r="Q39" s="589">
        <f>SUMIF($Z$28:$Z$35,"landbouw",Q28:Q35)</f>
        <v>22061.571428571431</v>
      </c>
      <c r="R39" s="589">
        <f>SUMIF($Z$28:$Z$35,"landbouw",R28:R35)</f>
        <v>0</v>
      </c>
      <c r="S39" s="589">
        <f>SUMIF($Z$28:$Z$35,"landbouw",S28:S35)</f>
        <v>0</v>
      </c>
      <c r="T39" s="589">
        <f>SUMIF($Z$28:$Z$35,"landbouw",T28:T35)</f>
        <v>0</v>
      </c>
      <c r="U39" s="589">
        <f>SUMIF($Z$28:$Z$35,"landbouw",U28:U35)</f>
        <v>0</v>
      </c>
      <c r="V39" s="589">
        <f>SUMIF($Z$28:$Z$35,"landbouw",V28:V35)</f>
        <v>0</v>
      </c>
      <c r="W39" s="589">
        <f>SUMIF($Z$28:$Z$35,"landbouw",W28:W35)</f>
        <v>0</v>
      </c>
      <c r="X39" s="590"/>
      <c r="Y39" s="590"/>
      <c r="Z39" s="591"/>
    </row>
    <row r="40" spans="1:27" s="533" customFormat="1" ht="15.75" thickBot="1">
      <c r="A40" s="592"/>
      <c r="B40" s="593"/>
      <c r="C40" s="593"/>
      <c r="D40" s="593"/>
      <c r="E40" s="593"/>
      <c r="F40" s="593"/>
      <c r="G40" s="593"/>
      <c r="H40" s="593"/>
      <c r="I40" s="593"/>
      <c r="J40" s="593"/>
      <c r="K40" s="593"/>
      <c r="L40" s="576"/>
      <c r="M40" s="576"/>
      <c r="N40" s="576"/>
      <c r="O40" s="577"/>
      <c r="P40" s="577"/>
    </row>
    <row r="41" spans="1:27" s="533" customFormat="1" ht="45">
      <c r="A41" s="594" t="s">
        <v>280</v>
      </c>
      <c r="B41" s="623" t="s">
        <v>89</v>
      </c>
      <c r="C41" s="623" t="s">
        <v>90</v>
      </c>
      <c r="D41" s="623" t="s">
        <v>91</v>
      </c>
      <c r="E41" s="623" t="s">
        <v>92</v>
      </c>
      <c r="F41" s="623" t="s">
        <v>93</v>
      </c>
      <c r="G41" s="623" t="s">
        <v>94</v>
      </c>
      <c r="H41" s="623" t="s">
        <v>95</v>
      </c>
      <c r="I41" s="623" t="s">
        <v>96</v>
      </c>
      <c r="J41" s="623" t="s">
        <v>97</v>
      </c>
      <c r="K41" s="623" t="s">
        <v>98</v>
      </c>
      <c r="L41" s="623" t="s">
        <v>99</v>
      </c>
      <c r="M41" s="624" t="s">
        <v>297</v>
      </c>
      <c r="N41" s="624" t="s">
        <v>100</v>
      </c>
      <c r="O41" s="624" t="s">
        <v>101</v>
      </c>
      <c r="P41" s="624" t="s">
        <v>533</v>
      </c>
      <c r="Q41" s="624" t="s">
        <v>102</v>
      </c>
      <c r="R41" s="624" t="s">
        <v>103</v>
      </c>
      <c r="S41" s="624" t="s">
        <v>104</v>
      </c>
      <c r="T41" s="624" t="s">
        <v>105</v>
      </c>
      <c r="U41" s="624" t="s">
        <v>106</v>
      </c>
      <c r="V41" s="624" t="s">
        <v>107</v>
      </c>
      <c r="W41" s="623" t="s">
        <v>108</v>
      </c>
      <c r="X41" s="623" t="s">
        <v>298</v>
      </c>
      <c r="Y41" s="623" t="s">
        <v>109</v>
      </c>
      <c r="Z41" s="625" t="s">
        <v>299</v>
      </c>
    </row>
    <row r="42" spans="1:27" s="595" customFormat="1" ht="12.75">
      <c r="A42" s="581"/>
      <c r="B42" s="770"/>
      <c r="C42" s="770"/>
      <c r="D42" s="629"/>
      <c r="E42" s="629"/>
      <c r="F42" s="629"/>
      <c r="G42" s="629"/>
      <c r="H42" s="629"/>
      <c r="I42" s="629"/>
      <c r="J42" s="769"/>
      <c r="K42" s="769"/>
      <c r="L42" s="629"/>
      <c r="M42" s="629"/>
      <c r="N42" s="629"/>
      <c r="O42" s="629"/>
      <c r="P42" s="629"/>
      <c r="Q42" s="629"/>
      <c r="R42" s="629"/>
      <c r="S42" s="629"/>
      <c r="T42" s="629"/>
      <c r="U42" s="629"/>
      <c r="V42" s="629"/>
      <c r="W42" s="629"/>
      <c r="X42" s="629"/>
      <c r="Y42" s="629"/>
      <c r="Z42" s="630"/>
    </row>
    <row r="43" spans="1:27" s="564" customFormat="1">
      <c r="A43" s="582" t="s">
        <v>279</v>
      </c>
      <c r="B43" s="583"/>
      <c r="C43" s="583"/>
      <c r="D43" s="583"/>
      <c r="E43" s="583"/>
      <c r="F43" s="583"/>
      <c r="G43" s="583"/>
      <c r="H43" s="583"/>
      <c r="I43" s="583"/>
      <c r="J43" s="583"/>
      <c r="K43" s="583"/>
      <c r="L43" s="584"/>
      <c r="M43" s="584">
        <f>SUM(M42:M42)</f>
        <v>0</v>
      </c>
      <c r="N43" s="584">
        <f>SUM(N42:N42)</f>
        <v>0</v>
      </c>
      <c r="O43" s="584">
        <f>SUM(O42:O42)</f>
        <v>0</v>
      </c>
      <c r="P43" s="584">
        <f>SUM(P42:P42)</f>
        <v>0</v>
      </c>
      <c r="Q43" s="584">
        <f>SUM(Q42:Q42)</f>
        <v>0</v>
      </c>
      <c r="R43" s="584">
        <f>SUM(R42:R42)</f>
        <v>0</v>
      </c>
      <c r="S43" s="584">
        <f>SUM(S42:S42)</f>
        <v>0</v>
      </c>
      <c r="T43" s="584">
        <f>SUM(T42:T42)</f>
        <v>0</v>
      </c>
      <c r="U43" s="584">
        <f>SUM(U42:U42)</f>
        <v>0</v>
      </c>
      <c r="V43" s="584">
        <f>SUM(V42:V42)</f>
        <v>0</v>
      </c>
      <c r="W43" s="584">
        <f>SUM(W42:W42)</f>
        <v>0</v>
      </c>
      <c r="X43" s="585"/>
      <c r="Y43" s="585"/>
      <c r="Z43" s="586"/>
    </row>
    <row r="44" spans="1:27" s="564" customFormat="1">
      <c r="A44" s="582" t="s">
        <v>286</v>
      </c>
      <c r="B44" s="583"/>
      <c r="C44" s="583"/>
      <c r="D44" s="583"/>
      <c r="E44" s="583"/>
      <c r="F44" s="583"/>
      <c r="G44" s="583"/>
      <c r="H44" s="583"/>
      <c r="I44" s="583"/>
      <c r="J44" s="583"/>
      <c r="K44" s="583"/>
      <c r="L44" s="584"/>
      <c r="M44" s="584">
        <f>SUMIF($Z$42:$Z$42,"industrie",M42:M42)</f>
        <v>0</v>
      </c>
      <c r="N44" s="584">
        <f>SUMIF($Z$42:$Z$42,"industrie",N42:N42)</f>
        <v>0</v>
      </c>
      <c r="O44" s="584">
        <f>SUMIF($Z$42:$Z$42,"industrie",O42:O42)</f>
        <v>0</v>
      </c>
      <c r="P44" s="584">
        <f>SUMIF($Z$42:$Z$42,"industrie",P42:P42)</f>
        <v>0</v>
      </c>
      <c r="Q44" s="584">
        <f>SUMIF($Z$42:$Z$42,"industrie",Q42:Q42)</f>
        <v>0</v>
      </c>
      <c r="R44" s="584">
        <f>SUMIF($Z$42:$Z$42,"industrie",R42:R42)</f>
        <v>0</v>
      </c>
      <c r="S44" s="584">
        <f>SUMIF($Z$42:$Z$42,"industrie",S42:S42)</f>
        <v>0</v>
      </c>
      <c r="T44" s="584">
        <f>SUMIF($Z$42:$Z$42,"industrie",T42:T42)</f>
        <v>0</v>
      </c>
      <c r="U44" s="584">
        <f>SUMIF($Z$42:$Z$42,"industrie",U42:U42)</f>
        <v>0</v>
      </c>
      <c r="V44" s="584">
        <f>SUMIF($Z$42:$Z$42,"industrie",V42:V42)</f>
        <v>0</v>
      </c>
      <c r="W44" s="584">
        <f>SUMIF($Z$42:$Z$42,"industrie",W42:W42)</f>
        <v>0</v>
      </c>
      <c r="X44" s="585"/>
      <c r="Y44" s="585"/>
      <c r="Z44" s="586"/>
    </row>
    <row r="45" spans="1:27" s="564" customFormat="1">
      <c r="A45" s="582" t="s">
        <v>287</v>
      </c>
      <c r="B45" s="583"/>
      <c r="C45" s="583"/>
      <c r="D45" s="583"/>
      <c r="E45" s="583"/>
      <c r="F45" s="583"/>
      <c r="G45" s="583"/>
      <c r="H45" s="583"/>
      <c r="I45" s="583"/>
      <c r="J45" s="583"/>
      <c r="K45" s="583"/>
      <c r="L45" s="584"/>
      <c r="M45" s="584">
        <f>SUMIF($Z$42:$Z$43,"tertiair",M42:M43)</f>
        <v>0</v>
      </c>
      <c r="N45" s="584">
        <f>SUMIF($Z$42:$Z$43,"tertiair",N42:N43)</f>
        <v>0</v>
      </c>
      <c r="O45" s="584">
        <f>SUMIF($Z$42:$Z$43,"tertiair",O42:O43)</f>
        <v>0</v>
      </c>
      <c r="P45" s="584">
        <f>SUMIF($Z$42:$Z$43,"tertiair",P42:P43)</f>
        <v>0</v>
      </c>
      <c r="Q45" s="584">
        <f>SUMIF($Z$42:$Z$43,"tertiair",Q42:Q43)</f>
        <v>0</v>
      </c>
      <c r="R45" s="584">
        <f>SUMIF($Z$42:$Z$43,"tertiair",R42:R43)</f>
        <v>0</v>
      </c>
      <c r="S45" s="584">
        <f>SUMIF($Z$42:$Z$43,"tertiair",S42:S43)</f>
        <v>0</v>
      </c>
      <c r="T45" s="584">
        <f>SUMIF($Z$42:$Z$43,"tertiair",T42:T43)</f>
        <v>0</v>
      </c>
      <c r="U45" s="584">
        <f>SUMIF($Z$42:$Z$43,"tertiair",U42:U43)</f>
        <v>0</v>
      </c>
      <c r="V45" s="584">
        <f>SUMIF($Z$42:$Z$43,"tertiair",V42:V43)</f>
        <v>0</v>
      </c>
      <c r="W45" s="584">
        <f>SUMIF($Z$42:$Z$43,"tertiair",W42:W43)</f>
        <v>0</v>
      </c>
      <c r="X45" s="585"/>
      <c r="Y45" s="585"/>
      <c r="Z45" s="586"/>
    </row>
    <row r="46" spans="1:27" s="564" customFormat="1" ht="15.75" thickBot="1">
      <c r="A46" s="587" t="s">
        <v>288</v>
      </c>
      <c r="B46" s="588"/>
      <c r="C46" s="588"/>
      <c r="D46" s="588"/>
      <c r="E46" s="588"/>
      <c r="F46" s="588"/>
      <c r="G46" s="588"/>
      <c r="H46" s="588"/>
      <c r="I46" s="588"/>
      <c r="J46" s="588"/>
      <c r="K46" s="588"/>
      <c r="L46" s="589"/>
      <c r="M46" s="589">
        <f>SUMIF($Z$42:$Z$44,"landbouw",M42:M44)</f>
        <v>0</v>
      </c>
      <c r="N46" s="589">
        <f>SUMIF($Z$42:$Z$44,"landbouw",N42:N44)</f>
        <v>0</v>
      </c>
      <c r="O46" s="589">
        <f>SUMIF($Z$42:$Z$44,"landbouw",O42:O44)</f>
        <v>0</v>
      </c>
      <c r="P46" s="589">
        <f>SUMIF($Z$42:$Z$44,"landbouw",P42:P44)</f>
        <v>0</v>
      </c>
      <c r="Q46" s="589">
        <f>SUMIF($Z$42:$Z$44,"landbouw",Q42:Q44)</f>
        <v>0</v>
      </c>
      <c r="R46" s="589">
        <f>SUMIF($Z$42:$Z$44,"landbouw",R42:R44)</f>
        <v>0</v>
      </c>
      <c r="S46" s="589">
        <f>SUMIF($Z$42:$Z$44,"landbouw",S42:S44)</f>
        <v>0</v>
      </c>
      <c r="T46" s="589">
        <f>SUMIF($Z$42:$Z$44,"landbouw",T42:T44)</f>
        <v>0</v>
      </c>
      <c r="U46" s="589">
        <f>SUMIF($Z$42:$Z$44,"landbouw",U42:U44)</f>
        <v>0</v>
      </c>
      <c r="V46" s="589">
        <f>SUMIF($Z$42:$Z$44,"landbouw",V42:V44)</f>
        <v>0</v>
      </c>
      <c r="W46" s="589">
        <f>SUMIF($Z$42:$Z$44,"landbouw",W42:W44)</f>
        <v>0</v>
      </c>
      <c r="X46" s="590"/>
      <c r="Y46" s="590"/>
      <c r="Z46" s="591"/>
    </row>
    <row r="47" spans="1:27" s="596" customFormat="1">
      <c r="A47" s="592"/>
      <c r="B47" s="576"/>
      <c r="C47" s="576"/>
      <c r="D47" s="576"/>
      <c r="E47" s="576"/>
      <c r="F47" s="576"/>
      <c r="G47" s="576"/>
      <c r="H47" s="576"/>
      <c r="I47" s="576"/>
      <c r="J47" s="576"/>
      <c r="K47" s="576"/>
      <c r="L47" s="576"/>
      <c r="M47" s="576"/>
      <c r="N47" s="576"/>
      <c r="O47" s="576"/>
      <c r="P47" s="576"/>
      <c r="Q47" s="576"/>
      <c r="R47" s="576"/>
      <c r="S47" s="576"/>
      <c r="T47" s="576"/>
      <c r="U47" s="576"/>
      <c r="V47" s="576"/>
      <c r="W47" s="576"/>
      <c r="X47" s="576"/>
      <c r="Y47" s="576"/>
    </row>
    <row r="48" spans="1:27" s="596" customFormat="1" ht="15.75" thickBot="1">
      <c r="A48" s="592"/>
      <c r="B48" s="576"/>
      <c r="C48" s="576"/>
      <c r="D48" s="576"/>
      <c r="E48" s="576"/>
      <c r="F48" s="576"/>
      <c r="G48" s="576"/>
      <c r="H48" s="576"/>
      <c r="I48" s="576"/>
      <c r="J48" s="576"/>
      <c r="K48" s="576"/>
      <c r="L48" s="576"/>
      <c r="M48" s="576"/>
      <c r="N48" s="576"/>
      <c r="O48" s="576"/>
      <c r="P48" s="576"/>
      <c r="Q48" s="576"/>
      <c r="R48" s="576"/>
      <c r="S48" s="576"/>
      <c r="T48" s="576"/>
      <c r="U48" s="576"/>
      <c r="V48" s="576"/>
      <c r="W48" s="576"/>
      <c r="X48" s="576"/>
      <c r="Y48" s="576"/>
      <c r="Z48" s="576"/>
      <c r="AA48" s="576"/>
    </row>
    <row r="49" spans="1:16">
      <c r="A49" s="597" t="s">
        <v>281</v>
      </c>
      <c r="B49" s="598"/>
      <c r="C49" s="598"/>
      <c r="D49" s="598"/>
      <c r="E49" s="598"/>
      <c r="F49" s="598"/>
      <c r="G49" s="598"/>
      <c r="H49" s="598"/>
      <c r="I49" s="599"/>
      <c r="J49" s="600"/>
      <c r="K49" s="600"/>
      <c r="L49" s="601"/>
      <c r="M49" s="601"/>
      <c r="N49" s="601"/>
      <c r="O49" s="601"/>
      <c r="P49" s="601"/>
    </row>
    <row r="50" spans="1:16">
      <c r="A50" s="603"/>
      <c r="B50" s="593"/>
      <c r="C50" s="593"/>
      <c r="D50" s="593"/>
      <c r="E50" s="593"/>
      <c r="F50" s="593"/>
      <c r="G50" s="593"/>
      <c r="H50" s="593"/>
      <c r="I50" s="604"/>
      <c r="J50" s="593"/>
      <c r="K50" s="593"/>
      <c r="L50" s="601"/>
      <c r="M50" s="601"/>
      <c r="N50" s="601"/>
      <c r="O50" s="601"/>
      <c r="P50" s="601"/>
    </row>
    <row r="51" spans="1:16">
      <c r="A51" s="605"/>
      <c r="B51" s="606" t="s">
        <v>282</v>
      </c>
      <c r="C51" s="606" t="s">
        <v>283</v>
      </c>
      <c r="D51" s="606"/>
      <c r="E51" s="606"/>
      <c r="F51" s="606"/>
      <c r="G51" s="606"/>
      <c r="H51" s="606"/>
      <c r="I51" s="607"/>
      <c r="J51" s="606"/>
      <c r="K51" s="606"/>
      <c r="L51" s="606"/>
      <c r="M51" s="606"/>
      <c r="N51" s="606"/>
      <c r="O51" s="606"/>
      <c r="P51" s="601"/>
    </row>
    <row r="52" spans="1:16">
      <c r="A52" s="603" t="s">
        <v>279</v>
      </c>
      <c r="B52" s="608">
        <f>IF(ISERROR(O36/(O36+N36)),0,O36/(O36+N36))</f>
        <v>0.58823529411764708</v>
      </c>
      <c r="C52" s="609">
        <f>IF(ISERROR(N36/(O36+N36)),0,N36/(N36+O36))</f>
        <v>0.41176470588235292</v>
      </c>
      <c r="D52" s="576"/>
      <c r="E52" s="576"/>
      <c r="F52" s="576"/>
      <c r="G52" s="576"/>
      <c r="H52" s="576"/>
      <c r="I52" s="610"/>
      <c r="J52" s="576"/>
      <c r="K52" s="576"/>
      <c r="L52" s="611"/>
      <c r="M52" s="611"/>
      <c r="N52" s="611"/>
      <c r="O52" s="611"/>
      <c r="P52" s="601"/>
    </row>
    <row r="53" spans="1:16">
      <c r="A53" s="603"/>
      <c r="B53" s="612"/>
      <c r="C53" s="612"/>
      <c r="D53" s="612"/>
      <c r="E53" s="612"/>
      <c r="F53" s="612"/>
      <c r="G53" s="612"/>
      <c r="H53" s="612"/>
      <c r="I53" s="613"/>
      <c r="J53" s="612"/>
      <c r="K53" s="612"/>
      <c r="L53" s="614"/>
      <c r="M53" s="614"/>
      <c r="N53" s="614"/>
      <c r="O53" s="614"/>
      <c r="P53" s="601"/>
    </row>
    <row r="54" spans="1:16" ht="30">
      <c r="A54" s="615"/>
      <c r="B54" s="616" t="s">
        <v>533</v>
      </c>
      <c r="C54" s="616" t="s">
        <v>102</v>
      </c>
      <c r="D54" s="616" t="s">
        <v>103</v>
      </c>
      <c r="E54" s="616" t="s">
        <v>104</v>
      </c>
      <c r="F54" s="616" t="s">
        <v>105</v>
      </c>
      <c r="G54" s="616" t="s">
        <v>106</v>
      </c>
      <c r="H54" s="616" t="s">
        <v>107</v>
      </c>
      <c r="I54" s="617" t="s">
        <v>108</v>
      </c>
      <c r="J54" s="606"/>
      <c r="K54" s="606"/>
      <c r="L54" s="614"/>
      <c r="M54" s="614"/>
      <c r="N54" s="614"/>
      <c r="O54" s="601"/>
      <c r="P54" s="601"/>
    </row>
    <row r="55" spans="1:16">
      <c r="A55" s="605" t="s">
        <v>284</v>
      </c>
      <c r="B55" s="618">
        <f t="shared" ref="B55:I55" si="2">$C$52*P36</f>
        <v>47480.294117647063</v>
      </c>
      <c r="C55" s="618">
        <f t="shared" si="2"/>
        <v>9084.176470588236</v>
      </c>
      <c r="D55" s="618">
        <f t="shared" si="2"/>
        <v>0</v>
      </c>
      <c r="E55" s="618">
        <f t="shared" si="2"/>
        <v>0</v>
      </c>
      <c r="F55" s="618">
        <f t="shared" si="2"/>
        <v>0</v>
      </c>
      <c r="G55" s="618">
        <f t="shared" si="2"/>
        <v>0</v>
      </c>
      <c r="H55" s="618">
        <f t="shared" si="2"/>
        <v>0</v>
      </c>
      <c r="I55" s="619">
        <f t="shared" si="2"/>
        <v>0</v>
      </c>
      <c r="J55" s="576"/>
      <c r="K55" s="576"/>
      <c r="L55" s="614"/>
      <c r="M55" s="614"/>
      <c r="N55" s="614"/>
      <c r="O55" s="601"/>
      <c r="P55" s="601"/>
    </row>
    <row r="56" spans="1:16" ht="15.75" thickBot="1">
      <c r="A56" s="620" t="s">
        <v>285</v>
      </c>
      <c r="B56" s="621">
        <f t="shared" ref="B56:I56" si="3">$B$52*P36</f>
        <v>67828.991596638662</v>
      </c>
      <c r="C56" s="621">
        <f t="shared" si="3"/>
        <v>12977.394957983195</v>
      </c>
      <c r="D56" s="621">
        <f t="shared" si="3"/>
        <v>0</v>
      </c>
      <c r="E56" s="621">
        <f t="shared" si="3"/>
        <v>0</v>
      </c>
      <c r="F56" s="621">
        <f t="shared" si="3"/>
        <v>0</v>
      </c>
      <c r="G56" s="621">
        <f t="shared" si="3"/>
        <v>0</v>
      </c>
      <c r="H56" s="621">
        <f t="shared" si="3"/>
        <v>0</v>
      </c>
      <c r="I56" s="622">
        <f t="shared" si="3"/>
        <v>0</v>
      </c>
      <c r="J56" s="576"/>
      <c r="K56" s="576"/>
      <c r="L56" s="614"/>
      <c r="M56" s="614"/>
      <c r="N56" s="614"/>
      <c r="O56" s="601"/>
      <c r="P56" s="601"/>
    </row>
    <row r="57" spans="1:16">
      <c r="J57" s="562"/>
      <c r="K57" s="562"/>
      <c r="L57" s="562"/>
      <c r="M57" s="562"/>
      <c r="N57" s="562"/>
    </row>
    <row r="58" spans="1:16">
      <c r="J58" s="562"/>
      <c r="K58" s="562"/>
      <c r="L58" s="562"/>
      <c r="M58" s="562"/>
      <c r="N58"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35328.682944223925</v>
      </c>
      <c r="C4" s="451">
        <f>huishoudens!C8</f>
        <v>0</v>
      </c>
      <c r="D4" s="451">
        <f>huishoudens!D8</f>
        <v>92867.837759576534</v>
      </c>
      <c r="E4" s="451">
        <f>huishoudens!E8</f>
        <v>5717.89433178526</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22827.250309447423</v>
      </c>
      <c r="O4" s="451">
        <f>huishoudens!O8</f>
        <v>326.73666666666668</v>
      </c>
      <c r="P4" s="452">
        <f>huishoudens!P8</f>
        <v>1658.8</v>
      </c>
      <c r="Q4" s="453">
        <f>SUM(B4:P4)</f>
        <v>158727.20201169982</v>
      </c>
    </row>
    <row r="5" spans="1:17">
      <c r="A5" s="450" t="s">
        <v>155</v>
      </c>
      <c r="B5" s="451">
        <f ca="1">tertiair!B16</f>
        <v>39177.889475403921</v>
      </c>
      <c r="C5" s="451">
        <f ca="1">tertiair!C16</f>
        <v>0</v>
      </c>
      <c r="D5" s="451">
        <f ca="1">tertiair!D16</f>
        <v>25019.173076227169</v>
      </c>
      <c r="E5" s="451">
        <f>tertiair!E16</f>
        <v>387.96463885319383</v>
      </c>
      <c r="F5" s="451">
        <f ca="1">tertiair!F16</f>
        <v>8376.2180735605052</v>
      </c>
      <c r="G5" s="451">
        <f>tertiair!G16</f>
        <v>0</v>
      </c>
      <c r="H5" s="451">
        <f>tertiair!H16</f>
        <v>0</v>
      </c>
      <c r="I5" s="451">
        <f>tertiair!I16</f>
        <v>0</v>
      </c>
      <c r="J5" s="451">
        <f>tertiair!J16</f>
        <v>0.41719121547558713</v>
      </c>
      <c r="K5" s="451">
        <f>tertiair!K16</f>
        <v>0</v>
      </c>
      <c r="L5" s="451">
        <f ca="1">tertiair!L16</f>
        <v>0</v>
      </c>
      <c r="M5" s="451">
        <f>tertiair!M16</f>
        <v>0</v>
      </c>
      <c r="N5" s="451">
        <f ca="1">tertiair!N16</f>
        <v>16353.756669967335</v>
      </c>
      <c r="O5" s="451">
        <f>tertiair!O16</f>
        <v>1.5633333333333335</v>
      </c>
      <c r="P5" s="452">
        <f>tertiair!P16</f>
        <v>19.066666666666666</v>
      </c>
      <c r="Q5" s="450">
        <f t="shared" ref="Q5:Q14" ca="1" si="0">SUM(B5:P5)</f>
        <v>89336.049125227597</v>
      </c>
    </row>
    <row r="6" spans="1:17">
      <c r="A6" s="450" t="s">
        <v>193</v>
      </c>
      <c r="B6" s="451">
        <f>'openbare verlichting'!B8</f>
        <v>1425.2080000000001</v>
      </c>
      <c r="C6" s="451"/>
      <c r="D6" s="451"/>
      <c r="E6" s="451"/>
      <c r="F6" s="451"/>
      <c r="G6" s="451"/>
      <c r="H6" s="451"/>
      <c r="I6" s="451"/>
      <c r="J6" s="451"/>
      <c r="K6" s="451"/>
      <c r="L6" s="451"/>
      <c r="M6" s="451"/>
      <c r="N6" s="451"/>
      <c r="O6" s="451"/>
      <c r="P6" s="452"/>
      <c r="Q6" s="450">
        <f t="shared" si="0"/>
        <v>1425.2080000000001</v>
      </c>
    </row>
    <row r="7" spans="1:17">
      <c r="A7" s="450" t="s">
        <v>111</v>
      </c>
      <c r="B7" s="451">
        <f>landbouw!B8</f>
        <v>2672.3540278537494</v>
      </c>
      <c r="C7" s="451">
        <f>landbouw!C8</f>
        <v>68685.42857142858</v>
      </c>
      <c r="D7" s="451">
        <f>landbouw!D8</f>
        <v>0</v>
      </c>
      <c r="E7" s="451">
        <f>landbouw!E8</f>
        <v>78.548647189928957</v>
      </c>
      <c r="F7" s="451">
        <f>landbouw!F8</f>
        <v>11132.882473606611</v>
      </c>
      <c r="G7" s="451">
        <f>landbouw!G8</f>
        <v>0</v>
      </c>
      <c r="H7" s="451">
        <f>landbouw!H8</f>
        <v>0</v>
      </c>
      <c r="I7" s="451">
        <f>landbouw!I8</f>
        <v>0</v>
      </c>
      <c r="J7" s="451">
        <f>landbouw!J8</f>
        <v>387.16670917632945</v>
      </c>
      <c r="K7" s="451">
        <f>landbouw!K8</f>
        <v>0</v>
      </c>
      <c r="L7" s="451">
        <f>landbouw!L8</f>
        <v>0</v>
      </c>
      <c r="M7" s="451">
        <f>landbouw!M8</f>
        <v>0</v>
      </c>
      <c r="N7" s="451">
        <f>landbouw!N8</f>
        <v>0</v>
      </c>
      <c r="O7" s="451">
        <f>landbouw!O8</f>
        <v>0</v>
      </c>
      <c r="P7" s="452">
        <f>landbouw!P8</f>
        <v>0</v>
      </c>
      <c r="Q7" s="450">
        <f t="shared" si="0"/>
        <v>82956.380429255209</v>
      </c>
    </row>
    <row r="8" spans="1:17">
      <c r="A8" s="450" t="s">
        <v>634</v>
      </c>
      <c r="B8" s="451">
        <f>industrie!B18</f>
        <v>34440.144571188699</v>
      </c>
      <c r="C8" s="451">
        <f>industrie!C18</f>
        <v>0</v>
      </c>
      <c r="D8" s="451">
        <f>industrie!D18</f>
        <v>95063.610981820777</v>
      </c>
      <c r="E8" s="451">
        <f>industrie!E18</f>
        <v>2184.0240152108922</v>
      </c>
      <c r="F8" s="451">
        <f>industrie!F18</f>
        <v>7545.8667321996345</v>
      </c>
      <c r="G8" s="451">
        <f>industrie!G18</f>
        <v>0</v>
      </c>
      <c r="H8" s="451">
        <f>industrie!H18</f>
        <v>0</v>
      </c>
      <c r="I8" s="451">
        <f>industrie!I18</f>
        <v>0</v>
      </c>
      <c r="J8" s="451">
        <f>industrie!J18</f>
        <v>116.49143837754967</v>
      </c>
      <c r="K8" s="451">
        <f>industrie!K18</f>
        <v>0</v>
      </c>
      <c r="L8" s="451">
        <f>industrie!L18</f>
        <v>0</v>
      </c>
      <c r="M8" s="451">
        <f>industrie!M18</f>
        <v>0</v>
      </c>
      <c r="N8" s="451">
        <f>industrie!N18</f>
        <v>2416.2572674444364</v>
      </c>
      <c r="O8" s="451">
        <f>industrie!O18</f>
        <v>0</v>
      </c>
      <c r="P8" s="452">
        <f>industrie!P18</f>
        <v>0</v>
      </c>
      <c r="Q8" s="450">
        <f t="shared" si="0"/>
        <v>141766.395006242</v>
      </c>
    </row>
    <row r="9" spans="1:17" s="456" customFormat="1">
      <c r="A9" s="454" t="s">
        <v>560</v>
      </c>
      <c r="B9" s="455">
        <f>transport!B14</f>
        <v>120.67689805038042</v>
      </c>
      <c r="C9" s="455">
        <f>transport!C14</f>
        <v>0</v>
      </c>
      <c r="D9" s="455">
        <f>transport!D14</f>
        <v>304.56085917659698</v>
      </c>
      <c r="E9" s="455">
        <f>transport!E14</f>
        <v>611.26024789157839</v>
      </c>
      <c r="F9" s="455">
        <f>transport!F14</f>
        <v>0</v>
      </c>
      <c r="G9" s="455">
        <f>transport!G14</f>
        <v>336958.16901008738</v>
      </c>
      <c r="H9" s="455">
        <f>transport!H14</f>
        <v>53271.823202008163</v>
      </c>
      <c r="I9" s="455">
        <f>transport!I14</f>
        <v>0</v>
      </c>
      <c r="J9" s="455">
        <f>transport!J14</f>
        <v>0</v>
      </c>
      <c r="K9" s="455">
        <f>transport!K14</f>
        <v>0</v>
      </c>
      <c r="L9" s="455">
        <f>transport!L14</f>
        <v>0</v>
      </c>
      <c r="M9" s="455">
        <f>transport!M14</f>
        <v>21255.233701244655</v>
      </c>
      <c r="N9" s="455">
        <f>transport!N14</f>
        <v>0</v>
      </c>
      <c r="O9" s="455">
        <f>transport!O14</f>
        <v>0</v>
      </c>
      <c r="P9" s="455">
        <f>transport!P14</f>
        <v>0</v>
      </c>
      <c r="Q9" s="454">
        <f>SUM(B9:P9)</f>
        <v>412521.72391845874</v>
      </c>
    </row>
    <row r="10" spans="1:17">
      <c r="A10" s="450" t="s">
        <v>550</v>
      </c>
      <c r="B10" s="451">
        <f>transport!B54</f>
        <v>0</v>
      </c>
      <c r="C10" s="451">
        <f>transport!C54</f>
        <v>0</v>
      </c>
      <c r="D10" s="451">
        <f>transport!D54</f>
        <v>0</v>
      </c>
      <c r="E10" s="451">
        <f>transport!E54</f>
        <v>0</v>
      </c>
      <c r="F10" s="451">
        <f>transport!F54</f>
        <v>0</v>
      </c>
      <c r="G10" s="451">
        <f>transport!G54</f>
        <v>3324.7184855894793</v>
      </c>
      <c r="H10" s="451">
        <f>transport!H54</f>
        <v>0</v>
      </c>
      <c r="I10" s="451">
        <f>transport!I54</f>
        <v>0</v>
      </c>
      <c r="J10" s="451">
        <f>transport!J54</f>
        <v>0</v>
      </c>
      <c r="K10" s="451">
        <f>transport!K54</f>
        <v>0</v>
      </c>
      <c r="L10" s="451">
        <f>transport!L54</f>
        <v>0</v>
      </c>
      <c r="M10" s="451">
        <f>transport!M54</f>
        <v>188.81506875135273</v>
      </c>
      <c r="N10" s="451">
        <f>transport!N54</f>
        <v>0</v>
      </c>
      <c r="O10" s="451">
        <f>transport!O54</f>
        <v>0</v>
      </c>
      <c r="P10" s="452">
        <f>transport!P54</f>
        <v>0</v>
      </c>
      <c r="Q10" s="450">
        <f t="shared" si="0"/>
        <v>3513.5335543408319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1138.2969278109899</v>
      </c>
      <c r="C14" s="458"/>
      <c r="D14" s="458">
        <f>'SEAP template'!E25</f>
        <v>2597.1525471991099</v>
      </c>
      <c r="E14" s="458"/>
      <c r="F14" s="458"/>
      <c r="G14" s="458"/>
      <c r="H14" s="458"/>
      <c r="I14" s="458"/>
      <c r="J14" s="458"/>
      <c r="K14" s="458"/>
      <c r="L14" s="458"/>
      <c r="M14" s="458"/>
      <c r="N14" s="458"/>
      <c r="O14" s="458"/>
      <c r="P14" s="459"/>
      <c r="Q14" s="450">
        <f t="shared" si="0"/>
        <v>3735.4494750100998</v>
      </c>
    </row>
    <row r="15" spans="1:17" s="460" customFormat="1">
      <c r="A15" s="1005" t="s">
        <v>554</v>
      </c>
      <c r="B15" s="953">
        <f ca="1">SUM(B4:B14)</f>
        <v>114303.25284453167</v>
      </c>
      <c r="C15" s="953">
        <f t="shared" ref="C15:Q15" ca="1" si="1">SUM(C4:C14)</f>
        <v>68685.42857142858</v>
      </c>
      <c r="D15" s="953">
        <f t="shared" ca="1" si="1"/>
        <v>215852.33522400018</v>
      </c>
      <c r="E15" s="953">
        <f t="shared" si="1"/>
        <v>8979.6918809308536</v>
      </c>
      <c r="F15" s="953">
        <f t="shared" ca="1" si="1"/>
        <v>27054.967279366749</v>
      </c>
      <c r="G15" s="953">
        <f t="shared" si="1"/>
        <v>340282.88749567687</v>
      </c>
      <c r="H15" s="953">
        <f t="shared" si="1"/>
        <v>53271.823202008163</v>
      </c>
      <c r="I15" s="953">
        <f t="shared" si="1"/>
        <v>0</v>
      </c>
      <c r="J15" s="953">
        <f t="shared" si="1"/>
        <v>504.07533876935474</v>
      </c>
      <c r="K15" s="953">
        <f t="shared" si="1"/>
        <v>0</v>
      </c>
      <c r="L15" s="953">
        <f t="shared" ca="1" si="1"/>
        <v>0</v>
      </c>
      <c r="M15" s="953">
        <f t="shared" si="1"/>
        <v>21444.048769996007</v>
      </c>
      <c r="N15" s="953">
        <f t="shared" ca="1" si="1"/>
        <v>41597.264246859195</v>
      </c>
      <c r="O15" s="953">
        <f t="shared" si="1"/>
        <v>328.3</v>
      </c>
      <c r="P15" s="953">
        <f t="shared" si="1"/>
        <v>1677.8666666666666</v>
      </c>
      <c r="Q15" s="953">
        <f t="shared" ca="1" si="1"/>
        <v>893981.94152023434</v>
      </c>
    </row>
    <row r="17" spans="1:17">
      <c r="A17" s="461" t="s">
        <v>555</v>
      </c>
      <c r="B17" s="760">
        <f ca="1">huishoudens!B10</f>
        <v>0.20132935413325978</v>
      </c>
      <c r="C17" s="760">
        <f ca="1">huishoudens!C10</f>
        <v>0.19948126680570022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7112.700919539313</v>
      </c>
      <c r="C22" s="451">
        <f t="shared" ref="C22:C32" ca="1" si="3">C4*$C$17</f>
        <v>0</v>
      </c>
      <c r="D22" s="451">
        <f t="shared" ref="D22:D32" si="4">D4*$D$17</f>
        <v>18759.303227434462</v>
      </c>
      <c r="E22" s="451">
        <f t="shared" ref="E22:E32" si="5">E4*$E$17</f>
        <v>1297.9620133152541</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27169.96616028903</v>
      </c>
    </row>
    <row r="23" spans="1:17">
      <c r="A23" s="450" t="s">
        <v>155</v>
      </c>
      <c r="B23" s="451">
        <f t="shared" ca="1" si="2"/>
        <v>7887.6591843873075</v>
      </c>
      <c r="C23" s="451">
        <f t="shared" ca="1" si="3"/>
        <v>0</v>
      </c>
      <c r="D23" s="451">
        <f t="shared" ca="1" si="4"/>
        <v>5053.8729613978885</v>
      </c>
      <c r="E23" s="451">
        <f t="shared" si="5"/>
        <v>88.067973019675009</v>
      </c>
      <c r="F23" s="451">
        <f t="shared" ca="1" si="6"/>
        <v>2236.4502256406549</v>
      </c>
      <c r="G23" s="451">
        <f t="shared" si="7"/>
        <v>0</v>
      </c>
      <c r="H23" s="451">
        <f t="shared" si="8"/>
        <v>0</v>
      </c>
      <c r="I23" s="451">
        <f t="shared" si="9"/>
        <v>0</v>
      </c>
      <c r="J23" s="451">
        <f t="shared" si="10"/>
        <v>0.14768569027835785</v>
      </c>
      <c r="K23" s="451">
        <f t="shared" si="11"/>
        <v>0</v>
      </c>
      <c r="L23" s="451">
        <f t="shared" ca="1" si="12"/>
        <v>0</v>
      </c>
      <c r="M23" s="451">
        <f t="shared" si="13"/>
        <v>0</v>
      </c>
      <c r="N23" s="451">
        <f t="shared" ca="1" si="14"/>
        <v>0</v>
      </c>
      <c r="O23" s="451">
        <f t="shared" si="15"/>
        <v>0</v>
      </c>
      <c r="P23" s="452">
        <f t="shared" si="16"/>
        <v>0</v>
      </c>
      <c r="Q23" s="450">
        <f t="shared" ref="Q23:Q32" ca="1" si="17">SUM(B23:P23)</f>
        <v>15266.198030135807</v>
      </c>
    </row>
    <row r="24" spans="1:17">
      <c r="A24" s="450" t="s">
        <v>193</v>
      </c>
      <c r="B24" s="451">
        <f t="shared" ca="1" si="2"/>
        <v>286.93620614555493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286.93620614555493</v>
      </c>
    </row>
    <row r="25" spans="1:17">
      <c r="A25" s="450" t="s">
        <v>111</v>
      </c>
      <c r="B25" s="451">
        <f t="shared" ca="1" si="2"/>
        <v>538.02331044321068</v>
      </c>
      <c r="C25" s="451">
        <f t="shared" ca="1" si="3"/>
        <v>13701.45630252101</v>
      </c>
      <c r="D25" s="451">
        <f t="shared" si="4"/>
        <v>0</v>
      </c>
      <c r="E25" s="451">
        <f t="shared" si="5"/>
        <v>17.830542912113874</v>
      </c>
      <c r="F25" s="451">
        <f t="shared" si="6"/>
        <v>2972.4796204529653</v>
      </c>
      <c r="G25" s="451">
        <f t="shared" si="7"/>
        <v>0</v>
      </c>
      <c r="H25" s="451">
        <f t="shared" si="8"/>
        <v>0</v>
      </c>
      <c r="I25" s="451">
        <f t="shared" si="9"/>
        <v>0</v>
      </c>
      <c r="J25" s="451">
        <f t="shared" si="10"/>
        <v>137.05701504842062</v>
      </c>
      <c r="K25" s="451">
        <f t="shared" si="11"/>
        <v>0</v>
      </c>
      <c r="L25" s="451">
        <f t="shared" si="12"/>
        <v>0</v>
      </c>
      <c r="M25" s="451">
        <f t="shared" si="13"/>
        <v>0</v>
      </c>
      <c r="N25" s="451">
        <f t="shared" si="14"/>
        <v>0</v>
      </c>
      <c r="O25" s="451">
        <f t="shared" si="15"/>
        <v>0</v>
      </c>
      <c r="P25" s="452">
        <f t="shared" si="16"/>
        <v>0</v>
      </c>
      <c r="Q25" s="450">
        <f t="shared" ca="1" si="17"/>
        <v>17366.84679137772</v>
      </c>
    </row>
    <row r="26" spans="1:17">
      <c r="A26" s="450" t="s">
        <v>634</v>
      </c>
      <c r="B26" s="451">
        <f t="shared" ca="1" si="2"/>
        <v>6933.8120627735143</v>
      </c>
      <c r="C26" s="451">
        <f t="shared" ca="1" si="3"/>
        <v>0</v>
      </c>
      <c r="D26" s="451">
        <f t="shared" si="4"/>
        <v>19202.849418327798</v>
      </c>
      <c r="E26" s="451">
        <f t="shared" si="5"/>
        <v>495.77345145287256</v>
      </c>
      <c r="F26" s="451">
        <f t="shared" si="6"/>
        <v>2014.7464174973024</v>
      </c>
      <c r="G26" s="451">
        <f t="shared" si="7"/>
        <v>0</v>
      </c>
      <c r="H26" s="451">
        <f t="shared" si="8"/>
        <v>0</v>
      </c>
      <c r="I26" s="451">
        <f t="shared" si="9"/>
        <v>0</v>
      </c>
      <c r="J26" s="451">
        <f t="shared" si="10"/>
        <v>41.237969185652581</v>
      </c>
      <c r="K26" s="451">
        <f t="shared" si="11"/>
        <v>0</v>
      </c>
      <c r="L26" s="451">
        <f t="shared" si="12"/>
        <v>0</v>
      </c>
      <c r="M26" s="451">
        <f t="shared" si="13"/>
        <v>0</v>
      </c>
      <c r="N26" s="451">
        <f t="shared" si="14"/>
        <v>0</v>
      </c>
      <c r="O26" s="451">
        <f t="shared" si="15"/>
        <v>0</v>
      </c>
      <c r="P26" s="452">
        <f t="shared" si="16"/>
        <v>0</v>
      </c>
      <c r="Q26" s="450">
        <f t="shared" ca="1" si="17"/>
        <v>28688.419319237139</v>
      </c>
    </row>
    <row r="27" spans="1:17" s="456" customFormat="1">
      <c r="A27" s="454" t="s">
        <v>560</v>
      </c>
      <c r="B27" s="754">
        <f t="shared" ca="1" si="2"/>
        <v>24.295801943288325</v>
      </c>
      <c r="C27" s="455">
        <f t="shared" ca="1" si="3"/>
        <v>0</v>
      </c>
      <c r="D27" s="455">
        <f t="shared" si="4"/>
        <v>61.521293553672592</v>
      </c>
      <c r="E27" s="455">
        <f t="shared" si="5"/>
        <v>138.75607627138831</v>
      </c>
      <c r="F27" s="455">
        <f t="shared" si="6"/>
        <v>0</v>
      </c>
      <c r="G27" s="455">
        <f t="shared" si="7"/>
        <v>89967.831125693338</v>
      </c>
      <c r="H27" s="455">
        <f t="shared" si="8"/>
        <v>13264.683977300032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103457.08827476171</v>
      </c>
    </row>
    <row r="28" spans="1:17">
      <c r="A28" s="450" t="s">
        <v>550</v>
      </c>
      <c r="B28" s="451">
        <f t="shared" ca="1" si="2"/>
        <v>0</v>
      </c>
      <c r="C28" s="451">
        <f t="shared" ca="1" si="3"/>
        <v>0</v>
      </c>
      <c r="D28" s="451">
        <f t="shared" si="4"/>
        <v>0</v>
      </c>
      <c r="E28" s="451">
        <f t="shared" si="5"/>
        <v>0</v>
      </c>
      <c r="F28" s="451">
        <f t="shared" si="6"/>
        <v>0</v>
      </c>
      <c r="G28" s="451">
        <f t="shared" si="7"/>
        <v>887.69983565239102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887.69983565239102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229.17258528806045</v>
      </c>
      <c r="C32" s="451">
        <f t="shared" ca="1" si="3"/>
        <v>0</v>
      </c>
      <c r="D32" s="451">
        <f t="shared" si="4"/>
        <v>524.62481453422026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753.79739982228068</v>
      </c>
    </row>
    <row r="33" spans="1:17" s="460" customFormat="1">
      <c r="A33" s="1005" t="s">
        <v>554</v>
      </c>
      <c r="B33" s="953">
        <f ca="1">SUM(B22:B32)</f>
        <v>23012.600070520246</v>
      </c>
      <c r="C33" s="953">
        <f t="shared" ref="C33:Q33" ca="1" si="18">SUM(C22:C32)</f>
        <v>13701.45630252101</v>
      </c>
      <c r="D33" s="953">
        <f t="shared" ca="1" si="18"/>
        <v>43602.171715248034</v>
      </c>
      <c r="E33" s="953">
        <f t="shared" si="18"/>
        <v>2038.3900569713041</v>
      </c>
      <c r="F33" s="953">
        <f t="shared" ca="1" si="18"/>
        <v>7223.6762635909236</v>
      </c>
      <c r="G33" s="953">
        <f t="shared" si="18"/>
        <v>90855.530961345736</v>
      </c>
      <c r="H33" s="953">
        <f t="shared" si="18"/>
        <v>13264.683977300032</v>
      </c>
      <c r="I33" s="953">
        <f t="shared" si="18"/>
        <v>0</v>
      </c>
      <c r="J33" s="953">
        <f t="shared" si="18"/>
        <v>178.44266992435158</v>
      </c>
      <c r="K33" s="953">
        <f t="shared" si="18"/>
        <v>0</v>
      </c>
      <c r="L33" s="953">
        <f t="shared" ca="1" si="18"/>
        <v>0</v>
      </c>
      <c r="M33" s="953">
        <f t="shared" si="18"/>
        <v>0</v>
      </c>
      <c r="N33" s="953">
        <f t="shared" ca="1" si="18"/>
        <v>0</v>
      </c>
      <c r="O33" s="953">
        <f t="shared" si="18"/>
        <v>0</v>
      </c>
      <c r="P33" s="953">
        <f t="shared" si="18"/>
        <v>0</v>
      </c>
      <c r="Q33" s="953">
        <f t="shared" ca="1" si="18"/>
        <v>193876.95201742163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5492.3186420179109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7721.55</v>
      </c>
      <c r="C8" s="1022">
        <f>'SEAP template'!C76</f>
        <v>40358.25</v>
      </c>
      <c r="D8" s="1022">
        <f>'SEAP template'!D76</f>
        <v>47480.294117647063</v>
      </c>
      <c r="E8" s="1022">
        <f>'SEAP template'!E76</f>
        <v>0</v>
      </c>
      <c r="F8" s="1022">
        <f>'SEAP template'!F76</f>
        <v>0</v>
      </c>
      <c r="G8" s="1022">
        <f>'SEAP template'!G76</f>
        <v>0</v>
      </c>
      <c r="H8" s="1022">
        <f>'SEAP template'!H76</f>
        <v>0</v>
      </c>
      <c r="I8" s="1022">
        <f>'SEAP template'!I76</f>
        <v>0</v>
      </c>
      <c r="J8" s="1022">
        <f>'SEAP template'!J76</f>
        <v>9084.176470588236</v>
      </c>
      <c r="K8" s="1022">
        <f>'SEAP template'!K76</f>
        <v>0</v>
      </c>
      <c r="L8" s="1022">
        <f>'SEAP template'!L76</f>
        <v>0</v>
      </c>
      <c r="M8" s="1022">
        <f>'SEAP template'!M76</f>
        <v>0</v>
      </c>
      <c r="N8" s="1022">
        <f>'SEAP template'!N76</f>
        <v>0</v>
      </c>
      <c r="O8" s="1022">
        <f>'SEAP template'!O76</f>
        <v>0</v>
      </c>
      <c r="P8" s="1023">
        <f>'SEAP template'!Q76</f>
        <v>9591.0194117647079</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13213.868642017911</v>
      </c>
      <c r="C10" s="1026">
        <f>SUM(C4:C9)</f>
        <v>40358.25</v>
      </c>
      <c r="D10" s="1026">
        <f t="shared" ref="D10:H10" si="0">SUM(D8:D9)</f>
        <v>47480.294117647063</v>
      </c>
      <c r="E10" s="1026">
        <f t="shared" si="0"/>
        <v>0</v>
      </c>
      <c r="F10" s="1026">
        <f t="shared" si="0"/>
        <v>0</v>
      </c>
      <c r="G10" s="1026">
        <f t="shared" si="0"/>
        <v>0</v>
      </c>
      <c r="H10" s="1026">
        <f t="shared" si="0"/>
        <v>0</v>
      </c>
      <c r="I10" s="1026">
        <f>SUM(I8:I9)</f>
        <v>0</v>
      </c>
      <c r="J10" s="1026">
        <f>SUM(J8:J9)</f>
        <v>9084.176470588236</v>
      </c>
      <c r="K10" s="1026">
        <f t="shared" ref="K10:L10" si="1">SUM(K8:K9)</f>
        <v>0</v>
      </c>
      <c r="L10" s="1026">
        <f t="shared" si="1"/>
        <v>0</v>
      </c>
      <c r="M10" s="1026">
        <f>SUM(M8:M9)</f>
        <v>0</v>
      </c>
      <c r="N10" s="1026">
        <f>SUM(N8:N9)</f>
        <v>0</v>
      </c>
      <c r="O10" s="1026">
        <f>SUM(O8:O9)</f>
        <v>0</v>
      </c>
      <c r="P10" s="1026">
        <f>SUM(P8:P9)</f>
        <v>9591.0194117647079</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0.20132935413325978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11030.785714285716</v>
      </c>
      <c r="C17" s="1028">
        <f>'SEAP template'!C87</f>
        <v>57654.642857142862</v>
      </c>
      <c r="D17" s="1023">
        <f>'SEAP template'!D87</f>
        <v>67828.991596638662</v>
      </c>
      <c r="E17" s="1023">
        <f>'SEAP template'!E87</f>
        <v>0</v>
      </c>
      <c r="F17" s="1023">
        <f>'SEAP template'!F87</f>
        <v>0</v>
      </c>
      <c r="G17" s="1023">
        <f>'SEAP template'!G87</f>
        <v>0</v>
      </c>
      <c r="H17" s="1023">
        <f>'SEAP template'!H87</f>
        <v>0</v>
      </c>
      <c r="I17" s="1023">
        <f>'SEAP template'!I87</f>
        <v>0</v>
      </c>
      <c r="J17" s="1023">
        <f>'SEAP template'!J87</f>
        <v>12977.394957983195</v>
      </c>
      <c r="K17" s="1023">
        <f>'SEAP template'!K87</f>
        <v>0</v>
      </c>
      <c r="L17" s="1023">
        <f>'SEAP template'!L87</f>
        <v>0</v>
      </c>
      <c r="M17" s="1023">
        <f>'SEAP template'!M87</f>
        <v>0</v>
      </c>
      <c r="N17" s="1023">
        <f>'SEAP template'!N87</f>
        <v>0</v>
      </c>
      <c r="O17" s="1023">
        <f>'SEAP template'!O87</f>
        <v>0</v>
      </c>
      <c r="P17" s="1023">
        <f>'SEAP template'!Q87</f>
        <v>13701.45630252101</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11030.785714285716</v>
      </c>
      <c r="C20" s="1026">
        <f>SUM(C17:C19)</f>
        <v>57654.642857142862</v>
      </c>
      <c r="D20" s="1026">
        <f t="shared" ref="D20:H20" si="2">SUM(D17:D19)</f>
        <v>67828.991596638662</v>
      </c>
      <c r="E20" s="1026">
        <f t="shared" si="2"/>
        <v>0</v>
      </c>
      <c r="F20" s="1026">
        <f t="shared" si="2"/>
        <v>0</v>
      </c>
      <c r="G20" s="1026">
        <f t="shared" si="2"/>
        <v>0</v>
      </c>
      <c r="H20" s="1026">
        <f t="shared" si="2"/>
        <v>0</v>
      </c>
      <c r="I20" s="1026">
        <f>SUM(I17:I19)</f>
        <v>0</v>
      </c>
      <c r="J20" s="1026">
        <f>SUM(J17:J19)</f>
        <v>12977.394957983195</v>
      </c>
      <c r="K20" s="1026">
        <f t="shared" ref="K20:L20" si="3">SUM(K17:K19)</f>
        <v>0</v>
      </c>
      <c r="L20" s="1026">
        <f t="shared" si="3"/>
        <v>0</v>
      </c>
      <c r="M20" s="1026">
        <f>SUM(M17:M19)</f>
        <v>0</v>
      </c>
      <c r="N20" s="1026">
        <f>SUM(N17:N19)</f>
        <v>0</v>
      </c>
      <c r="O20" s="1026">
        <f>SUM(O17:O19)</f>
        <v>0</v>
      </c>
      <c r="P20" s="1026">
        <f>SUM(P17:P19)</f>
        <v>13701.45630252101</v>
      </c>
    </row>
    <row r="22" spans="1:16">
      <c r="A22" s="461" t="s">
        <v>848</v>
      </c>
      <c r="B22" s="760" t="s">
        <v>842</v>
      </c>
      <c r="C22" s="760">
        <f ca="1">'EF ele_warmte'!B22</f>
        <v>0.19948126680570022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0.20132935413325978</v>
      </c>
      <c r="C17" s="498">
        <f ca="1">'EF ele_warmte'!B22</f>
        <v>0.19948126680570022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1</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19.066666666666666</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2020-06-20T15:39:10Z</dcterms:modified>
</cp:coreProperties>
</file>