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H89" i="14" s="1"/>
  <c r="H19" i="59" s="1"/>
  <c r="F19" i="18"/>
  <c r="G89" i="14" s="1"/>
  <c r="G19" i="59" s="1"/>
  <c r="E19" i="18"/>
  <c r="D19" i="18"/>
  <c r="C19" i="18"/>
  <c r="B19" i="18"/>
  <c r="N18" i="18"/>
  <c r="L88" i="14" s="1"/>
  <c r="L18" i="59" s="1"/>
  <c r="M18" i="18"/>
  <c r="L18" i="18"/>
  <c r="L20" i="18" s="1"/>
  <c r="K18" i="18"/>
  <c r="N88" i="14" s="1"/>
  <c r="N18" i="59" s="1"/>
  <c r="J18" i="18"/>
  <c r="J88" i="14" s="1"/>
  <c r="J18" i="59" s="1"/>
  <c r="I18" i="18"/>
  <c r="H18" i="18"/>
  <c r="G18" i="18"/>
  <c r="H88" i="14" s="1"/>
  <c r="F18" i="18"/>
  <c r="E18" i="18"/>
  <c r="D18" i="18"/>
  <c r="E88" i="14" s="1"/>
  <c r="E18" i="59" s="1"/>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D6" i="17" s="1"/>
  <c r="O32" i="18"/>
  <c r="N32" i="18"/>
  <c r="M32" i="18"/>
  <c r="W31" i="18"/>
  <c r="V31" i="18"/>
  <c r="U31" i="18"/>
  <c r="T31" i="18"/>
  <c r="S31" i="18"/>
  <c r="F13" i="15" s="1"/>
  <c r="R31" i="18"/>
  <c r="Q31" i="18"/>
  <c r="P31" i="18"/>
  <c r="O31" i="18"/>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G12" i="18"/>
  <c r="F12" i="18"/>
  <c r="E12" i="18"/>
  <c r="D12" i="18"/>
  <c r="C12" i="18"/>
  <c r="L10" i="18"/>
  <c r="K10" i="18"/>
  <c r="D10" i="18"/>
  <c r="B6" i="18"/>
  <c r="B74" i="14" s="1"/>
  <c r="B6" i="59" s="1"/>
  <c r="B5" i="18"/>
  <c r="B73" i="14" s="1"/>
  <c r="B5" i="59" s="1"/>
  <c r="B4" i="18"/>
  <c r="F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E89" i="14"/>
  <c r="E19" i="59" s="1"/>
  <c r="D89" i="14"/>
  <c r="D19" i="59" s="1"/>
  <c r="M88" i="14"/>
  <c r="M18" i="59" s="1"/>
  <c r="K88" i="14"/>
  <c r="K18" i="59" s="1"/>
  <c r="I88" i="14"/>
  <c r="I18" i="59" s="1"/>
  <c r="F88" i="14"/>
  <c r="F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O88" i="14"/>
  <c r="O18" i="59" s="1"/>
  <c r="D20" i="18"/>
  <c r="C13" i="15"/>
  <c r="G20" i="18"/>
  <c r="D13" i="15"/>
  <c r="L6" i="17"/>
  <c r="F20" i="18"/>
  <c r="N6" i="17"/>
  <c r="B45" i="18"/>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D48" i="18"/>
  <c r="B48" i="18"/>
  <c r="C8" i="18" s="1"/>
  <c r="I49" i="18"/>
  <c r="H17" i="18" s="1"/>
  <c r="E49" i="18"/>
  <c r="E17" i="18" s="1"/>
  <c r="H49" i="18"/>
  <c r="D49" i="18"/>
  <c r="G49" i="18"/>
  <c r="C49" i="18"/>
  <c r="F49" i="18"/>
  <c r="B49" i="18"/>
  <c r="C17" i="18" s="1"/>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Q77" i="14" l="1"/>
  <c r="P9" i="59" s="1"/>
  <c r="Q14" i="4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J15" i="16"/>
  <c r="B7" i="48"/>
  <c r="C24" i="14"/>
  <c r="C26" i="14" s="1"/>
  <c r="P11" i="14"/>
  <c r="O4" i="48"/>
  <c r="O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O15" i="48"/>
  <c r="J5" i="48"/>
  <c r="J23" i="48" s="1"/>
  <c r="K10" i="14"/>
  <c r="N22" i="14"/>
  <c r="N27" i="14" s="1"/>
  <c r="O33" i="48"/>
  <c r="J22" i="48"/>
  <c r="E22" i="48"/>
  <c r="Q4" i="48"/>
  <c r="R11" i="14"/>
  <c r="R19" i="14"/>
  <c r="G28" i="48"/>
  <c r="Q10" i="48"/>
  <c r="G27" i="48"/>
  <c r="G33" i="48" s="1"/>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J15" i="48" l="1"/>
  <c r="E23" i="48"/>
  <c r="E33" i="48" s="1"/>
  <c r="E15" i="48"/>
  <c r="R22" i="14"/>
  <c r="F13" i="14"/>
  <c r="F16" i="14" s="1"/>
  <c r="F27" i="14" s="1"/>
  <c r="F63" i="14" s="1"/>
  <c r="E8" i="48"/>
  <c r="E26" i="48" s="1"/>
  <c r="J22" i="16"/>
  <c r="K43" i="14" s="1"/>
  <c r="K46" i="14" s="1"/>
  <c r="K61" i="14" s="1"/>
  <c r="J8" i="48"/>
  <c r="J26" i="48" s="1"/>
  <c r="J33" i="48" s="1"/>
  <c r="K13" i="14"/>
  <c r="K16" i="14" s="1"/>
  <c r="K27" i="14" s="1"/>
  <c r="N8" i="48"/>
  <c r="N26" i="48" s="1"/>
  <c r="O13" i="14"/>
  <c r="N22" i="16"/>
  <c r="O43" i="14" s="1"/>
  <c r="G13" i="14"/>
  <c r="R13" i="14" s="1"/>
  <c r="F8" i="48"/>
  <c r="K63" i="14" l="1"/>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<sst xmlns="http://schemas.openxmlformats.org/spreadsheetml/2006/main" count="2407" uniqueCount="896">
  <si>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</si>
  <si>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</si>
  <si>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</si>
  <si>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</si>
  <si>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</si>
  <si>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</si>
  <si>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</si>
  <si>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</si>
  <si>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</si>
  <si>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</si>
  <si>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</si>
  <si>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</si>
  <si>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</si>
  <si>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</si>
  <si>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</si>
  <si>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</si>
  <si>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</si>
  <si>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</si>
  <si>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</si>
  <si>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</si>
  <si>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</si>
  <si>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</si>
  <si>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</si>
  <si>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</si>
  <si>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</si>
  <si>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</si>
  <si>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</si>
  <si>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</si>
  <si>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</si>
  <si>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</si>
  <si>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</si>
  <si>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</si>
  <si>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</si>
  <si>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</si>
  <si>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</si>
  <si>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</si>
  <si>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</si>
  <si>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</si>
  <si>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</si>
  <si>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</si>
  <si>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</si>
  <si>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</si>
  <si>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</si>
  <si>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</si>
  <si>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</si>
  <si>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</si>
  <si>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</si>
  <si>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</si>
  <si>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</si>
  <si>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</si>
  <si>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</si>
  <si>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</si>
  <si>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</si>
  <si>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</si>
  <si>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</si>
  <si>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</si>
  <si>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</si>
  <si>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</si>
  <si>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</si>
  <si>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</si>
  <si>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</si>
  <si>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</si>
  <si>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</si>
  <si>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</si>
  <si>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</si>
  <si>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</si>
  <si>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</si>
  <si>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</si>
  <si>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</si>
  <si>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</si>
  <si>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</si>
  <si>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</si>
  <si>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</si>
  <si>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</si>
  <si>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</si>
  <si>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</si>
  <si>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</si>
  <si>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</si>
  <si>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</si>
  <si>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</si>
  <si>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</si>
  <si>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</si>
  <si>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</si>
  <si>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</si>
  <si>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</si>
  <si>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</si>
  <si>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</si>
  <si>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</si>
  <si>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</si>
  <si>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</si>
  <si>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</si>
  <si>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</si>
  <si>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</si>
  <si>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</si>
  <si>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</si>
  <si>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</si>
  <si>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</si>
  <si>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</si>
  <si>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</si>
  <si>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</si>
  <si>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</si>
  <si>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</si>
  <si>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</si>
  <si>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</si>
  <si>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</si>
  <si>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</si>
  <si>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</si>
  <si>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</si>
  <si>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</si>
  <si>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</si>
  <si>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</si>
  <si>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</si>
  <si>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</si>
  <si>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</si>
  <si>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</si>
  <si>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</si>
  <si>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</si>
  <si>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</si>
  <si>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</si>
  <si>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</si>
  <si>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</si>
  <si>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</si>
  <si>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</si>
  <si>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</si>
  <si>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</si>
  <si>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</si>
  <si>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</si>
  <si>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</si>
  <si>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</si>
  <si>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</si>
  <si>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</si>
  <si>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</si>
  <si>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</si>
  <si>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</si>
  <si>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</si>
  <si>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</si>
  <si>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</si>
  <si>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</si>
  <si>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</si>
  <si>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</si>
  <si>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</si>
  <si>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</si>
  <si>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</si>
  <si>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</si>
  <si>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</si>
  <si>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</si>
  <si>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</si>
  <si>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</si>
  <si>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</si>
  <si>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</si>
  <si>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</si>
  <si>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</si>
  <si>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</si>
  <si>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</si>
  <si>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</si>
  <si>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</si>
  <si>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</si>
  <si>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</si>
  <si>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</si>
  <si>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</si>
  <si>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</si>
  <si>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</si>
  <si>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</si>
  <si>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</si>
  <si>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</si>
  <si>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</si>
  <si>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</si>
  <si>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</si>
  <si>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</si>
  <si>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</si>
  <si>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</si>
  <si>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</si>
  <si>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</si>
  <si>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</si>
  <si>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</si>
  <si>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</si>
  <si>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</si>
  <si>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</si>
  <si>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</si>
  <si>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</si>
  <si>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</si>
  <si>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</si>
  <si>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</si>
  <si>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</si>
  <si>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</si>
  <si>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</si>
  <si>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</si>
  <si>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</si>
  <si>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</si>
  <si>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</si>
  <si>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</si>
  <si>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</si>
  <si>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</si>
  <si>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</si>
  <si>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</si>
  <si>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</si>
  <si>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</si>
  <si>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</si>
  <si>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</si>
  <si>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</si>
  <si>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</si>
  <si>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</si>
  <si>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</si>
  <si>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</si>
  <si>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</si>
  <si>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</si>
  <si>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</si>
  <si>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</si>
  <si>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</si>
  <si>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</si>
  <si>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</si>
  <si>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</si>
  <si>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</si>
  <si>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</si>
  <si>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</si>
  <si>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</si>
  <si>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</si>
  <si>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</si>
  <si>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</si>
  <si>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</si>
  <si>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</si>
  <si>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</si>
  <si>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</si>
  <si>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</si>
  <si>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</si>
  <si>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</si>
  <si>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</si>
  <si>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</si>
  <si>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</si>
  <si>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</si>
  <si>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</si>
  <si>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</si>
  <si>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</si>
  <si>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</si>
  <si>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</si>
  <si>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</si>
  <si>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</si>
  <si>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</si>
  <si>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</si>
  <si>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</si>
  <si>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</si>
  <si>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</si>
  <si>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</si>
  <si>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</si>
  <si>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</si>
  <si>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</si>
  <si>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</si>
  <si>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</si>
  <si>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</si>
  <si>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</si>
  <si>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</si>
  <si>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</si>
  <si>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</si>
  <si>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</si>
  <si>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</si>
  <si>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</si>
  <si>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</si>
  <si>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</si>
  <si>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</si>
  <si>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</si>
  <si>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</si>
  <si>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</si>
  <si>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</si>
  <si>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</si>
  <si>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</si>
  <si>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</si>
  <si>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</si>
  <si>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</si>
  <si>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</si>
  <si>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</si>
  <si>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</si>
  <si>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</si>
  <si>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</si>
  <si>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</si>
  <si>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</si>
  <si>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</si>
  <si>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</si>
  <si>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</si>
  <si>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</si>
  <si>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</si>
  <si>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</si>
  <si>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</si>
  <si>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</si>
  <si>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</si>
  <si>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</si>
  <si>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</si>
  <si>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</si>
  <si>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</si>
  <si>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</si>
  <si>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</si>
  <si>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</si>
  <si>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</si>
  <si>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</si>
  <si>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</si>
  <si>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</si>
  <si>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</si>
  <si>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</si>
  <si>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</si>
  <si>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</si>
  <si>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</si>
  <si>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</si>
  <si>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</si>
  <si>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</si>
  <si>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</si>
  <si>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</si>
  <si>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</si>
  <si>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</si>
  <si>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</si>
  <si>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</si>
  <si>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</si>
  <si>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</si>
  <si>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</si>
  <si>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</si>
  <si>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</si>
  <si>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</si>
  <si>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</si>
  <si>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</si>
  <si>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</si>
  <si>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</si>
  <si>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</si>
  <si>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</si>
  <si>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</si>
  <si>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</si>
  <si>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</si>
  <si>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</si>
  <si>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</si>
  <si>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</si>
  <si>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</si>
  <si>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</si>
  <si>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</si>
  <si>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</si>
  <si>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</si>
  <si>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</si>
  <si>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</si>
  <si>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</si>
  <si>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</si>
  <si>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</si>
  <si>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</si>
  <si>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</si>
  <si>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</si>
  <si>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</si>
  <si>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</si>
  <si>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</si>
  <si>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</si>
  <si>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</si>
  <si>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</si>
  <si>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</si>
  <si>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</si>
  <si>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</si>
  <si>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</si>
  <si>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</si>
  <si>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</si>
  <si>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</si>
  <si>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</si>
  <si>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</si>
  <si>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</si>
  <si>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</si>
  <si>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</si>
  <si>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</si>
  <si>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</si>
  <si>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</si>
  <si>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</si>
  <si>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</si>
  <si>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</si>
  <si>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</si>
  <si>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</si>
  <si>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</si>
  <si>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</si>
  <si>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</si>
  <si>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</si>
  <si>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</si>
  <si>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</si>
  <si>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</si>
  <si>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</si>
  <si>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</si>
  <si>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</si>
  <si>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</si>
  <si>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</si>
  <si>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</si>
  <si>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</si>
  <si>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</si>
  <si>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</si>
  <si>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</si>
  <si>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</si>
  <si>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</si>
  <si>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</si>
  <si>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</si>
  <si>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</si>
  <si>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</si>
  <si>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</si>
  <si>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</si>
  <si>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</si>
  <si>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</si>
  <si>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</si>
  <si>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</si>
  <si>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</si>
  <si>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</si>
  <si>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</si>
  <si>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</si>
  <si>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</si>
  <si>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</si>
  <si>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</si>
  <si>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</si>
  <si>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</si>
  <si>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</si>
  <si>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</si>
  <si>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</si>
  <si>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</si>
  <si>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</si>
  <si>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</si>
  <si>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</si>
  <si>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</si>
  <si>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</si>
  <si>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</si>
  <si>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</si>
  <si>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</si>
  <si>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</si>
  <si>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</si>
  <si>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</si>
  <si>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</si>
  <si>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</si>
  <si>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</si>
  <si>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</si>
  <si>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</si>
  <si>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</si>
  <si>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</si>
  <si>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</si>
  <si>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</si>
  <si>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</si>
  <si>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</si>
  <si>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</si>
  <si>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</si>
  <si>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</si>
  <si>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</si>
  <si>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</si>
  <si>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</si>
  <si>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</si>
  <si>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</si>
  <si>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</si>
  <si>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</si>
  <si>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</si>
  <si>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</si>
  <si>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</si>
  <si>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</si>
  <si>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</si>
  <si>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</si>
  <si>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</si>
  <si>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</si>
  <si>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</si>
  <si>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</si>
  <si>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</si>
  <si>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</si>
  <si>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</si>
  <si>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</si>
  <si>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</si>
  <si>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</si>
  <si>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</si>
  <si>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</si>
  <si>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</si>
  <si>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</si>
  <si>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</si>
  <si>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</si>
  <si>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</si>
  <si>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</si>
  <si>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</si>
  <si>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</si>
  <si>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</si>
  <si>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</si>
  <si>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</si>
  <si>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</si>
  <si>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</si>
  <si>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</si>
  <si>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</si>
  <si>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</si>
  <si>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</si>
  <si>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</si>
  <si>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</si>
  <si>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</si>
  <si>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</si>
  <si>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</si>
  <si>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</si>
  <si>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</si>
  <si>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</si>
  <si>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</si>
  <si>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</si>
  <si>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</si>
  <si>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</si>
  <si>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</si>
  <si>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</si>
  <si>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</si>
  <si>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</si>
  <si>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</si>
  <si>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</si>
  <si>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</si>
  <si>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</si>
  <si>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</si>
  <si>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</si>
  <si>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</si>
  <si>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</si>
  <si>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</si>
  <si>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</si>
  <si>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</si>
  <si>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</si>
  <si>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</si>
  <si>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</si>
  <si>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</si>
  <si>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</si>
  <si>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</si>
  <si>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</si>
  <si>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</si>
  <si>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</si>
  <si>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</si>
  <si>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</si>
  <si>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</si>
  <si>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</si>
  <si>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</si>
  <si>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</si>
  <si>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</si>
  <si>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</si>
  <si>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</si>
  <si>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</si>
  <si>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</si>
  <si>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</si>
  <si>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</si>
  <si>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</si>
  <si>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</si>
  <si>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</si>
  <si>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</si>
  <si>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</si>
  <si>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</si>
  <si>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</si>
  <si>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</si>
  <si>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</si>
  <si>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</si>
  <si>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</si>
  <si>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</si>
  <si>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</si>
  <si>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</si>
  <si>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</si>
  <si>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</si>
  <si>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</si>
  <si>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</si>
  <si>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</si>
  <si>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</si>
  <si>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</si>
  <si>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</si>
  <si>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</si>
  <si>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</si>
  <si>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</si>
  <si>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</si>
  <si>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</si>
  <si>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</si>
  <si>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</si>
  <si>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</si>
  <si>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</si>
  <si>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</si>
  <si>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</si>
  <si>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</si>
  <si>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</si>
  <si>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</si>
  <si>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</si>
  <si>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</si>
  <si>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</si>
  <si>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</si>
  <si>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</si>
  <si>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</si>
  <si>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</si>
  <si>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</si>
  <si>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</si>
  <si>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</si>
  <si>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</si>
  <si>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</si>
  <si>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</si>
  <si>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</si>
  <si>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</si>
  <si>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</si>
  <si>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</si>
  <si>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</si>
  <si>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</si>
  <si>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</si>
  <si>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</si>
  <si>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</si>
  <si>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</si>
  <si>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</si>
  <si>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</si>
  <si>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</si>
  <si>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</si>
  <si>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</si>
  <si>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</si>
  <si>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</si>
  <si>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</si>
  <si>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</si>
  <si>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</si>
  <si>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</si>
  <si>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</si>
  <si>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</si>
  <si>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</si>
  <si>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</si>
  <si>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</si>
  <si>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</si>
  <si>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</si>
  <si>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</si>
  <si>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</si>
  <si>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</si>
  <si>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</si>
  <si>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</si>
  <si>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</si>
  <si>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</si>
  <si>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</si>
  <si>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</si>
  <si>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</si>
  <si>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</si>
  <si>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</si>
  <si>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</si>
  <si>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</si>
  <si>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</si>
  <si>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</si>
  <si>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</si>
  <si>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</si>
  <si>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</si>
  <si>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</si>
  <si>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</si>
  <si>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</si>
  <si>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</si>
  <si>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</si>
  <si>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</si>
  <si>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</si>
  <si>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</si>
  <si>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</si>
  <si>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</si>
  <si>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</si>
  <si>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</si>
  <si>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</si>
  <si>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</si>
  <si>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</si>
  <si>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</si>
  <si>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</si>
  <si>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</si>
  <si>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</si>
  <si>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</si>
  <si>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</si>
  <si>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</si>
  <si>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</si>
  <si>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</si>
  <si>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</si>
  <si>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</si>
  <si>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</si>
  <si>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</si>
  <si>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</si>
  <si>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</si>
  <si>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</si>
  <si>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</si>
  <si>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</si>
  <si>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</si>
  <si>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</si>
  <si>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</si>
  <si>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</si>
  <si>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</si>
  <si>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</si>
  <si>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</si>
  <si>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</si>
  <si>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</si>
  <si>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</si>
  <si>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</si>
  <si>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</si>
  <si>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</si>
  <si>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</si>
  <si>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</si>
  <si>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</si>
  <si>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</si>
  <si>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</si>
  <si>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</si>
  <si>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</si>
  <si>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</si>
  <si>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</si>
  <si>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</si>
  <si>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</si>
  <si>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</si>
  <si>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</si>
  <si>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</si>
  <si>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</si>
  <si>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</si>
  <si>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</si>
  <si>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</si>
  <si>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</si>
  <si>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</si>
  <si>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</si>
  <si>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</si>
  <si>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</si>
  <si>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</si>
  <si>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</si>
  <si>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</si>
  <si>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</si>
  <si>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</si>
  <si>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</si>
  <si>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</si>
  <si>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</si>
  <si>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</si>
  <si>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</si>
  <si>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</si>
  <si>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</si>
  <si>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</si>
  <si>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</si>
  <si>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</si>
  <si>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</si>
  <si>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</si>
  <si>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</si>
  <si>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</si>
  <si>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</si>
  <si>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</si>
  <si>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</si>
  <si>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</si>
  <si>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</si>
  <si>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</si>
  <si>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</si>
  <si>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</si>
  <si>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</si>
  <si>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</si>
  <si>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</si>
  <si>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</si>
  <si>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</si>
  <si>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</si>
  <si>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</si>
  <si>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</si>
  <si>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</si>
  <si>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</si>
  <si>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</si>
  <si>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</si>
  <si>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</si>
  <si>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</si>
  <si>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</si>
  <si>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</si>
  <si>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</si>
  <si>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</si>
  <si>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</si>
  <si>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</si>
  <si>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</si>
  <si>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</si>
  <si>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</si>
  <si>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</si>
  <si>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</si>
  <si>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</si>
  <si>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</si>
  <si>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</si>
  <si>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</si>
  <si>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</si>
  <si>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</si>
  <si>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</si>
  <si>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</si>
  <si>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</si>
  <si>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</si>
  <si>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</si>
  <si>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</si>
  <si>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</si>
  <si>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</si>
  <si>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</si>
  <si>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</si>
  <si>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</si>
  <si>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</si>
  <si>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</si>
  <si>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</si>
  <si>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</si>
  <si>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</si>
  <si>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</si>
  <si>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</si>
  <si>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</si>
  <si>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</si>
  <si>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</si>
  <si>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</si>
  <si>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</si>
  <si>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</si>
  <si>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</si>
  <si>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</si>
  <si>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</si>
  <si>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</si>
  <si>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</si>
  <si>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</si>
  <si>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</si>
  <si>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</si>
  <si>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</si>
  <si>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</si>
  <si>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</si>
  <si>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</si>
  <si>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</si>
  <si>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</si>
  <si>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</si>
  <si>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</si>
  <si>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</si>
  <si>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</si>
  <si>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</si>
  <si>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</si>
  <si>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</si>
  <si>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</si>
  <si>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</si>
  <si>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</si>
  <si>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</si>
  <si>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</si>
  <si>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</si>
  <si>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</si>
  <si>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</si>
  <si>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</si>
  <si>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</si>
  <si>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</si>
  <si>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</si>
  <si>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</si>
  <si>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</si>
  <si>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</si>
  <si>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</si>
  <si>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</si>
  <si>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</si>
  <si>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</si>
  <si>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</si>
  <si>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</si>
  <si>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</si>
  <si>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</si>
  <si>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</si>
  <si>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</si>
  <si>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</si>
  <si>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</si>
  <si>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</si>
  <si>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</si>
  <si>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</si>
  <si>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</si>
  <si>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</si>
  <si>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</si>
  <si>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</si>
  <si>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</si>
  <si>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</si>
  <si>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</si>
  <si>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</si>
  <si>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</si>
  <si>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</si>
  <si>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</si>
  <si>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</si>
  <si>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</si>
  <si>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</si>
  <si>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</si>
  <si>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</si>
  <si>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</si>
  <si>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</si>
  <si>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</si>
  <si>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</si>
  <si>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</si>
  <si>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</si>
  <si>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</si>
  <si>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</si>
  <si>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</si>
  <si>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</si>
  <si>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</si>
  <si>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</si>
  <si>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</si>
  <si>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</si>
  <si>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</si>
  <si>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</si>
  <si>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</si>
  <si>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</si>
  <si>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</si>
  <si>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</si>
  <si>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</si>
  <si>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</si>
  <si>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</si>
  <si>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</si>
  <si>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</si>
  <si>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</si>
  <si>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</si>
  <si>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</si>
  <si>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</si>
  <si>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</si>
  <si>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</si>
  <si>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</si>
  <si>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</si>
  <si>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</si>
  <si>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</si>
  <si>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</si>
  <si>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</si>
  <si>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</si>
  <si>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</si>
  <si>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</si>
  <si>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</si>
  <si>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</si>
  <si>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</si>
  <si>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</si>
  <si>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</si>
  <si>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</si>
  <si>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</si>
  <si>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</si>
  <si>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</si>
  <si>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</si>
  <si>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</si>
  <si>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</si>
  <si>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73107</t>
  </si>
  <si>
    <t>MAASMECHELEN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</si>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</sst>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338045.57980951556</c:v>
                </c:pt>
                <c:pt idx="1">
                  <c:v>126722.17123337321</c:v>
                </c:pt>
                <c:pt idx="2">
                  <c:v>2264.8409999999999</c:v>
                </c:pt>
                <c:pt idx="3">
                  <c:v>98087.933060016381</c:v>
                </c:pt>
                <c:pt idx="4">
                  <c:v>111996.4680913254</c:v>
                </c:pt>
                <c:pt idx="5">
                  <c:v>322716.26846469467</c:v>
                </c:pt>
                <c:pt idx="6">
                  <c:v>5070.7811776283543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338045.57980951556</c:v>
                </c:pt>
                <c:pt idx="1">
                  <c:v>126722.17123337321</c:v>
                </c:pt>
                <c:pt idx="2">
                  <c:v>2264.8409999999999</c:v>
                </c:pt>
                <c:pt idx="3">
                  <c:v>98087.933060016381</c:v>
                </c:pt>
                <c:pt idx="4">
                  <c:v>111996.4680913254</c:v>
                </c:pt>
                <c:pt idx="5">
                  <c:v>322716.26846469467</c:v>
                </c:pt>
                <c:pt idx="6">
                  <c:v>5070.7811776283543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68122.73511744797</c:v>
                </c:pt>
                <c:pt idx="2">
                  <c:v>23959.62112636018</c:v>
                </c:pt>
                <c:pt idx="3">
                  <c:v>426.6070408496235</c:v>
                </c:pt>
                <c:pt idx="4">
                  <c:v>24812.715628383303</c:v>
                </c:pt>
                <c:pt idx="5">
                  <c:v>20465.34391131391</c:v>
                </c:pt>
                <c:pt idx="6">
                  <c:v>82709.66349260704</c:v>
                </c:pt>
                <c:pt idx="7">
                  <c:v>1313.2169428166196</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68122.73511744797</c:v>
                </c:pt>
                <c:pt idx="2">
                  <c:v>23959.62112636018</c:v>
                </c:pt>
                <c:pt idx="3">
                  <c:v>426.6070408496235</c:v>
                </c:pt>
                <c:pt idx="4">
                  <c:v>24812.715628383303</c:v>
                </c:pt>
                <c:pt idx="5">
                  <c:v>20465.34391131391</c:v>
                </c:pt>
                <c:pt idx="6">
                  <c:v>82709.66349260704</c:v>
                </c:pt>
                <c:pt idx="7">
                  <c:v>1313.2169428166196</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73107</v>
      </c>
      <c r="B6" s="390"/>
      <c r="C6" s="391"/>
    </row>
    <row r="7" spans="1:7" s="388" customFormat="1" ht="15.75" customHeight="1">
      <c r="A7" s="392" t="str">
        <f>txtMunicipality</f>
        <v>MAASMECHELEN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0.18836070207560862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0.18836070207560862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15014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1958.14</v>
      </c>
      <c r="C14" s="330"/>
      <c r="D14" s="330"/>
      <c r="E14" s="330"/>
      <c r="F14" s="330"/>
    </row>
    <row r="15" spans="1:6">
      <c r="A15" s="1291" t="s">
        <v>183</v>
      </c>
      <c r="B15" s="1292">
        <v>5</v>
      </c>
      <c r="C15" s="330"/>
      <c r="D15" s="330"/>
      <c r="E15" s="330"/>
      <c r="F15" s="330"/>
    </row>
    <row r="16" spans="1:6">
      <c r="A16" s="1291" t="s">
        <v>6</v>
      </c>
      <c r="B16" s="1292">
        <v>421</v>
      </c>
      <c r="C16" s="330"/>
      <c r="D16" s="330"/>
      <c r="E16" s="330"/>
      <c r="F16" s="330"/>
    </row>
    <row r="17" spans="1:6">
      <c r="A17" s="1291" t="s">
        <v>7</v>
      </c>
      <c r="B17" s="1292">
        <v>129</v>
      </c>
      <c r="C17" s="330"/>
      <c r="D17" s="330"/>
      <c r="E17" s="330"/>
      <c r="F17" s="330"/>
    </row>
    <row r="18" spans="1:6">
      <c r="A18" s="1291" t="s">
        <v>8</v>
      </c>
      <c r="B18" s="1292">
        <v>336</v>
      </c>
      <c r="C18" s="330"/>
      <c r="D18" s="330"/>
      <c r="E18" s="330"/>
      <c r="F18" s="330"/>
    </row>
    <row r="19" spans="1:6">
      <c r="A19" s="1291" t="s">
        <v>9</v>
      </c>
      <c r="B19" s="1292">
        <v>396</v>
      </c>
      <c r="C19" s="330"/>
      <c r="D19" s="330"/>
      <c r="E19" s="330"/>
      <c r="F19" s="330"/>
    </row>
    <row r="20" spans="1:6">
      <c r="A20" s="1291" t="s">
        <v>10</v>
      </c>
      <c r="B20" s="1292">
        <v>198</v>
      </c>
      <c r="C20" s="330"/>
      <c r="D20" s="330"/>
      <c r="E20" s="330"/>
      <c r="F20" s="330"/>
    </row>
    <row r="21" spans="1:6">
      <c r="A21" s="1291" t="s">
        <v>11</v>
      </c>
      <c r="B21" s="1292">
        <v>1672</v>
      </c>
      <c r="C21" s="330"/>
      <c r="D21" s="330"/>
      <c r="E21" s="330"/>
      <c r="F21" s="330"/>
    </row>
    <row r="22" spans="1:6">
      <c r="A22" s="1291" t="s">
        <v>12</v>
      </c>
      <c r="B22" s="1292">
        <v>2252</v>
      </c>
      <c r="C22" s="330"/>
      <c r="D22" s="330"/>
      <c r="E22" s="330"/>
      <c r="F22" s="330"/>
    </row>
    <row r="23" spans="1:6">
      <c r="A23" s="1291" t="s">
        <v>13</v>
      </c>
      <c r="B23" s="1292">
        <v>28</v>
      </c>
      <c r="C23" s="330"/>
      <c r="D23" s="330"/>
      <c r="E23" s="330"/>
      <c r="F23" s="330"/>
    </row>
    <row r="24" spans="1:6">
      <c r="A24" s="1291" t="s">
        <v>14</v>
      </c>
      <c r="B24" s="1292">
        <v>2</v>
      </c>
      <c r="C24" s="330"/>
      <c r="D24" s="330"/>
      <c r="E24" s="330"/>
      <c r="F24" s="330"/>
    </row>
    <row r="25" spans="1:6">
      <c r="A25" s="1291" t="s">
        <v>15</v>
      </c>
      <c r="B25" s="1292">
        <v>275</v>
      </c>
      <c r="C25" s="330"/>
      <c r="D25" s="330"/>
      <c r="E25" s="330"/>
      <c r="F25" s="330"/>
    </row>
    <row r="26" spans="1:6">
      <c r="A26" s="1291" t="s">
        <v>16</v>
      </c>
      <c r="B26" s="1292">
        <v>24</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29</v>
      </c>
      <c r="C29" s="336"/>
      <c r="D29" s="336"/>
      <c r="E29" s="336"/>
      <c r="F29" s="336"/>
    </row>
    <row r="30" spans="1:6">
      <c r="A30" s="1286" t="s">
        <v>893</v>
      </c>
      <c r="B30" s="1295">
        <v>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32</v>
      </c>
      <c r="F36" s="1292">
        <v>97171</v>
      </c>
    </row>
    <row r="37" spans="1:6">
      <c r="A37" s="1291" t="s">
        <v>24</v>
      </c>
      <c r="B37" s="1291" t="s">
        <v>27</v>
      </c>
      <c r="C37" s="1292">
        <v>0</v>
      </c>
      <c r="D37" s="1292">
        <v>0</v>
      </c>
      <c r="E37" s="1292">
        <v>0</v>
      </c>
      <c r="F37" s="1292">
        <v>0</v>
      </c>
    </row>
    <row r="38" spans="1:6">
      <c r="A38" s="1291" t="s">
        <v>24</v>
      </c>
      <c r="B38" s="1291" t="s">
        <v>28</v>
      </c>
      <c r="C38" s="1292">
        <v>0</v>
      </c>
      <c r="D38" s="1292">
        <v>3608</v>
      </c>
      <c r="E38" s="1292">
        <v>3</v>
      </c>
      <c r="F38" s="1292">
        <v>32795</v>
      </c>
    </row>
    <row r="39" spans="1:6">
      <c r="A39" s="1291" t="s">
        <v>29</v>
      </c>
      <c r="B39" s="1291" t="s">
        <v>30</v>
      </c>
      <c r="C39" s="1292">
        <v>8341</v>
      </c>
      <c r="D39" s="1292">
        <v>138303431</v>
      </c>
      <c r="E39" s="1292">
        <v>15217</v>
      </c>
      <c r="F39" s="1292">
        <v>49841693</v>
      </c>
    </row>
    <row r="40" spans="1:6">
      <c r="A40" s="1291" t="s">
        <v>29</v>
      </c>
      <c r="B40" s="1291" t="s">
        <v>28</v>
      </c>
      <c r="C40" s="1292">
        <v>0</v>
      </c>
      <c r="D40" s="1292">
        <v>0</v>
      </c>
      <c r="E40" s="1292">
        <v>0</v>
      </c>
      <c r="F40" s="1292">
        <v>0</v>
      </c>
    </row>
    <row r="41" spans="1:6">
      <c r="A41" s="1291" t="s">
        <v>31</v>
      </c>
      <c r="B41" s="1291" t="s">
        <v>32</v>
      </c>
      <c r="C41" s="1292">
        <v>87</v>
      </c>
      <c r="D41" s="1292">
        <v>6351549</v>
      </c>
      <c r="E41" s="1292">
        <v>186</v>
      </c>
      <c r="F41" s="1292">
        <v>2320970</v>
      </c>
    </row>
    <row r="42" spans="1:6">
      <c r="A42" s="1291" t="s">
        <v>31</v>
      </c>
      <c r="B42" s="1291" t="s">
        <v>33</v>
      </c>
      <c r="C42" s="1292">
        <v>3</v>
      </c>
      <c r="D42" s="1292">
        <v>1128888</v>
      </c>
      <c r="E42" s="1292">
        <v>4</v>
      </c>
      <c r="F42" s="1292">
        <v>286893</v>
      </c>
    </row>
    <row r="43" spans="1:6">
      <c r="A43" s="1291" t="s">
        <v>31</v>
      </c>
      <c r="B43" s="1291" t="s">
        <v>34</v>
      </c>
      <c r="C43" s="1292">
        <v>0</v>
      </c>
      <c r="D43" s="1292">
        <v>0</v>
      </c>
      <c r="E43" s="1292">
        <v>0</v>
      </c>
      <c r="F43" s="1292">
        <v>0</v>
      </c>
    </row>
    <row r="44" spans="1:6">
      <c r="A44" s="1291" t="s">
        <v>31</v>
      </c>
      <c r="B44" s="1291" t="s">
        <v>35</v>
      </c>
      <c r="C44" s="1292">
        <v>10</v>
      </c>
      <c r="D44" s="1292">
        <v>2581380</v>
      </c>
      <c r="E44" s="1292">
        <v>28</v>
      </c>
      <c r="F44" s="1292">
        <v>5844281</v>
      </c>
    </row>
    <row r="45" spans="1:6">
      <c r="A45" s="1291" t="s">
        <v>31</v>
      </c>
      <c r="B45" s="1291" t="s">
        <v>36</v>
      </c>
      <c r="C45" s="1292">
        <v>3</v>
      </c>
      <c r="D45" s="1292">
        <v>43197</v>
      </c>
      <c r="E45" s="1292">
        <v>10</v>
      </c>
      <c r="F45" s="1292">
        <v>12288935</v>
      </c>
    </row>
    <row r="46" spans="1:6">
      <c r="A46" s="1291" t="s">
        <v>31</v>
      </c>
      <c r="B46" s="1291" t="s">
        <v>37</v>
      </c>
      <c r="C46" s="1292">
        <v>0</v>
      </c>
      <c r="D46" s="1292">
        <v>0</v>
      </c>
      <c r="E46" s="1292">
        <v>0</v>
      </c>
      <c r="F46" s="1292">
        <v>0</v>
      </c>
    </row>
    <row r="47" spans="1:6">
      <c r="A47" s="1291" t="s">
        <v>31</v>
      </c>
      <c r="B47" s="1291" t="s">
        <v>38</v>
      </c>
      <c r="C47" s="1292">
        <v>0</v>
      </c>
      <c r="D47" s="1292">
        <v>0</v>
      </c>
      <c r="E47" s="1292">
        <v>5</v>
      </c>
      <c r="F47" s="1292">
        <v>282961</v>
      </c>
    </row>
    <row r="48" spans="1:6">
      <c r="A48" s="1291" t="s">
        <v>31</v>
      </c>
      <c r="B48" s="1291" t="s">
        <v>28</v>
      </c>
      <c r="C48" s="1292">
        <v>4</v>
      </c>
      <c r="D48" s="1292">
        <v>587178</v>
      </c>
      <c r="E48" s="1292">
        <v>0</v>
      </c>
      <c r="F48" s="1292">
        <v>202036</v>
      </c>
    </row>
    <row r="49" spans="1:6">
      <c r="A49" s="1291" t="s">
        <v>31</v>
      </c>
      <c r="B49" s="1291" t="s">
        <v>39</v>
      </c>
      <c r="C49" s="1292">
        <v>0</v>
      </c>
      <c r="D49" s="1292">
        <v>0</v>
      </c>
      <c r="E49" s="1292">
        <v>9</v>
      </c>
      <c r="F49" s="1292">
        <v>260161</v>
      </c>
    </row>
    <row r="50" spans="1:6">
      <c r="A50" s="1291" t="s">
        <v>31</v>
      </c>
      <c r="B50" s="1291" t="s">
        <v>40</v>
      </c>
      <c r="C50" s="1292">
        <v>24</v>
      </c>
      <c r="D50" s="1292">
        <v>26534332</v>
      </c>
      <c r="E50" s="1292">
        <v>38</v>
      </c>
      <c r="F50" s="1292">
        <v>29897023</v>
      </c>
    </row>
    <row r="51" spans="1:6">
      <c r="A51" s="1291" t="s">
        <v>41</v>
      </c>
      <c r="B51" s="1291" t="s">
        <v>42</v>
      </c>
      <c r="C51" s="1292">
        <v>11</v>
      </c>
      <c r="D51" s="1292">
        <v>254539</v>
      </c>
      <c r="E51" s="1292">
        <v>47</v>
      </c>
      <c r="F51" s="1292">
        <v>20281774</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174</v>
      </c>
      <c r="F54" s="1292">
        <v>2264841</v>
      </c>
    </row>
    <row r="55" spans="1:6">
      <c r="A55" s="1291" t="s">
        <v>45</v>
      </c>
      <c r="B55" s="1291" t="s">
        <v>28</v>
      </c>
      <c r="C55" s="1292">
        <v>0</v>
      </c>
      <c r="D55" s="1292">
        <v>0</v>
      </c>
      <c r="E55" s="1292">
        <v>0</v>
      </c>
      <c r="F55" s="1292">
        <v>0</v>
      </c>
    </row>
    <row r="56" spans="1:6">
      <c r="A56" s="1291" t="s">
        <v>47</v>
      </c>
      <c r="B56" s="1291" t="s">
        <v>28</v>
      </c>
      <c r="C56" s="1292">
        <v>135</v>
      </c>
      <c r="D56" s="1292">
        <v>2649649</v>
      </c>
      <c r="E56" s="1292">
        <v>310</v>
      </c>
      <c r="F56" s="1292">
        <v>1903670</v>
      </c>
    </row>
    <row r="57" spans="1:6">
      <c r="A57" s="1291" t="s">
        <v>48</v>
      </c>
      <c r="B57" s="1291" t="s">
        <v>49</v>
      </c>
      <c r="C57" s="1292">
        <v>82</v>
      </c>
      <c r="D57" s="1292">
        <v>8650736</v>
      </c>
      <c r="E57" s="1292">
        <v>204</v>
      </c>
      <c r="F57" s="1292">
        <v>11339662</v>
      </c>
    </row>
    <row r="58" spans="1:6">
      <c r="A58" s="1291" t="s">
        <v>48</v>
      </c>
      <c r="B58" s="1291" t="s">
        <v>50</v>
      </c>
      <c r="C58" s="1292">
        <v>44</v>
      </c>
      <c r="D58" s="1292">
        <v>1624661</v>
      </c>
      <c r="E58" s="1292">
        <v>64</v>
      </c>
      <c r="F58" s="1292">
        <v>1282685</v>
      </c>
    </row>
    <row r="59" spans="1:6">
      <c r="A59" s="1291" t="s">
        <v>48</v>
      </c>
      <c r="B59" s="1291" t="s">
        <v>51</v>
      </c>
      <c r="C59" s="1292">
        <v>222</v>
      </c>
      <c r="D59" s="1292">
        <v>14593113</v>
      </c>
      <c r="E59" s="1292">
        <v>486</v>
      </c>
      <c r="F59" s="1292">
        <v>22361828</v>
      </c>
    </row>
    <row r="60" spans="1:6">
      <c r="A60" s="1291" t="s">
        <v>48</v>
      </c>
      <c r="B60" s="1291" t="s">
        <v>52</v>
      </c>
      <c r="C60" s="1292">
        <v>117</v>
      </c>
      <c r="D60" s="1292">
        <v>8169060</v>
      </c>
      <c r="E60" s="1292">
        <v>179</v>
      </c>
      <c r="F60" s="1292">
        <v>7489604</v>
      </c>
    </row>
    <row r="61" spans="1:6">
      <c r="A61" s="1291" t="s">
        <v>48</v>
      </c>
      <c r="B61" s="1291" t="s">
        <v>53</v>
      </c>
      <c r="C61" s="1292">
        <v>270</v>
      </c>
      <c r="D61" s="1292">
        <v>15409096</v>
      </c>
      <c r="E61" s="1292">
        <v>726</v>
      </c>
      <c r="F61" s="1292">
        <v>11224610</v>
      </c>
    </row>
    <row r="62" spans="1:6">
      <c r="A62" s="1291" t="s">
        <v>48</v>
      </c>
      <c r="B62" s="1291" t="s">
        <v>54</v>
      </c>
      <c r="C62" s="1292">
        <v>25</v>
      </c>
      <c r="D62" s="1292">
        <v>4410662</v>
      </c>
      <c r="E62" s="1292">
        <v>35</v>
      </c>
      <c r="F62" s="1292">
        <v>1363991</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6166</v>
      </c>
      <c r="E65" s="1292">
        <v>0</v>
      </c>
      <c r="F65" s="1292">
        <v>6348</v>
      </c>
    </row>
    <row r="66" spans="1:6">
      <c r="A66" s="1291" t="s">
        <v>55</v>
      </c>
      <c r="B66" s="1291" t="s">
        <v>57</v>
      </c>
      <c r="C66" s="1292">
        <v>0</v>
      </c>
      <c r="D66" s="1292">
        <v>0</v>
      </c>
      <c r="E66" s="1292">
        <v>0</v>
      </c>
      <c r="F66" s="1292">
        <v>0</v>
      </c>
    </row>
    <row r="67" spans="1:6">
      <c r="A67" s="1293" t="s">
        <v>55</v>
      </c>
      <c r="B67" s="1293" t="s">
        <v>58</v>
      </c>
      <c r="C67" s="1292">
        <v>0</v>
      </c>
      <c r="D67" s="1292">
        <v>0</v>
      </c>
      <c r="E67" s="1292">
        <v>5</v>
      </c>
      <c r="F67" s="1292">
        <v>323904</v>
      </c>
    </row>
    <row r="68" spans="1:6">
      <c r="A68" s="1286" t="s">
        <v>55</v>
      </c>
      <c r="B68" s="1286" t="s">
        <v>59</v>
      </c>
      <c r="C68" s="1295">
        <v>8</v>
      </c>
      <c r="D68" s="1295">
        <v>239663</v>
      </c>
      <c r="E68" s="1295">
        <v>21</v>
      </c>
      <c r="F68" s="1295">
        <v>284646</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81373034</v>
      </c>
      <c r="E73" s="449"/>
      <c r="F73" s="330"/>
    </row>
    <row r="74" spans="1:6">
      <c r="A74" s="1291" t="s">
        <v>63</v>
      </c>
      <c r="B74" s="1291" t="s">
        <v>664</v>
      </c>
      <c r="C74" s="1305" t="s">
        <v>666</v>
      </c>
      <c r="D74" s="1306">
        <v>3644389.1666465937</v>
      </c>
      <c r="E74" s="449"/>
      <c r="F74" s="330"/>
    </row>
    <row r="75" spans="1:6">
      <c r="A75" s="1291" t="s">
        <v>64</v>
      </c>
      <c r="B75" s="1291" t="s">
        <v>663</v>
      </c>
      <c r="C75" s="1305" t="s">
        <v>667</v>
      </c>
      <c r="D75" s="1306">
        <v>53992710</v>
      </c>
      <c r="E75" s="449"/>
      <c r="F75" s="330"/>
    </row>
    <row r="76" spans="1:6">
      <c r="A76" s="1291" t="s">
        <v>64</v>
      </c>
      <c r="B76" s="1291" t="s">
        <v>664</v>
      </c>
      <c r="C76" s="1305" t="s">
        <v>668</v>
      </c>
      <c r="D76" s="1306">
        <v>163852.1666465936</v>
      </c>
      <c r="E76" s="449"/>
      <c r="F76" s="330"/>
    </row>
    <row r="77" spans="1:6">
      <c r="A77" s="1291" t="s">
        <v>65</v>
      </c>
      <c r="B77" s="1291" t="s">
        <v>663</v>
      </c>
      <c r="C77" s="1305" t="s">
        <v>669</v>
      </c>
      <c r="D77" s="1306">
        <v>174883960</v>
      </c>
      <c r="E77" s="449"/>
      <c r="F77" s="330"/>
    </row>
    <row r="78" spans="1:6">
      <c r="A78" s="1286" t="s">
        <v>65</v>
      </c>
      <c r="B78" s="1286" t="s">
        <v>664</v>
      </c>
      <c r="C78" s="1286" t="s">
        <v>670</v>
      </c>
      <c r="D78" s="1307">
        <v>36077661</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1375873.6667068128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14110.810360178579</v>
      </c>
      <c r="C90" s="330"/>
      <c r="D90" s="330"/>
      <c r="E90" s="330"/>
      <c r="F90" s="330"/>
    </row>
    <row r="91" spans="1:6">
      <c r="A91" s="1291" t="s">
        <v>67</v>
      </c>
      <c r="B91" s="1292">
        <v>8206.00234248173</v>
      </c>
      <c r="C91" s="330"/>
      <c r="D91" s="330"/>
      <c r="E91" s="330"/>
      <c r="F91" s="330"/>
    </row>
    <row r="92" spans="1:6">
      <c r="A92" s="1286" t="s">
        <v>68</v>
      </c>
      <c r="B92" s="1287">
        <v>5597.5340406353434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3400</v>
      </c>
      <c r="C97" s="330"/>
      <c r="D97" s="330"/>
      <c r="E97" s="330"/>
      <c r="F97" s="330"/>
    </row>
    <row r="98" spans="1:6">
      <c r="A98" s="1291" t="s">
        <v>71</v>
      </c>
      <c r="B98" s="1292">
        <v>6</v>
      </c>
      <c r="C98" s="330"/>
      <c r="D98" s="330"/>
      <c r="E98" s="330"/>
      <c r="F98" s="330"/>
    </row>
    <row r="99" spans="1:6">
      <c r="A99" s="1291" t="s">
        <v>72</v>
      </c>
      <c r="B99" s="1292">
        <v>67</v>
      </c>
      <c r="C99" s="330"/>
      <c r="D99" s="330"/>
      <c r="E99" s="330"/>
      <c r="F99" s="330"/>
    </row>
    <row r="100" spans="1:6">
      <c r="A100" s="1291" t="s">
        <v>73</v>
      </c>
      <c r="B100" s="1292">
        <v>207</v>
      </c>
      <c r="C100" s="330"/>
      <c r="D100" s="330"/>
      <c r="E100" s="330"/>
      <c r="F100" s="330"/>
    </row>
    <row r="101" spans="1:6">
      <c r="A101" s="1291" t="s">
        <v>74</v>
      </c>
      <c r="B101" s="1292">
        <v>62</v>
      </c>
      <c r="C101" s="330"/>
      <c r="D101" s="330"/>
      <c r="E101" s="330"/>
      <c r="F101" s="330"/>
    </row>
    <row r="102" spans="1:6">
      <c r="A102" s="1291" t="s">
        <v>75</v>
      </c>
      <c r="B102" s="1292">
        <v>166</v>
      </c>
      <c r="C102" s="330"/>
      <c r="D102" s="330"/>
      <c r="E102" s="330"/>
      <c r="F102" s="330"/>
    </row>
    <row r="103" spans="1:6">
      <c r="A103" s="1291" t="s">
        <v>76</v>
      </c>
      <c r="B103" s="1292">
        <v>284</v>
      </c>
      <c r="C103" s="330"/>
      <c r="D103" s="330"/>
      <c r="E103" s="330"/>
      <c r="F103" s="330"/>
    </row>
    <row r="104" spans="1:6">
      <c r="A104" s="1291" t="s">
        <v>77</v>
      </c>
      <c r="B104" s="1292">
        <v>8734</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16</v>
      </c>
      <c r="C123" s="1292">
        <v>20</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434</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27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189007.45489559649</v>
      </c>
      <c r="C3" s="43" t="s">
        <v>169</v>
      </c>
      <c r="D3" s="43"/>
      <c r="E3" s="154"/>
      <c r="F3" s="43"/>
      <c r="G3" s="43"/>
      <c r="H3" s="43"/>
      <c r="I3" s="43"/>
      <c r="J3" s="43"/>
      <c r="K3" s="96"/>
    </row>
    <row r="4" spans="1:11">
      <c r="A4" s="358" t="s">
        <v>170</v>
      </c>
      <c r="B4" s="49">
        <f>IF(ISERROR('SEAP template'!B78+'SEAP template'!C78),0,'SEAP template'!B78+'SEAP template'!C78)</f>
        <v>27914.346743295653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0.18836070207560862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2264.8409999999999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2264.8409999999999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0.18836070207560862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426.6070408496235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49841.692999999999</v>
      </c>
      <c r="C5" s="17">
        <f>IF(ISERROR('Eigen informatie GS &amp; warmtenet'!B57),0,'Eigen informatie GS &amp; warmtenet'!B57)</f>
        <v>0</v>
      </c>
      <c r="D5" s="30">
        <f>(SUM(HH_hh_gas_kWh,HH_rest_gas_kWh)/1000)*0.902</f>
        <v>124749.69476200001</v>
      </c>
      <c r="E5" s="17">
        <f>B46*B57</f>
        <v>38126.632505688103</v>
      </c>
      <c r="F5" s="17">
        <f>B51*B62</f>
        <v>87395.679955624946</v>
      </c>
      <c r="G5" s="18"/>
      <c r="H5" s="17"/>
      <c r="I5" s="17"/>
      <c r="J5" s="17">
        <f>B50*B61+C50*C61</f>
        <v>0</v>
      </c>
      <c r="K5" s="17"/>
      <c r="L5" s="17"/>
      <c r="M5" s="17"/>
      <c r="N5" s="17">
        <f>B48*B59+C48*C59</f>
        <v>28194.693910387439</v>
      </c>
      <c r="O5" s="17">
        <f>B69*B70*B71</f>
        <v>711.31666666666672</v>
      </c>
      <c r="P5" s="17">
        <f>B77*B78*B79/1000-B77*B78*B79/1000/B80</f>
        <v>819.86666666666667</v>
      </c>
    </row>
    <row r="6" spans="1:16">
      <c r="A6" s="16" t="s">
        <v>623</v>
      </c>
      <c r="B6" s="762">
        <f>kWh_PV_kleiner_dan_10kW</f>
        <v>8206.00234248173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58047.695342481733</v>
      </c>
      <c r="C8" s="21">
        <f>C5</f>
        <v>0</v>
      </c>
      <c r="D8" s="21">
        <f>D5</f>
        <v>124749.69476200001</v>
      </c>
      <c r="E8" s="21">
        <f>E5</f>
        <v>38126.632505688103</v>
      </c>
      <c r="F8" s="21">
        <f>F5</f>
        <v>87395.679955624946</v>
      </c>
      <c r="G8" s="21"/>
      <c r="H8" s="21"/>
      <c r="I8" s="21"/>
      <c r="J8" s="21">
        <f>J5</f>
        <v>0</v>
      </c>
      <c r="K8" s="21"/>
      <c r="L8" s="21">
        <f>L5</f>
        <v>0</v>
      </c>
      <c r="M8" s="21">
        <f>M5</f>
        <v>0</v>
      </c>
      <c r="N8" s="21">
        <f>N5</f>
        <v>28194.693910387439</v>
      </c>
      <c r="O8" s="21">
        <f>O5</f>
        <v>711.31666666666672</v>
      </c>
      <c r="P8" s="21">
        <f>P5</f>
        <v>819.86666666666667</v>
      </c>
    </row>
    <row r="9" spans="1:16">
      <c r="B9" s="19"/>
      <c r="C9" s="19"/>
      <c r="D9" s="258"/>
      <c r="E9" s="19"/>
      <c r="F9" s="19"/>
      <c r="G9" s="19"/>
      <c r="H9" s="19"/>
      <c r="I9" s="19"/>
      <c r="J9" s="19"/>
      <c r="K9" s="19"/>
      <c r="L9" s="19"/>
      <c r="M9" s="19"/>
      <c r="N9" s="19"/>
      <c r="O9" s="19"/>
      <c r="P9" s="19"/>
    </row>
    <row r="10" spans="1:16">
      <c r="A10" s="24" t="s">
        <v>213</v>
      </c>
      <c r="B10" s="25">
        <f ca="1">'EF ele_warmte'!B12</f>
        <v>0.18836070207560862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10933.904648580896</v>
      </c>
      <c r="C12" s="23">
        <f ca="1">C10*C8</f>
        <v>0</v>
      </c>
      <c r="D12" s="23">
        <f>D8*D10</f>
        <v>25199.438341924004</v>
      </c>
      <c r="E12" s="23">
        <f>E10*E8</f>
        <v>8654.7455787912004</v>
      </c>
      <c r="F12" s="23">
        <f>F10*F8</f>
        <v>23334.646548151861</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3400</v>
      </c>
      <c r="C18" s="166" t="s">
        <v>110</v>
      </c>
      <c r="D18" s="228"/>
      <c r="E18" s="15"/>
    </row>
    <row r="19" spans="1:7">
      <c r="A19" s="171" t="s">
        <v>71</v>
      </c>
      <c r="B19" s="37">
        <f>aantalw2001_ander</f>
        <v>6</v>
      </c>
      <c r="C19" s="166" t="s">
        <v>110</v>
      </c>
      <c r="D19" s="229"/>
      <c r="E19" s="15"/>
    </row>
    <row r="20" spans="1:7">
      <c r="A20" s="171" t="s">
        <v>72</v>
      </c>
      <c r="B20" s="37">
        <f>aantalw2001_propaan</f>
        <v>67</v>
      </c>
      <c r="C20" s="167">
        <f>IF(ISERROR(B20/SUM($B$20,$B$21,$B$22)*100),0,B20/SUM($B$20,$B$21,$B$22)*100)</f>
        <v>19.940476190476193</v>
      </c>
      <c r="D20" s="229"/>
      <c r="E20" s="15"/>
    </row>
    <row r="21" spans="1:7">
      <c r="A21" s="171" t="s">
        <v>73</v>
      </c>
      <c r="B21" s="37">
        <f>aantalw2001_elektriciteit</f>
        <v>207</v>
      </c>
      <c r="C21" s="167">
        <f>IF(ISERROR(B21/SUM($B$20,$B$21,$B$22)*100),0,B21/SUM($B$20,$B$21,$B$22)*100)</f>
        <v>61.607142857142861</v>
      </c>
      <c r="D21" s="229"/>
      <c r="E21" s="15"/>
    </row>
    <row r="22" spans="1:7">
      <c r="A22" s="171" t="s">
        <v>74</v>
      </c>
      <c r="B22" s="37">
        <f>aantalw2001_hout</f>
        <v>62</v>
      </c>
      <c r="C22" s="167">
        <f>IF(ISERROR(B22/SUM($B$20,$B$21,$B$22)*100),0,B22/SUM($B$20,$B$21,$B$22)*100)</f>
        <v>18.452380952380953</v>
      </c>
      <c r="D22" s="229"/>
      <c r="E22" s="15"/>
    </row>
    <row r="23" spans="1:7">
      <c r="A23" s="171" t="s">
        <v>75</v>
      </c>
      <c r="B23" s="37">
        <f>aantalw2001_niet_gespec</f>
        <v>166</v>
      </c>
      <c r="C23" s="166" t="s">
        <v>110</v>
      </c>
      <c r="D23" s="228"/>
      <c r="E23" s="15"/>
    </row>
    <row r="24" spans="1:7">
      <c r="A24" s="171" t="s">
        <v>76</v>
      </c>
      <c r="B24" s="37">
        <f>aantalw2001_steenkool</f>
        <v>284</v>
      </c>
      <c r="C24" s="166" t="s">
        <v>110</v>
      </c>
      <c r="D24" s="229"/>
      <c r="E24" s="15"/>
    </row>
    <row r="25" spans="1:7">
      <c r="A25" s="171" t="s">
        <v>77</v>
      </c>
      <c r="B25" s="37">
        <f>aantalw2001_stookolie</f>
        <v>8734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15014</v>
      </c>
      <c r="C28" s="36"/>
      <c r="D28" s="228"/>
    </row>
    <row r="29" spans="1:7" s="15" customFormat="1">
      <c r="A29" s="230" t="s">
        <v>696</v>
      </c>
      <c r="B29" s="37">
        <f>SUM(HH_hh_gas_aantal,HH_rest_gas_aantal)</f>
        <v>8341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8341</v>
      </c>
      <c r="C32" s="167">
        <f>IF(ISERROR(B32/SUM($B$32,$B$34,$B$35,$B$36,$B$38,$B$39)*100),0,B32/SUM($B$32,$B$34,$B$35,$B$36,$B$38,$B$39)*100)</f>
        <v>55.71438113686461</v>
      </c>
      <c r="D32" s="233"/>
      <c r="G32" s="15"/>
    </row>
    <row r="33" spans="1:7">
      <c r="A33" s="171" t="s">
        <v>71</v>
      </c>
      <c r="B33" s="34" t="s">
        <v>110</v>
      </c>
      <c r="C33" s="167"/>
      <c r="D33" s="233"/>
      <c r="G33" s="15"/>
    </row>
    <row r="34" spans="1:7">
      <c r="A34" s="171" t="s">
        <v>72</v>
      </c>
      <c r="B34" s="33">
        <f>IF((($B$28-$B$32-$B$39-$B$77-$B$38)*C20/100)&lt;0,0,($B$28-$B$32-$B$39-$B$77-$B$38)*C20/100)</f>
        <v>467.18541666666687</v>
      </c>
      <c r="C34" s="167">
        <f>IF(ISERROR(B34/SUM($B$32,$B$34,$B$35,$B$36,$B$38,$B$39)*100),0,B34/SUM($B$32,$B$34,$B$35,$B$36,$B$38,$B$39)*100)</f>
        <v>3.1206026094894588</v>
      </c>
      <c r="D34" s="233"/>
      <c r="G34" s="15"/>
    </row>
    <row r="35" spans="1:7">
      <c r="A35" s="171" t="s">
        <v>73</v>
      </c>
      <c r="B35" s="33">
        <f>IF((($B$28-$B$32-$B$39-$B$77-$B$38)*C21/100)&lt;0,0,($B$28-$B$32-$B$39-$B$77-$B$38)*C21/100)</f>
        <v>1443.3937500000002</v>
      </c>
      <c r="C35" s="167">
        <f>IF(ISERROR(B35/SUM($B$32,$B$34,$B$35,$B$36,$B$38,$B$39)*100),0,B35/SUM($B$32,$B$34,$B$35,$B$36,$B$38,$B$39)*100)</f>
        <v>9.641264778571907</v>
      </c>
      <c r="D35" s="233"/>
      <c r="G35" s="15"/>
    </row>
    <row r="36" spans="1:7">
      <c r="A36" s="171" t="s">
        <v>74</v>
      </c>
      <c r="B36" s="33">
        <f>IF((($B$28-$B$32-$B$39-$B$77-$B$38)*C22/100)&lt;0,0,($B$28-$B$32-$B$39-$B$77-$B$38)*C22/100)</f>
        <v>432.32083333333344</v>
      </c>
      <c r="C36" s="167">
        <f>IF(ISERROR(B36/SUM($B$32,$B$34,$B$35,$B$36,$B$38,$B$39)*100),0,B36/SUM($B$32,$B$34,$B$35,$B$36,$B$38,$B$39)*100)</f>
        <v>2.8877218177365136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4287.0999999999995</v>
      </c>
      <c r="C39" s="167">
        <f>IF(ISERROR(B39/SUM($B$32,$B$34,$B$35,$B$36,$B$38,$B$39)*100),0,B39/SUM($B$32,$B$34,$B$35,$B$36,$B$38,$B$39)*100)</f>
        <v>28.636029657337513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8341</v>
      </c>
      <c r="C44" s="34" t="s">
        <v>110</v>
      </c>
      <c r="D44" s="174"/>
    </row>
    <row r="45" spans="1:7">
      <c r="A45" s="171" t="s">
        <v>71</v>
      </c>
      <c r="B45" s="33" t="str">
        <f t="shared" si="0"/>
        <v>-</v>
      </c>
      <c r="C45" s="34" t="s">
        <v>110</v>
      </c>
      <c r="D45" s="174"/>
    </row>
    <row r="46" spans="1:7">
      <c r="A46" s="171" t="s">
        <v>72</v>
      </c>
      <c r="B46" s="33">
        <f t="shared" si="0"/>
        <v>467.18541666666687</v>
      </c>
      <c r="C46" s="34" t="s">
        <v>110</v>
      </c>
      <c r="D46" s="174"/>
    </row>
    <row r="47" spans="1:7">
      <c r="A47" s="171" t="s">
        <v>73</v>
      </c>
      <c r="B47" s="33">
        <f t="shared" si="0"/>
        <v>1443.3937500000002</v>
      </c>
      <c r="C47" s="34" t="s">
        <v>110</v>
      </c>
      <c r="D47" s="174"/>
    </row>
    <row r="48" spans="1:7">
      <c r="A48" s="171" t="s">
        <v>74</v>
      </c>
      <c r="B48" s="33">
        <f t="shared" si="0"/>
        <v>432.32083333333344</v>
      </c>
      <c r="C48" s="33">
        <f>B48*10</f>
        <v>4323.2083333333339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4287.0999999999995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455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55062.38</v>
      </c>
      <c r="C5" s="17">
        <f>IF(ISERROR('Eigen informatie GS &amp; warmtenet'!B58),0,'Eigen informatie GS &amp; warmtenet'!B58)</f>
        <v>0</v>
      </c>
      <c r="D5" s="30">
        <f>SUM(D6:D12)</f>
        <v>47677.309856</v>
      </c>
      <c r="E5" s="17">
        <f>SUM(E6:E12)</f>
        <v>1120.1962744247462</v>
      </c>
      <c r="F5" s="17">
        <f>SUM(F6:F12)</f>
        <v>13868.657027714657</v>
      </c>
      <c r="G5" s="18"/>
      <c r="H5" s="17"/>
      <c r="I5" s="17"/>
      <c r="J5" s="17">
        <f>SUM(J6:J12)</f>
        <v>0</v>
      </c>
      <c r="K5" s="17"/>
      <c r="L5" s="17"/>
      <c r="M5" s="17"/>
      <c r="N5" s="17">
        <f>SUM(N6:N12)</f>
        <v>8993.6280752338153</v>
      </c>
      <c r="O5" s="17">
        <f>B38*B39*B40</f>
        <v>0</v>
      </c>
      <c r="P5" s="17">
        <f>B46*B47*B48/1000-B46*B47*B48/1000/B49</f>
        <v>0</v>
      </c>
      <c r="R5" s="32"/>
    </row>
    <row r="6" spans="1:18">
      <c r="A6" s="32" t="s">
        <v>53</v>
      </c>
      <c r="B6" s="37">
        <f>B26</f>
        <v>11224.61</v>
      </c>
      <c r="C6" s="33"/>
      <c r="D6" s="37">
        <f>IF(ISERROR(TER_kantoor_gas_kWh/1000),0,TER_kantoor_gas_kWh/1000)*0.902</f>
        <v>13899.004591999999</v>
      </c>
      <c r="E6" s="33">
        <f>$C$26*'E Balans VL '!I12/100/3.6*1000000</f>
        <v>146.94397161459074</v>
      </c>
      <c r="F6" s="33">
        <f>$C$26*('E Balans VL '!L12+'E Balans VL '!N12)/100/3.6*1000000</f>
        <v>2862.1595592130848</v>
      </c>
      <c r="G6" s="34"/>
      <c r="H6" s="33"/>
      <c r="I6" s="33"/>
      <c r="J6" s="33">
        <f>$C$26*('E Balans VL '!D12+'E Balans VL '!E12)/100/3.6*1000000</f>
        <v>0</v>
      </c>
      <c r="K6" s="33"/>
      <c r="L6" s="33"/>
      <c r="M6" s="33"/>
      <c r="N6" s="33">
        <f>$C$26*'E Balans VL '!Y12/100/3.6*1000000</f>
        <v>11.262408272953355</v>
      </c>
      <c r="O6" s="33"/>
      <c r="P6" s="33"/>
      <c r="R6" s="32"/>
    </row>
    <row r="7" spans="1:18">
      <c r="A7" s="32" t="s">
        <v>52</v>
      </c>
      <c r="B7" s="37">
        <f t="shared" ref="B7:B12" si="0">B27</f>
        <v>7489.6040000000003</v>
      </c>
      <c r="C7" s="33"/>
      <c r="D7" s="37">
        <f>IF(ISERROR(TER_horeca_gas_kWh/1000),0,TER_horeca_gas_kWh/1000)*0.902</f>
        <v>7368.4921200000008</v>
      </c>
      <c r="E7" s="33">
        <f>$C$27*'E Balans VL '!I9/100/3.6*1000000</f>
        <v>247.86033466714505</v>
      </c>
      <c r="F7" s="33">
        <f>$C$27*('E Balans VL '!L9+'E Balans VL '!N9)/100/3.6*1000000</f>
        <v>3220.5010163606507</v>
      </c>
      <c r="G7" s="34"/>
      <c r="H7" s="33"/>
      <c r="I7" s="33"/>
      <c r="J7" s="33">
        <f>$C$27*('E Balans VL '!D9+'E Balans VL '!E9)/100/3.6*1000000</f>
        <v>0</v>
      </c>
      <c r="K7" s="33"/>
      <c r="L7" s="33"/>
      <c r="M7" s="33"/>
      <c r="N7" s="33">
        <f>$C$27*'E Balans VL '!Y9/100/3.6*1000000</f>
        <v>1.8028564437856065</v>
      </c>
      <c r="O7" s="33"/>
      <c r="P7" s="33"/>
      <c r="R7" s="32"/>
    </row>
    <row r="8" spans="1:18">
      <c r="A8" s="6" t="s">
        <v>51</v>
      </c>
      <c r="B8" s="37">
        <f t="shared" si="0"/>
        <v>22361.828000000001</v>
      </c>
      <c r="C8" s="33"/>
      <c r="D8" s="37">
        <f>IF(ISERROR(TER_handel_gas_kWh/1000),0,TER_handel_gas_kWh/1000)*0.902</f>
        <v>13162.987926</v>
      </c>
      <c r="E8" s="33">
        <f>$C$28*'E Balans VL '!I13/100/3.6*1000000</f>
        <v>705.7734595361236</v>
      </c>
      <c r="F8" s="33">
        <f>$C$28*('E Balans VL '!L13+'E Balans VL '!N13)/100/3.6*1000000</f>
        <v>4385.5482381438369</v>
      </c>
      <c r="G8" s="34"/>
      <c r="H8" s="33"/>
      <c r="I8" s="33"/>
      <c r="J8" s="33">
        <f>$C$28*('E Balans VL '!D13+'E Balans VL '!E13)/100/3.6*1000000</f>
        <v>0</v>
      </c>
      <c r="K8" s="33"/>
      <c r="L8" s="33"/>
      <c r="M8" s="33"/>
      <c r="N8" s="33">
        <f>$C$28*'E Balans VL '!Y13/100/3.6*1000000</f>
        <v>26.539148340392025</v>
      </c>
      <c r="O8" s="33"/>
      <c r="P8" s="33"/>
      <c r="R8" s="32"/>
    </row>
    <row r="9" spans="1:18">
      <c r="A9" s="32" t="s">
        <v>50</v>
      </c>
      <c r="B9" s="37">
        <f t="shared" si="0"/>
        <v>1282.6849999999999</v>
      </c>
      <c r="C9" s="33"/>
      <c r="D9" s="37">
        <f>IF(ISERROR(TER_gezond_gas_kWh/1000),0,TER_gezond_gas_kWh/1000)*0.902</f>
        <v>1465.4442220000001</v>
      </c>
      <c r="E9" s="33">
        <f>$C$29*'E Balans VL '!I10/100/3.6*1000000</f>
        <v>0.16422120411708521</v>
      </c>
      <c r="F9" s="33">
        <f>$C$29*('E Balans VL '!L10+'E Balans VL '!N10)/100/3.6*1000000</f>
        <v>267.23704775530496</v>
      </c>
      <c r="G9" s="34"/>
      <c r="H9" s="33"/>
      <c r="I9" s="33"/>
      <c r="J9" s="33">
        <f>$C$29*('E Balans VL '!D10+'E Balans VL '!E10)/100/3.6*1000000</f>
        <v>0</v>
      </c>
      <c r="K9" s="33"/>
      <c r="L9" s="33"/>
      <c r="M9" s="33"/>
      <c r="N9" s="33">
        <f>$C$29*'E Balans VL '!Y10/100/3.6*1000000</f>
        <v>15.065741601635658</v>
      </c>
      <c r="O9" s="33"/>
      <c r="P9" s="33"/>
      <c r="R9" s="32"/>
    </row>
    <row r="10" spans="1:18">
      <c r="A10" s="32" t="s">
        <v>49</v>
      </c>
      <c r="B10" s="37">
        <f t="shared" si="0"/>
        <v>11339.662</v>
      </c>
      <c r="C10" s="33"/>
      <c r="D10" s="37">
        <f>IF(ISERROR(TER_ander_gas_kWh/1000),0,TER_ander_gas_kWh/1000)*0.902</f>
        <v>7802.9638720000012</v>
      </c>
      <c r="E10" s="33">
        <f>$C$30*'E Balans VL '!I14/100/3.6*1000000</f>
        <v>17.052184949718953</v>
      </c>
      <c r="F10" s="33">
        <f>$C$30*('E Balans VL '!L14+'E Balans VL '!N14)/100/3.6*1000000</f>
        <v>2503.4318401654555</v>
      </c>
      <c r="G10" s="34"/>
      <c r="H10" s="33"/>
      <c r="I10" s="33"/>
      <c r="J10" s="33">
        <f>$C$30*('E Balans VL '!D14+'E Balans VL '!E14)/100/3.6*1000000</f>
        <v>0</v>
      </c>
      <c r="K10" s="33"/>
      <c r="L10" s="33"/>
      <c r="M10" s="33"/>
      <c r="N10" s="33">
        <f>$C$30*'E Balans VL '!Y14/100/3.6*1000000</f>
        <v>8936.4167864797182</v>
      </c>
      <c r="O10" s="33"/>
      <c r="P10" s="33"/>
      <c r="R10" s="32"/>
    </row>
    <row r="11" spans="1:18">
      <c r="A11" s="32" t="s">
        <v>54</v>
      </c>
      <c r="B11" s="37">
        <f t="shared" si="0"/>
        <v>1363.991</v>
      </c>
      <c r="C11" s="33"/>
      <c r="D11" s="37">
        <f>IF(ISERROR(TER_onderwijs_gas_kWh/1000),0,TER_onderwijs_gas_kWh/1000)*0.902</f>
        <v>3978.4171240000005</v>
      </c>
      <c r="E11" s="33">
        <f>$C$31*'E Balans VL '!I11/100/3.6*1000000</f>
        <v>2.4021024530506994</v>
      </c>
      <c r="F11" s="33">
        <f>$C$31*('E Balans VL '!L11+'E Balans VL '!N11)/100/3.6*1000000</f>
        <v>629.77932607632385</v>
      </c>
      <c r="G11" s="34"/>
      <c r="H11" s="33"/>
      <c r="I11" s="33"/>
      <c r="J11" s="33">
        <f>$C$31*('E Balans VL '!D11+'E Balans VL '!E11)/100/3.6*1000000</f>
        <v>0</v>
      </c>
      <c r="K11" s="33"/>
      <c r="L11" s="33"/>
      <c r="M11" s="33"/>
      <c r="N11" s="33">
        <f>$C$31*'E Balans VL '!Y11/100/3.6*1000000</f>
        <v>2.5411340953297028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55062.38</v>
      </c>
      <c r="C16" s="21">
        <f t="shared" ca="1" si="1"/>
        <v>0</v>
      </c>
      <c r="D16" s="21">
        <f t="shared" ca="1" si="1"/>
        <v>47677.309856</v>
      </c>
      <c r="E16" s="21">
        <f t="shared" si="1"/>
        <v>1120.1962744247462</v>
      </c>
      <c r="F16" s="21">
        <f t="shared" ca="1" si="1"/>
        <v>13868.657027714657</v>
      </c>
      <c r="G16" s="21">
        <f t="shared" si="1"/>
        <v>0</v>
      </c>
      <c r="H16" s="21">
        <f t="shared" si="1"/>
        <v>0</v>
      </c>
      <c r="I16" s="21">
        <f t="shared" si="1"/>
        <v>0</v>
      </c>
      <c r="J16" s="21">
        <f t="shared" si="1"/>
        <v>0</v>
      </c>
      <c r="K16" s="21">
        <f t="shared" si="1"/>
        <v>0</v>
      </c>
      <c r="L16" s="21">
        <f t="shared" ca="1" si="1"/>
        <v>0</v>
      </c>
      <c r="M16" s="21">
        <f t="shared" si="1"/>
        <v>0</v>
      </c>
      <c r="N16" s="21">
        <f t="shared" ca="1" si="1"/>
        <v>8993.6280752338153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0.18836070207560862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10371.588554753951</v>
      </c>
      <c r="C20" s="23">
        <f t="shared" ref="C20:P20" ca="1" si="2">C16*C18</f>
        <v>0</v>
      </c>
      <c r="D20" s="23">
        <f t="shared" ca="1" si="2"/>
        <v>9630.8165909119998</v>
      </c>
      <c r="E20" s="23">
        <f t="shared" si="2"/>
        <v>254.2845542944174</v>
      </c>
      <c r="F20" s="23">
        <f t="shared" ca="1" si="2"/>
        <v>3702.9314263998135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11224.61</v>
      </c>
      <c r="C26" s="39">
        <f>IF(ISERROR(B26*3.6/1000000/'E Balans VL '!Z12*100),0,B26*3.6/1000000/'E Balans VL '!Z12*100)</f>
        <v>0.24043986625995398</v>
      </c>
      <c r="D26" s="237" t="s">
        <v>659</v>
      </c>
      <c r="F26" s="6"/>
    </row>
    <row r="27" spans="1:18">
      <c r="A27" s="231" t="s">
        <v>52</v>
      </c>
      <c r="B27" s="33">
        <f>IF(ISERROR(TER_horeca_ele_kWh/1000),0,TER_horeca_ele_kWh/1000)</f>
        <v>7489.6040000000003</v>
      </c>
      <c r="C27" s="39">
        <f>IF(ISERROR(B27*3.6/1000000/'E Balans VL '!Z9*100),0,B27*3.6/1000000/'E Balans VL '!Z9*100)</f>
        <v>0.6010146874022253</v>
      </c>
      <c r="D27" s="237" t="s">
        <v>659</v>
      </c>
      <c r="F27" s="6"/>
    </row>
    <row r="28" spans="1:18">
      <c r="A28" s="171" t="s">
        <v>51</v>
      </c>
      <c r="B28" s="33">
        <f>IF(ISERROR(TER_handel_ele_kWh/1000),0,TER_handel_ele_kWh/1000)</f>
        <v>22361.828000000001</v>
      </c>
      <c r="C28" s="39">
        <f>IF(ISERROR(B28*3.6/1000000/'E Balans VL '!Z13*100),0,B28*3.6/1000000/'E Balans VL '!Z13*100)</f>
        <v>0.65954566367056078</v>
      </c>
      <c r="D28" s="237" t="s">
        <v>659</v>
      </c>
      <c r="F28" s="6"/>
    </row>
    <row r="29" spans="1:18">
      <c r="A29" s="231" t="s">
        <v>50</v>
      </c>
      <c r="B29" s="33">
        <f>IF(ISERROR(TER_gezond_ele_kWh/1000),0,TER_gezond_ele_kWh/1000)</f>
        <v>1282.6849999999999</v>
      </c>
      <c r="C29" s="39">
        <f>IF(ISERROR(B29*3.6/1000000/'E Balans VL '!Z10*100),0,B29*3.6/1000000/'E Balans VL '!Z10*100)</f>
        <v>0.13695636792553284</v>
      </c>
      <c r="D29" s="237" t="s">
        <v>659</v>
      </c>
      <c r="F29" s="6"/>
    </row>
    <row r="30" spans="1:18">
      <c r="A30" s="231" t="s">
        <v>49</v>
      </c>
      <c r="B30" s="33">
        <f>IF(ISERROR(TER_ander_ele_kWh/1000),0,TER_ander_ele_kWh/1000)</f>
        <v>11339.662</v>
      </c>
      <c r="C30" s="39">
        <f>IF(ISERROR(B30*3.6/1000000/'E Balans VL '!Z14*100),0,B30*3.6/1000000/'E Balans VL '!Z14*100)</f>
        <v>0.8565291999165201</v>
      </c>
      <c r="D30" s="237" t="s">
        <v>659</v>
      </c>
      <c r="F30" s="6"/>
    </row>
    <row r="31" spans="1:18">
      <c r="A31" s="231" t="s">
        <v>54</v>
      </c>
      <c r="B31" s="33">
        <f>IF(ISERROR(TER_onderwijs_ele_kWh/1000),0,TER_onderwijs_ele_kWh/1000)</f>
        <v>1363.991</v>
      </c>
      <c r="C31" s="39">
        <f>IF(ISERROR(B31*3.6/1000000/'E Balans VL '!Z11*100),0,B31*3.6/1000000/'E Balans VL '!Z11*100)</f>
        <v>0.27543531643723757</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51383.26</v>
      </c>
      <c r="C5" s="17">
        <f>IF(ISERROR('Eigen informatie GS &amp; warmtenet'!B59),0,'Eigen informatie GS &amp; warmtenet'!B59)</f>
        <v>0</v>
      </c>
      <c r="D5" s="30">
        <f>SUM(D6:D15)</f>
        <v>33578.324647999994</v>
      </c>
      <c r="E5" s="17">
        <f>SUM(E6:E15)</f>
        <v>1837.2669956413304</v>
      </c>
      <c r="F5" s="17">
        <f>SUM(F6:F15)</f>
        <v>13387.721992867202</v>
      </c>
      <c r="G5" s="18"/>
      <c r="H5" s="17"/>
      <c r="I5" s="17"/>
      <c r="J5" s="17">
        <f>SUM(J6:J15)</f>
        <v>34.898372254935367</v>
      </c>
      <c r="K5" s="17"/>
      <c r="L5" s="17"/>
      <c r="M5" s="17"/>
      <c r="N5" s="17">
        <f>SUM(N6:N15)</f>
        <v>11774.996082561955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5844.2809999999999</v>
      </c>
      <c r="C8" s="33"/>
      <c r="D8" s="37">
        <f>IF( ISERROR(IND_metaal_Gas_kWH/1000),0,IND_metaal_Gas_kWH/1000)*0.902</f>
        <v>2328.4047600000004</v>
      </c>
      <c r="E8" s="33">
        <f>C30*'E Balans VL '!I18/100/3.6*1000000</f>
        <v>210.29491052852697</v>
      </c>
      <c r="F8" s="33">
        <f>C30*'E Balans VL '!L18/100/3.6*1000000+C30*'E Balans VL '!N18/100/3.6*1000000</f>
        <v>2552.0080614930098</v>
      </c>
      <c r="G8" s="34"/>
      <c r="H8" s="33"/>
      <c r="I8" s="33"/>
      <c r="J8" s="40">
        <f>C30*'E Balans VL '!D18/100/3.6*1000000+C30*'E Balans VL '!E18/100/3.6*1000000</f>
        <v>0</v>
      </c>
      <c r="K8" s="33"/>
      <c r="L8" s="33"/>
      <c r="M8" s="33"/>
      <c r="N8" s="33">
        <f>C30*'E Balans VL '!Y18/100/3.6*1000000</f>
        <v>292.91139211023022</v>
      </c>
      <c r="O8" s="33"/>
      <c r="P8" s="33"/>
      <c r="R8" s="32"/>
    </row>
    <row r="9" spans="1:18">
      <c r="A9" s="6" t="s">
        <v>32</v>
      </c>
      <c r="B9" s="37">
        <f t="shared" si="0"/>
        <v>2320.9699999999998</v>
      </c>
      <c r="C9" s="33"/>
      <c r="D9" s="37">
        <f>IF( ISERROR(IND_andere_gas_kWh/1000),0,IND_andere_gas_kWh/1000)*0.902</f>
        <v>5729.0971980000004</v>
      </c>
      <c r="E9" s="33">
        <f>C31*'E Balans VL '!I19/100/3.6*1000000</f>
        <v>592.25903058290385</v>
      </c>
      <c r="F9" s="33">
        <f>C31*'E Balans VL '!L19/100/3.6*1000000+C31*'E Balans VL '!N19/100/3.6*1000000</f>
        <v>1998.1807191127327</v>
      </c>
      <c r="G9" s="34"/>
      <c r="H9" s="33"/>
      <c r="I9" s="33"/>
      <c r="J9" s="40">
        <f>C31*'E Balans VL '!D19/100/3.6*1000000+C31*'E Balans VL '!E19/100/3.6*1000000</f>
        <v>0</v>
      </c>
      <c r="K9" s="33"/>
      <c r="L9" s="33"/>
      <c r="M9" s="33"/>
      <c r="N9" s="33">
        <f>C31*'E Balans VL '!Y19/100/3.6*1000000</f>
        <v>183.09737366751881</v>
      </c>
      <c r="O9" s="33"/>
      <c r="P9" s="33"/>
      <c r="R9" s="32"/>
    </row>
    <row r="10" spans="1:18">
      <c r="A10" s="6" t="s">
        <v>40</v>
      </c>
      <c r="B10" s="37">
        <f t="shared" si="0"/>
        <v>29897.023000000001</v>
      </c>
      <c r="C10" s="33"/>
      <c r="D10" s="37">
        <f>IF( ISERROR(IND_voed_gas_kWh/1000),0,IND_voed_gas_kWh/1000)*0.902</f>
        <v>23933.967463999998</v>
      </c>
      <c r="E10" s="33">
        <f>C32*'E Balans VL '!I20/100/3.6*1000000</f>
        <v>760.02337663671915</v>
      </c>
      <c r="F10" s="33">
        <f>C32*'E Balans VL '!L20/100/3.6*1000000+C32*'E Balans VL '!N20/100/3.6*1000000</f>
        <v>6765.2475118808352</v>
      </c>
      <c r="G10" s="34"/>
      <c r="H10" s="33"/>
      <c r="I10" s="33"/>
      <c r="J10" s="40">
        <f>C32*'E Balans VL '!D20/100/3.6*1000000+C32*'E Balans VL '!E20/100/3.6*1000000</f>
        <v>0</v>
      </c>
      <c r="K10" s="33"/>
      <c r="L10" s="33"/>
      <c r="M10" s="33"/>
      <c r="N10" s="33">
        <f>C32*'E Balans VL '!Y20/100/3.6*1000000</f>
        <v>11212.194015684048</v>
      </c>
      <c r="O10" s="33"/>
      <c r="P10" s="33"/>
      <c r="R10" s="32"/>
    </row>
    <row r="11" spans="1:18">
      <c r="A11" s="6" t="s">
        <v>39</v>
      </c>
      <c r="B11" s="37">
        <f t="shared" si="0"/>
        <v>260.161</v>
      </c>
      <c r="C11" s="33"/>
      <c r="D11" s="37">
        <f>IF( ISERROR(IND_textiel_gas_kWh/1000),0,IND_textiel_gas_kWh/1000)*0.902</f>
        <v>0</v>
      </c>
      <c r="E11" s="33">
        <f>C33*'E Balans VL '!I21/100/3.6*1000000</f>
        <v>0.71421190823762715</v>
      </c>
      <c r="F11" s="33">
        <f>C33*'E Balans VL '!L21/100/3.6*1000000+C33*'E Balans VL '!N21/100/3.6*1000000</f>
        <v>13.792651989405609</v>
      </c>
      <c r="G11" s="34"/>
      <c r="H11" s="33"/>
      <c r="I11" s="33"/>
      <c r="J11" s="40">
        <f>C33*'E Balans VL '!D21/100/3.6*1000000+C33*'E Balans VL '!E21/100/3.6*1000000</f>
        <v>0</v>
      </c>
      <c r="K11" s="33"/>
      <c r="L11" s="33"/>
      <c r="M11" s="33"/>
      <c r="N11" s="33">
        <f>C33*'E Balans VL '!Y21/100/3.6*1000000</f>
        <v>0.52288055787967358</v>
      </c>
      <c r="O11" s="33"/>
      <c r="P11" s="33"/>
      <c r="R11" s="32"/>
    </row>
    <row r="12" spans="1:18">
      <c r="A12" s="6" t="s">
        <v>36</v>
      </c>
      <c r="B12" s="37">
        <f t="shared" si="0"/>
        <v>12288.934999999999</v>
      </c>
      <c r="C12" s="33"/>
      <c r="D12" s="37">
        <f>IF( ISERROR(IND_min_gas_kWh/1000),0,IND_min_gas_kWh/1000)*0.902</f>
        <v>38.963694000000004</v>
      </c>
      <c r="E12" s="33">
        <f>C34*'E Balans VL '!I22/100/3.6*1000000</f>
        <v>261.10906994810466</v>
      </c>
      <c r="F12" s="33">
        <f>C34*'E Balans VL '!L22/100/3.6*1000000+C34*'E Balans VL '!N22/100/3.6*1000000</f>
        <v>2005.0444727659503</v>
      </c>
      <c r="G12" s="34"/>
      <c r="H12" s="33"/>
      <c r="I12" s="33"/>
      <c r="J12" s="40">
        <f>C34*'E Balans VL '!D22/100/3.6*1000000+C34*'E Balans VL '!E22/100/3.6*1000000</f>
        <v>14.317756084705524</v>
      </c>
      <c r="K12" s="33"/>
      <c r="L12" s="33"/>
      <c r="M12" s="33"/>
      <c r="N12" s="33">
        <f>C34*'E Balans VL '!Y22/100/3.6*1000000</f>
        <v>0</v>
      </c>
      <c r="O12" s="33"/>
      <c r="P12" s="33"/>
      <c r="R12" s="32"/>
    </row>
    <row r="13" spans="1:18">
      <c r="A13" s="6" t="s">
        <v>38</v>
      </c>
      <c r="B13" s="37">
        <f t="shared" si="0"/>
        <v>282.96100000000001</v>
      </c>
      <c r="C13" s="33"/>
      <c r="D13" s="37">
        <f>IF( ISERROR(IND_papier_gas_kWh/1000),0,IND_papier_gas_kWh/1000)*0.902</f>
        <v>0</v>
      </c>
      <c r="E13" s="33">
        <f>C35*'E Balans VL '!I23/100/3.6*1000000</f>
        <v>1.2135374106130432</v>
      </c>
      <c r="F13" s="33">
        <f>C35*'E Balans VL '!L23/100/3.6*1000000+C35*'E Balans VL '!N23/100/3.6*1000000</f>
        <v>7.1116881850342484</v>
      </c>
      <c r="G13" s="34"/>
      <c r="H13" s="33"/>
      <c r="I13" s="33"/>
      <c r="J13" s="40">
        <f>C35*'E Balans VL '!D23/100/3.6*1000000+C35*'E Balans VL '!E23/100/3.6*1000000</f>
        <v>18.942686972757073</v>
      </c>
      <c r="K13" s="33"/>
      <c r="L13" s="33"/>
      <c r="M13" s="33"/>
      <c r="N13" s="33">
        <f>C35*'E Balans VL '!Y23/100/3.6*1000000</f>
        <v>69.00390250855969</v>
      </c>
      <c r="O13" s="33"/>
      <c r="P13" s="33"/>
      <c r="R13" s="32"/>
    </row>
    <row r="14" spans="1:18">
      <c r="A14" s="6" t="s">
        <v>33</v>
      </c>
      <c r="B14" s="37">
        <f t="shared" si="0"/>
        <v>286.89299999999997</v>
      </c>
      <c r="C14" s="33"/>
      <c r="D14" s="37">
        <f>IF( ISERROR(IND_chemie_gas_kWh/1000),0,IND_chemie_gas_kWh/1000)*0.902</f>
        <v>1018.256976</v>
      </c>
      <c r="E14" s="33">
        <f>C36*'E Balans VL '!I24/100/3.6*1000000</f>
        <v>0.68778102949244868</v>
      </c>
      <c r="F14" s="33">
        <f>C36*'E Balans VL '!L24/100/3.6*1000000+C36*'E Balans VL '!N24/100/3.6*1000000</f>
        <v>2.3023812214098731</v>
      </c>
      <c r="G14" s="34"/>
      <c r="H14" s="33"/>
      <c r="I14" s="33"/>
      <c r="J14" s="40">
        <f>C36*'E Balans VL '!D24/100/3.6*1000000+C36*'E Balans VL '!E24/100/3.6*1000000</f>
        <v>0</v>
      </c>
      <c r="K14" s="33"/>
      <c r="L14" s="33"/>
      <c r="M14" s="33"/>
      <c r="N14" s="33">
        <f>C36*'E Balans VL '!Y24/100/3.6*1000000</f>
        <v>5.9298558931097132</v>
      </c>
      <c r="O14" s="33"/>
      <c r="P14" s="33"/>
      <c r="R14" s="32"/>
    </row>
    <row r="15" spans="1:18">
      <c r="A15" s="6" t="s">
        <v>269</v>
      </c>
      <c r="B15" s="37">
        <f t="shared" si="0"/>
        <v>202.036</v>
      </c>
      <c r="C15" s="33"/>
      <c r="D15" s="37">
        <f>IF( ISERROR(IND_rest_gas_kWh/1000),0,IND_rest_gas_kWh/1000)*0.902</f>
        <v>529.63455599999998</v>
      </c>
      <c r="E15" s="33">
        <f>C37*'E Balans VL '!I15/100/3.6*1000000</f>
        <v>10.965077596732399</v>
      </c>
      <c r="F15" s="33">
        <f>C37*'E Balans VL '!L15/100/3.6*1000000+C37*'E Balans VL '!N15/100/3.6*1000000</f>
        <v>44.034506218822607</v>
      </c>
      <c r="G15" s="34"/>
      <c r="H15" s="33"/>
      <c r="I15" s="33"/>
      <c r="J15" s="40">
        <f>C37*'E Balans VL '!D15/100/3.6*1000000+C37*'E Balans VL '!E15/100/3.6*1000000</f>
        <v>1.6379291974727685</v>
      </c>
      <c r="K15" s="33"/>
      <c r="L15" s="33"/>
      <c r="M15" s="33"/>
      <c r="N15" s="33">
        <f>C37*'E Balans VL '!Y15/100/3.6*1000000</f>
        <v>11.336662140609841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51383.26</v>
      </c>
      <c r="C18" s="21">
        <f>C5+C16</f>
        <v>0</v>
      </c>
      <c r="D18" s="21">
        <f>MAX((D5+D16),0)</f>
        <v>33578.324647999994</v>
      </c>
      <c r="E18" s="21">
        <f>MAX((E5+E16),0)</f>
        <v>1837.2669956413304</v>
      </c>
      <c r="F18" s="21">
        <f>MAX((F5+F16),0)</f>
        <v>13387.721992867202</v>
      </c>
      <c r="G18" s="21"/>
      <c r="H18" s="21"/>
      <c r="I18" s="21"/>
      <c r="J18" s="21">
        <f>MAX((J5+J16),0)</f>
        <v>34.898372254935367</v>
      </c>
      <c r="K18" s="21"/>
      <c r="L18" s="21">
        <f>MAX((L5+L16),0)</f>
        <v>0</v>
      </c>
      <c r="M18" s="21"/>
      <c r="N18" s="21">
        <f>MAX((N5+N16),0)</f>
        <v>11774.996082561955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0.18836070207560862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9678.5869285335375</v>
      </c>
      <c r="C22" s="23">
        <f ca="1">C18*C20</f>
        <v>0</v>
      </c>
      <c r="D22" s="23">
        <f>D18*D20</f>
        <v>6782.8215788959997</v>
      </c>
      <c r="E22" s="23">
        <f>E18*E20</f>
        <v>417.059608010582</v>
      </c>
      <c r="F22" s="23">
        <f>F18*F20</f>
        <v>3574.5217720955429</v>
      </c>
      <c r="G22" s="23"/>
      <c r="H22" s="23"/>
      <c r="I22" s="23"/>
      <c r="J22" s="23">
        <f>J18*J20</f>
        <v>12.35402377824712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5844.2809999999999</v>
      </c>
      <c r="C30" s="39">
        <f>IF(ISERROR(B30*3.6/1000000/'E Balans VL '!Z18*100),0,B30*3.6/1000000/'E Balans VL '!Z18*100)</f>
        <v>1.2382778458176587</v>
      </c>
      <c r="D30" s="237" t="s">
        <v>659</v>
      </c>
    </row>
    <row r="31" spans="1:18">
      <c r="A31" s="6" t="s">
        <v>32</v>
      </c>
      <c r="B31" s="37">
        <f>IF( ISERROR(IND_ander_ele_kWh/1000),0,IND_ander_ele_kWh/1000)</f>
        <v>2320.9699999999998</v>
      </c>
      <c r="C31" s="39">
        <f>IF(ISERROR(B31*3.6/1000000/'E Balans VL '!Z19*100),0,B31*3.6/1000000/'E Balans VL '!Z19*100)</f>
        <v>9.7694897445661177E-2</v>
      </c>
      <c r="D31" s="237" t="s">
        <v>659</v>
      </c>
    </row>
    <row r="32" spans="1:18">
      <c r="A32" s="171" t="s">
        <v>40</v>
      </c>
      <c r="B32" s="37">
        <f>IF( ISERROR(IND_voed_ele_kWh/1000),0,IND_voed_ele_kWh/1000)</f>
        <v>29897.023000000001</v>
      </c>
      <c r="C32" s="39">
        <f>IF(ISERROR(B32*3.6/1000000/'E Balans VL '!Z20*100),0,B32*3.6/1000000/'E Balans VL '!Z20*100)</f>
        <v>4.9946359537007412</v>
      </c>
      <c r="D32" s="237" t="s">
        <v>659</v>
      </c>
    </row>
    <row r="33" spans="1:5">
      <c r="A33" s="171" t="s">
        <v>39</v>
      </c>
      <c r="B33" s="37">
        <f>IF( ISERROR(IND_textiel_ele_kWh/1000),0,IND_textiel_ele_kWh/1000)</f>
        <v>260.161</v>
      </c>
      <c r="C33" s="39">
        <f>IF(ISERROR(B33*3.6/1000000/'E Balans VL '!Z21*100),0,B33*3.6/1000000/'E Balans VL '!Z21*100)</f>
        <v>1.5188977716185144E-2</v>
      </c>
      <c r="D33" s="237" t="s">
        <v>659</v>
      </c>
    </row>
    <row r="34" spans="1:5">
      <c r="A34" s="171" t="s">
        <v>36</v>
      </c>
      <c r="B34" s="37">
        <f>IF( ISERROR(IND_min_ele_kWh/1000),0,IND_min_ele_kWh/1000)</f>
        <v>12288.934999999999</v>
      </c>
      <c r="C34" s="39">
        <f>IF(ISERROR(B34*3.6/1000000/'E Balans VL '!Z22*100),0,B34*3.6/1000000/'E Balans VL '!Z22*100)</f>
        <v>1.5576887852807171</v>
      </c>
      <c r="D34" s="237" t="s">
        <v>659</v>
      </c>
    </row>
    <row r="35" spans="1:5">
      <c r="A35" s="171" t="s">
        <v>38</v>
      </c>
      <c r="B35" s="37">
        <f>IF( ISERROR(IND_papier_ele_kWh/1000),0,IND_papier_ele_kWh/1000)</f>
        <v>282.96100000000001</v>
      </c>
      <c r="C35" s="39">
        <f>IF(ISERROR(B35*3.6/1000000/'E Balans VL '!Z22*100),0,B35*3.6/1000000/'E Balans VL '!Z22*100)</f>
        <v>3.5866832754166009E-2</v>
      </c>
      <c r="D35" s="237" t="s">
        <v>659</v>
      </c>
    </row>
    <row r="36" spans="1:5">
      <c r="A36" s="171" t="s">
        <v>33</v>
      </c>
      <c r="B36" s="37">
        <f>IF( ISERROR(IND_chemie_ele_kWh/1000),0,IND_chemie_ele_kWh/1000)</f>
        <v>286.89299999999997</v>
      </c>
      <c r="C36" s="39">
        <f>IF(ISERROR(B36*3.6/1000000/'E Balans VL '!Z24*100),0,B36*3.6/1000000/'E Balans VL '!Z24*100)</f>
        <v>9.3182938916445968E-3</v>
      </c>
      <c r="D36" s="237" t="s">
        <v>659</v>
      </c>
    </row>
    <row r="37" spans="1:5">
      <c r="A37" s="171" t="s">
        <v>269</v>
      </c>
      <c r="B37" s="37">
        <f>IF( ISERROR(IND_rest_ele_kWh/1000),0,IND_rest_ele_kWh/1000)</f>
        <v>202.036</v>
      </c>
      <c r="C37" s="39">
        <f>IF(ISERROR(B37*3.6/1000000/'E Balans VL '!Z15*100),0,B37*3.6/1000000/'E Balans VL '!Z15*100)</f>
        <v>1.6311148599248621E-3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20281.774000000001</v>
      </c>
      <c r="C5" s="17">
        <f>'Eigen informatie GS &amp; warmtenet'!B60</f>
        <v>0</v>
      </c>
      <c r="D5" s="30">
        <f>IF(ISERROR(SUM(LB_lb_gas_kWh,LB_rest_gas_kWh)/1000),0,SUM(LB_lb_gas_kWh,LB_rest_gas_kWh)/1000)*0.902</f>
        <v>229.594178</v>
      </c>
      <c r="E5" s="17">
        <f>B17*'E Balans VL '!I25/3.6*1000000/100</f>
        <v>522.98907845110898</v>
      </c>
      <c r="F5" s="17">
        <f>B17*('E Balans VL '!L25/3.6*1000000+'E Balans VL '!N25/3.6*1000000)/100</f>
        <v>74133.74644623026</v>
      </c>
      <c r="G5" s="18"/>
      <c r="H5" s="17"/>
      <c r="I5" s="17"/>
      <c r="J5" s="17">
        <f>('E Balans VL '!D25+'E Balans VL '!E25)/3.6*1000000*landbouw!B17/100</f>
        <v>2919.8293573350079</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20281.774000000001</v>
      </c>
      <c r="C8" s="21">
        <f>C5+C6</f>
        <v>0</v>
      </c>
      <c r="D8" s="21">
        <f>MAX((D5+D6),0)</f>
        <v>229.594178</v>
      </c>
      <c r="E8" s="21">
        <f>MAX((E5+E6),0)</f>
        <v>522.98907845110898</v>
      </c>
      <c r="F8" s="21">
        <f>MAX((F5+F6),0)</f>
        <v>74133.74644623026</v>
      </c>
      <c r="G8" s="21"/>
      <c r="H8" s="21"/>
      <c r="I8" s="21"/>
      <c r="J8" s="21">
        <f>MAX((J5+J6),0)</f>
        <v>2919.8293573350079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0.18836070207560862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3820.2891899788251</v>
      </c>
      <c r="C12" s="23">
        <f ca="1">C8*C10</f>
        <v>0</v>
      </c>
      <c r="D12" s="23">
        <f>D8*D10</f>
        <v>46.378023956</v>
      </c>
      <c r="E12" s="23">
        <f>E8*E10</f>
        <v>118.71852080840175</v>
      </c>
      <c r="F12" s="23">
        <f>F8*F10</f>
        <v>19793.710301143481</v>
      </c>
      <c r="G12" s="23"/>
      <c r="H12" s="23"/>
      <c r="I12" s="23"/>
      <c r="J12" s="23">
        <f>J8*J10</f>
        <v>1033.6195924965928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2.8598644774586099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121.21080959574762</v>
      </c>
      <c r="C26" s="247">
        <f>B26*'GWP N2O_CH4'!B5</f>
        <v>2545.4270015106999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36.303770296084707</v>
      </c>
      <c r="C27" s="247">
        <f>B27*'GWP N2O_CH4'!B5</f>
        <v>762.37917621777888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1.4753213041287767</v>
      </c>
      <c r="C28" s="247">
        <f>B28*'GWP N2O_CH4'!B4</f>
        <v>457.34960427992075</v>
      </c>
      <c r="D28" s="50"/>
    </row>
    <row r="29" spans="1:4">
      <c r="A29" s="41" t="s">
        <v>276</v>
      </c>
      <c r="B29" s="247">
        <f>B34*'ha_N2O bodem landbouw'!B4</f>
        <v>12.91800743715722</v>
      </c>
      <c r="C29" s="247">
        <f>B29*'GWP N2O_CH4'!B4</f>
        <v>4004.5823055187384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2.9072536583048272E-3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2.2980439121297641E-4</v>
      </c>
      <c r="C5" s="437" t="s">
        <v>210</v>
      </c>
      <c r="D5" s="422">
        <f>SUM(D6:D11)</f>
        <v>4.6605639286956605E-4</v>
      </c>
      <c r="E5" s="422">
        <f>SUM(E6:E11)</f>
        <v>2.3375141111840365E-3</v>
      </c>
      <c r="F5" s="435" t="s">
        <v>210</v>
      </c>
      <c r="G5" s="422">
        <f>SUM(G6:G11)</f>
        <v>0.96116360853585547</v>
      </c>
      <c r="H5" s="422">
        <f>SUM(H6:H11)</f>
        <v>0.16247413607728711</v>
      </c>
      <c r="I5" s="437" t="s">
        <v>210</v>
      </c>
      <c r="J5" s="437" t="s">
        <v>210</v>
      </c>
      <c r="K5" s="437" t="s">
        <v>210</v>
      </c>
      <c r="L5" s="437" t="s">
        <v>210</v>
      </c>
      <c r="M5" s="422">
        <f>SUM(M6:M11)</f>
        <v>3.5107446964491612E-2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6.0273645062116898E-5</v>
      </c>
      <c r="C6" s="423"/>
      <c r="D6" s="865">
        <f>vkm_GW_PW*SUMIFS(TableVerdeelsleutelVkm[CNG],TableVerdeelsleutelVkm[Voertuigtype],"Lichte voertuigen")*SUMIFS(TableECFTransport[EnergieConsumptieFactor (PJ per km)],TableECFTransport[Index],CONCATENATE($A6,"_CNG_CNG"))</f>
        <v>1.0865389386033788E-4</v>
      </c>
      <c r="E6" s="865">
        <f>vkm_GW_PW*SUMIFS(TableVerdeelsleutelVkm[LPG],TableVerdeelsleutelVkm[Voertuigtype],"Lichte voertuigen")*SUMIFS(TableECFTransport[EnergieConsumptieFactor (PJ per km)],TableECFTransport[Index],CONCATENATE($A6,"_LPG_LPG"))</f>
        <v>4.9083595573194997E-4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0.13409571314814864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3.7306837551718833E-2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5.3367537793311765E-3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3.5175032560010012E-2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6.3472696247674573E-7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1.1066084961331541E-3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3.9992824139773501E-5</v>
      </c>
      <c r="C8" s="423"/>
      <c r="D8" s="425">
        <f>vkm_NGW_PW*SUMIFS(TableVerdeelsleutelVkm[CNG],TableVerdeelsleutelVkm[Voertuigtype],"Lichte voertuigen")*SUMIFS(TableECFTransport[EnergieConsumptieFactor (PJ per km)],TableECFTransport[Index],CONCATENATE($A8,"_CNG_CNG"))</f>
        <v>1.2253928078156292E-4</v>
      </c>
      <c r="E8" s="425">
        <f>vkm_NGW_PW*SUMIFS(TableVerdeelsleutelVkm[LPG],TableVerdeelsleutelVkm[Voertuigtype],"Lichte voertuigen")*SUMIFS(TableECFTransport[EnergieConsumptieFactor (PJ per km)],TableECFTransport[Index],CONCATENATE($A8,"_LPG_LPG"))</f>
        <v>5.2544887827014907E-4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0.13478955200061588</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4.0886626929053857E-2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5.4658757433318043E-3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2.0360726680262193E-3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4.5354725684322947E-8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6.4055218457126774E-5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1.2953792201108601E-4</v>
      </c>
      <c r="C10" s="423"/>
      <c r="D10" s="425">
        <f>vkm_SW_PW*SUMIFS(TableVerdeelsleutelVkm[CNG],TableVerdeelsleutelVkm[Voertuigtype],"Lichte voertuigen")*SUMIFS(TableECFTransport[EnergieConsumptieFactor (PJ per km)],TableECFTransport[Index],CONCATENATE($A10,"_CNG_CNG"))</f>
        <v>2.3486321822766522E-4</v>
      </c>
      <c r="E10" s="425">
        <f>vkm_SW_PW*SUMIFS(TableVerdeelsleutelVkm[LPG],TableVerdeelsleutelVkm[Voertuigtype],"Lichte voertuigen")*SUMIFS(TableECFTransport[EnergieConsumptieFactor (PJ per km)],TableECFTransport[Index],CONCATENATE($A10,"_LPG_LPG"))</f>
        <v>1.3212292771819375E-3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0.32395286814887386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8.4273609109695113E-2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1.2717264871655785E-2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0.33111437001018079</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6.3824051311373847E-6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1.0416888855582567E-2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63.834553114715675</v>
      </c>
      <c r="C14" s="21"/>
      <c r="D14" s="21">
        <f t="shared" ref="D14:M14" si="0">((D5)*10^9/3600)+D12</f>
        <v>129.460109130435</v>
      </c>
      <c r="E14" s="21">
        <f t="shared" si="0"/>
        <v>649.309475328899</v>
      </c>
      <c r="F14" s="21"/>
      <c r="G14" s="21">
        <f t="shared" si="0"/>
        <v>266989.8912599599</v>
      </c>
      <c r="H14" s="21">
        <f t="shared" si="0"/>
        <v>45131.704465913084</v>
      </c>
      <c r="I14" s="21"/>
      <c r="J14" s="21"/>
      <c r="K14" s="21"/>
      <c r="L14" s="21"/>
      <c r="M14" s="21">
        <f t="shared" si="0"/>
        <v>9752.0686012476708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0.18836070207560862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12.023921241370573</v>
      </c>
      <c r="C18" s="23"/>
      <c r="D18" s="23">
        <f t="shared" ref="D18:M18" si="1">D14*D16</f>
        <v>26.150942044347872</v>
      </c>
      <c r="E18" s="23">
        <f t="shared" si="1"/>
        <v>147.39325089966007</v>
      </c>
      <c r="F18" s="23"/>
      <c r="G18" s="23">
        <f t="shared" si="1"/>
        <v>71286.300966409297</v>
      </c>
      <c r="H18" s="23">
        <f t="shared" si="1"/>
        <v>11237.794412012357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1.7706295858201611E-2</v>
      </c>
      <c r="H50" s="319">
        <f t="shared" si="2"/>
        <v>0</v>
      </c>
      <c r="I50" s="319">
        <f t="shared" si="2"/>
        <v>0</v>
      </c>
      <c r="J50" s="319">
        <f t="shared" si="2"/>
        <v>0</v>
      </c>
      <c r="K50" s="319">
        <f t="shared" si="2"/>
        <v>0</v>
      </c>
      <c r="L50" s="319">
        <f t="shared" si="2"/>
        <v>0</v>
      </c>
      <c r="M50" s="319">
        <f t="shared" si="2"/>
        <v>5.4851638126046339E-4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1.7706295858201611E-2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5.4851638126046339E-4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4918.4155161671142</v>
      </c>
      <c r="H54" s="21">
        <f t="shared" si="3"/>
        <v>0</v>
      </c>
      <c r="I54" s="21">
        <f t="shared" si="3"/>
        <v>0</v>
      </c>
      <c r="J54" s="21">
        <f t="shared" si="3"/>
        <v>0</v>
      </c>
      <c r="K54" s="21">
        <f t="shared" si="3"/>
        <v>0</v>
      </c>
      <c r="L54" s="21">
        <f t="shared" si="3"/>
        <v>0</v>
      </c>
      <c r="M54" s="21">
        <f t="shared" si="3"/>
        <v>152.36566146123982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0.18836070207560862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1313.2169428166196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57327.220999999998</v>
      </c>
      <c r="D10" s="978">
        <f ca="1">tertiair!C16</f>
        <v>0</v>
      </c>
      <c r="E10" s="978">
        <f ca="1">tertiair!D16</f>
        <v>47677.309856</v>
      </c>
      <c r="F10" s="978">
        <f>tertiair!E16</f>
        <v>1120.1962744247462</v>
      </c>
      <c r="G10" s="978">
        <f ca="1">tertiair!F16</f>
        <v>13868.657027714657</v>
      </c>
      <c r="H10" s="978">
        <f>tertiair!G16</f>
        <v>0</v>
      </c>
      <c r="I10" s="978">
        <f>tertiair!H16</f>
        <v>0</v>
      </c>
      <c r="J10" s="978">
        <f>tertiair!I16</f>
        <v>0</v>
      </c>
      <c r="K10" s="978">
        <f>tertiair!J16</f>
        <v>0</v>
      </c>
      <c r="L10" s="978">
        <f>tertiair!K16</f>
        <v>0</v>
      </c>
      <c r="M10" s="978">
        <f ca="1">tertiair!L16</f>
        <v>0</v>
      </c>
      <c r="N10" s="978">
        <f>tertiair!M16</f>
        <v>0</v>
      </c>
      <c r="O10" s="978">
        <f ca="1">tertiair!N16</f>
        <v>8993.6280752338153</v>
      </c>
      <c r="P10" s="978">
        <f>tertiair!O16</f>
        <v>0</v>
      </c>
      <c r="Q10" s="979">
        <f>tertiair!P16</f>
        <v>0</v>
      </c>
      <c r="R10" s="674">
        <f ca="1">SUM(C10:Q10)</f>
        <v>128987.01223337321</v>
      </c>
      <c r="S10" s="67"/>
    </row>
    <row r="11" spans="1:19" s="447" customFormat="1">
      <c r="A11" s="783" t="s">
        <v>224</v>
      </c>
      <c r="B11" s="788"/>
      <c r="C11" s="978">
        <f>huishoudens!B8</f>
        <v>58047.695342481733</v>
      </c>
      <c r="D11" s="978">
        <f>huishoudens!C8</f>
        <v>0</v>
      </c>
      <c r="E11" s="978">
        <f>huishoudens!D8</f>
        <v>124749.69476200001</v>
      </c>
      <c r="F11" s="978">
        <f>huishoudens!E8</f>
        <v>38126.632505688103</v>
      </c>
      <c r="G11" s="978">
        <f>huishoudens!F8</f>
        <v>87395.679955624946</v>
      </c>
      <c r="H11" s="978">
        <f>huishoudens!G8</f>
        <v>0</v>
      </c>
      <c r="I11" s="978">
        <f>huishoudens!H8</f>
        <v>0</v>
      </c>
      <c r="J11" s="978">
        <f>huishoudens!I8</f>
        <v>0</v>
      </c>
      <c r="K11" s="978">
        <f>huishoudens!J8</f>
        <v>0</v>
      </c>
      <c r="L11" s="978">
        <f>huishoudens!K8</f>
        <v>0</v>
      </c>
      <c r="M11" s="978">
        <f>huishoudens!L8</f>
        <v>0</v>
      </c>
      <c r="N11" s="978">
        <f>huishoudens!M8</f>
        <v>0</v>
      </c>
      <c r="O11" s="978">
        <f>huishoudens!N8</f>
        <v>28194.693910387439</v>
      </c>
      <c r="P11" s="978">
        <f>huishoudens!O8</f>
        <v>711.31666666666672</v>
      </c>
      <c r="Q11" s="979">
        <f>huishoudens!P8</f>
        <v>819.86666666666667</v>
      </c>
      <c r="R11" s="674">
        <f>SUM(C11:Q11)</f>
        <v>338045.57980951556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51383.26</v>
      </c>
      <c r="D13" s="978">
        <f>industrie!C18</f>
        <v>0</v>
      </c>
      <c r="E13" s="978">
        <f>industrie!D18</f>
        <v>33578.324647999994</v>
      </c>
      <c r="F13" s="978">
        <f>industrie!E18</f>
        <v>1837.2669956413304</v>
      </c>
      <c r="G13" s="978">
        <f>industrie!F18</f>
        <v>13387.721992867202</v>
      </c>
      <c r="H13" s="978">
        <f>industrie!G18</f>
        <v>0</v>
      </c>
      <c r="I13" s="978">
        <f>industrie!H18</f>
        <v>0</v>
      </c>
      <c r="J13" s="978">
        <f>industrie!I18</f>
        <v>0</v>
      </c>
      <c r="K13" s="978">
        <f>industrie!J18</f>
        <v>34.898372254935367</v>
      </c>
      <c r="L13" s="978">
        <f>industrie!K18</f>
        <v>0</v>
      </c>
      <c r="M13" s="978">
        <f>industrie!L18</f>
        <v>0</v>
      </c>
      <c r="N13" s="978">
        <f>industrie!M18</f>
        <v>0</v>
      </c>
      <c r="O13" s="978">
        <f>industrie!N18</f>
        <v>11774.996082561955</v>
      </c>
      <c r="P13" s="978">
        <f>industrie!O18</f>
        <v>0</v>
      </c>
      <c r="Q13" s="979">
        <f>industrie!P18</f>
        <v>0</v>
      </c>
      <c r="R13" s="674">
        <f>SUM(C13:Q13)</f>
        <v>111996.4680913254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166758.17634248175</v>
      </c>
      <c r="D16" s="706">
        <f t="shared" ref="D16:R16" ca="1" si="0">SUM(D9:D15)</f>
        <v>0</v>
      </c>
      <c r="E16" s="706">
        <f t="shared" ca="1" si="0"/>
        <v>206005.32926600002</v>
      </c>
      <c r="F16" s="706">
        <f t="shared" si="0"/>
        <v>41084.095775754176</v>
      </c>
      <c r="G16" s="706">
        <f t="shared" ca="1" si="0"/>
        <v>114652.0589762068</v>
      </c>
      <c r="H16" s="706">
        <f t="shared" si="0"/>
        <v>0</v>
      </c>
      <c r="I16" s="706">
        <f t="shared" si="0"/>
        <v>0</v>
      </c>
      <c r="J16" s="706">
        <f t="shared" si="0"/>
        <v>0</v>
      </c>
      <c r="K16" s="706">
        <f t="shared" si="0"/>
        <v>34.898372254935367</v>
      </c>
      <c r="L16" s="706">
        <f t="shared" si="0"/>
        <v>0</v>
      </c>
      <c r="M16" s="706">
        <f t="shared" ca="1" si="0"/>
        <v>0</v>
      </c>
      <c r="N16" s="706">
        <f t="shared" si="0"/>
        <v>0</v>
      </c>
      <c r="O16" s="706">
        <f t="shared" ca="1" si="0"/>
        <v>48963.318068183209</v>
      </c>
      <c r="P16" s="706">
        <f t="shared" si="0"/>
        <v>711.31666666666672</v>
      </c>
      <c r="Q16" s="706">
        <f t="shared" si="0"/>
        <v>819.86666666666667</v>
      </c>
      <c r="R16" s="706">
        <f t="shared" ca="1" si="0"/>
        <v>579029.06013421412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4918.4155161671142</v>
      </c>
      <c r="I19" s="978">
        <f>transport!H54</f>
        <v>0</v>
      </c>
      <c r="J19" s="978">
        <f>transport!I54</f>
        <v>0</v>
      </c>
      <c r="K19" s="978">
        <f>transport!J54</f>
        <v>0</v>
      </c>
      <c r="L19" s="978">
        <f>transport!K54</f>
        <v>0</v>
      </c>
      <c r="M19" s="978">
        <f>transport!L54</f>
        <v>0</v>
      </c>
      <c r="N19" s="978">
        <f>transport!M54</f>
        <v>152.36566146123982</v>
      </c>
      <c r="O19" s="978">
        <f>transport!N54</f>
        <v>0</v>
      </c>
      <c r="P19" s="978">
        <f>transport!O54</f>
        <v>0</v>
      </c>
      <c r="Q19" s="979">
        <f>transport!P54</f>
        <v>0</v>
      </c>
      <c r="R19" s="674">
        <f>SUM(C19:Q19)</f>
        <v>5070.7811776283543</v>
      </c>
      <c r="S19" s="67"/>
    </row>
    <row r="20" spans="1:19" s="447" customFormat="1">
      <c r="A20" s="783" t="s">
        <v>306</v>
      </c>
      <c r="B20" s="788"/>
      <c r="C20" s="978">
        <f>transport!B14</f>
        <v>63.834553114715675</v>
      </c>
      <c r="D20" s="978">
        <f>transport!C14</f>
        <v>0</v>
      </c>
      <c r="E20" s="978">
        <f>transport!D14</f>
        <v>129.460109130435</v>
      </c>
      <c r="F20" s="978">
        <f>transport!E14</f>
        <v>649.309475328899</v>
      </c>
      <c r="G20" s="978">
        <f>transport!F14</f>
        <v>0</v>
      </c>
      <c r="H20" s="978">
        <f>transport!G14</f>
        <v>266989.8912599599</v>
      </c>
      <c r="I20" s="978">
        <f>transport!H14</f>
        <v>45131.704465913084</v>
      </c>
      <c r="J20" s="978">
        <f>transport!I14</f>
        <v>0</v>
      </c>
      <c r="K20" s="978">
        <f>transport!J14</f>
        <v>0</v>
      </c>
      <c r="L20" s="978">
        <f>transport!K14</f>
        <v>0</v>
      </c>
      <c r="M20" s="978">
        <f>transport!L14</f>
        <v>0</v>
      </c>
      <c r="N20" s="978">
        <f>transport!M14</f>
        <v>9752.0686012476708</v>
      </c>
      <c r="O20" s="978">
        <f>transport!N14</f>
        <v>0</v>
      </c>
      <c r="P20" s="978">
        <f>transport!O14</f>
        <v>0</v>
      </c>
      <c r="Q20" s="979">
        <f>transport!P14</f>
        <v>0</v>
      </c>
      <c r="R20" s="674">
        <f>SUM(C20:Q20)</f>
        <v>322716.26846469467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63.834553114715675</v>
      </c>
      <c r="D22" s="786">
        <f t="shared" ref="D22:R22" si="1">SUM(D18:D21)</f>
        <v>0</v>
      </c>
      <c r="E22" s="786">
        <f t="shared" si="1"/>
        <v>129.460109130435</v>
      </c>
      <c r="F22" s="786">
        <f t="shared" si="1"/>
        <v>649.309475328899</v>
      </c>
      <c r="G22" s="786">
        <f t="shared" si="1"/>
        <v>0</v>
      </c>
      <c r="H22" s="786">
        <f t="shared" si="1"/>
        <v>271908.30677612702</v>
      </c>
      <c r="I22" s="786">
        <f t="shared" si="1"/>
        <v>45131.704465913084</v>
      </c>
      <c r="J22" s="786">
        <f t="shared" si="1"/>
        <v>0</v>
      </c>
      <c r="K22" s="786">
        <f t="shared" si="1"/>
        <v>0</v>
      </c>
      <c r="L22" s="786">
        <f t="shared" si="1"/>
        <v>0</v>
      </c>
      <c r="M22" s="786">
        <f t="shared" si="1"/>
        <v>0</v>
      </c>
      <c r="N22" s="786">
        <f t="shared" si="1"/>
        <v>9904.43426270891</v>
      </c>
      <c r="O22" s="786">
        <f t="shared" si="1"/>
        <v>0</v>
      </c>
      <c r="P22" s="786">
        <f t="shared" si="1"/>
        <v>0</v>
      </c>
      <c r="Q22" s="786">
        <f t="shared" si="1"/>
        <v>0</v>
      </c>
      <c r="R22" s="786">
        <f t="shared" si="1"/>
        <v>327787.04964232305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20281.774000000001</v>
      </c>
      <c r="D24" s="978">
        <f>+landbouw!C8</f>
        <v>0</v>
      </c>
      <c r="E24" s="978">
        <f>+landbouw!D8</f>
        <v>229.594178</v>
      </c>
      <c r="F24" s="978">
        <f>+landbouw!E8</f>
        <v>522.98907845110898</v>
      </c>
      <c r="G24" s="978">
        <f>+landbouw!F8</f>
        <v>74133.74644623026</v>
      </c>
      <c r="H24" s="978">
        <f>+landbouw!G8</f>
        <v>0</v>
      </c>
      <c r="I24" s="978">
        <f>+landbouw!H8</f>
        <v>0</v>
      </c>
      <c r="J24" s="978">
        <f>+landbouw!I8</f>
        <v>0</v>
      </c>
      <c r="K24" s="978">
        <f>+landbouw!J8</f>
        <v>2919.8293573350079</v>
      </c>
      <c r="L24" s="978">
        <f>+landbouw!K8</f>
        <v>0</v>
      </c>
      <c r="M24" s="978">
        <f>+landbouw!L8</f>
        <v>0</v>
      </c>
      <c r="N24" s="978">
        <f>+landbouw!M8</f>
        <v>0</v>
      </c>
      <c r="O24" s="978">
        <f>+landbouw!N8</f>
        <v>0</v>
      </c>
      <c r="P24" s="978">
        <f>+landbouw!O8</f>
        <v>0</v>
      </c>
      <c r="Q24" s="979">
        <f>+landbouw!P8</f>
        <v>0</v>
      </c>
      <c r="R24" s="674">
        <f>SUM(C24:Q24)</f>
        <v>98087.933060016381</v>
      </c>
      <c r="S24" s="67"/>
    </row>
    <row r="25" spans="1:19" s="447" customFormat="1" ht="15" thickBot="1">
      <c r="A25" s="805" t="s">
        <v>834</v>
      </c>
      <c r="B25" s="981"/>
      <c r="C25" s="982">
        <f>IF(Onbekend_ele_kWh="---",0,Onbekend_ele_kWh)/1000+IF(REST_rest_ele_kWh="---",0,REST_rest_ele_kWh)/1000</f>
        <v>1903.67</v>
      </c>
      <c r="D25" s="982"/>
      <c r="E25" s="982">
        <f>IF(onbekend_gas_kWh="---",0,onbekend_gas_kWh)/1000+IF(REST_rest_gas_kWh="---",0,REST_rest_gas_kWh)/1000</f>
        <v>2649.6489999999999</v>
      </c>
      <c r="F25" s="982"/>
      <c r="G25" s="982"/>
      <c r="H25" s="982"/>
      <c r="I25" s="982"/>
      <c r="J25" s="982"/>
      <c r="K25" s="982"/>
      <c r="L25" s="982"/>
      <c r="M25" s="982"/>
      <c r="N25" s="982"/>
      <c r="O25" s="982"/>
      <c r="P25" s="982"/>
      <c r="Q25" s="983"/>
      <c r="R25" s="674">
        <f>SUM(C25:Q25)</f>
        <v>4553.3189999999995</v>
      </c>
      <c r="S25" s="67"/>
    </row>
    <row r="26" spans="1:19" s="447" customFormat="1" ht="15.75" thickBot="1">
      <c r="A26" s="679" t="s">
        <v>835</v>
      </c>
      <c r="B26" s="791"/>
      <c r="C26" s="786">
        <f>SUM(C24:C25)</f>
        <v>22185.444000000003</v>
      </c>
      <c r="D26" s="786">
        <f t="shared" ref="D26:R26" si="2">SUM(D24:D25)</f>
        <v>0</v>
      </c>
      <c r="E26" s="786">
        <f t="shared" si="2"/>
        <v>2879.2431779999997</v>
      </c>
      <c r="F26" s="786">
        <f t="shared" si="2"/>
        <v>522.98907845110898</v>
      </c>
      <c r="G26" s="786">
        <f t="shared" si="2"/>
        <v>74133.74644623026</v>
      </c>
      <c r="H26" s="786">
        <f t="shared" si="2"/>
        <v>0</v>
      </c>
      <c r="I26" s="786">
        <f t="shared" si="2"/>
        <v>0</v>
      </c>
      <c r="J26" s="786">
        <f t="shared" si="2"/>
        <v>0</v>
      </c>
      <c r="K26" s="786">
        <f t="shared" si="2"/>
        <v>2919.8293573350079</v>
      </c>
      <c r="L26" s="786">
        <f t="shared" si="2"/>
        <v>0</v>
      </c>
      <c r="M26" s="786">
        <f t="shared" si="2"/>
        <v>0</v>
      </c>
      <c r="N26" s="786">
        <f t="shared" si="2"/>
        <v>0</v>
      </c>
      <c r="O26" s="786">
        <f t="shared" si="2"/>
        <v>0</v>
      </c>
      <c r="P26" s="786">
        <f t="shared" si="2"/>
        <v>0</v>
      </c>
      <c r="Q26" s="786">
        <f t="shared" si="2"/>
        <v>0</v>
      </c>
      <c r="R26" s="786">
        <f t="shared" si="2"/>
        <v>102641.25206001638</v>
      </c>
      <c r="S26" s="67"/>
    </row>
    <row r="27" spans="1:19" s="447" customFormat="1" ht="17.25" thickTop="1" thickBot="1">
      <c r="A27" s="680" t="s">
        <v>115</v>
      </c>
      <c r="B27" s="779"/>
      <c r="C27" s="681">
        <f ca="1">C22+C16+C26</f>
        <v>189007.45489559649</v>
      </c>
      <c r="D27" s="681">
        <f t="shared" ref="D27:R27" ca="1" si="3">D22+D16+D26</f>
        <v>0</v>
      </c>
      <c r="E27" s="681">
        <f t="shared" ca="1" si="3"/>
        <v>209014.03255313044</v>
      </c>
      <c r="F27" s="681">
        <f t="shared" si="3"/>
        <v>42256.394329534181</v>
      </c>
      <c r="G27" s="681">
        <f t="shared" ca="1" si="3"/>
        <v>188785.80542243706</v>
      </c>
      <c r="H27" s="681">
        <f t="shared" si="3"/>
        <v>271908.30677612702</v>
      </c>
      <c r="I27" s="681">
        <f t="shared" si="3"/>
        <v>45131.704465913084</v>
      </c>
      <c r="J27" s="681">
        <f t="shared" si="3"/>
        <v>0</v>
      </c>
      <c r="K27" s="681">
        <f t="shared" si="3"/>
        <v>2954.7277295899435</v>
      </c>
      <c r="L27" s="681">
        <f t="shared" si="3"/>
        <v>0</v>
      </c>
      <c r="M27" s="681">
        <f t="shared" ca="1" si="3"/>
        <v>0</v>
      </c>
      <c r="N27" s="681">
        <f t="shared" si="3"/>
        <v>9904.43426270891</v>
      </c>
      <c r="O27" s="681">
        <f t="shared" ca="1" si="3"/>
        <v>48963.318068183209</v>
      </c>
      <c r="P27" s="681">
        <f t="shared" si="3"/>
        <v>711.31666666666672</v>
      </c>
      <c r="Q27" s="681">
        <f t="shared" si="3"/>
        <v>819.86666666666667</v>
      </c>
      <c r="R27" s="681">
        <f t="shared" ca="1" si="3"/>
        <v>1009457.3618365536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10798.195595603574</v>
      </c>
      <c r="D40" s="978">
        <f ca="1">tertiair!C20</f>
        <v>0</v>
      </c>
      <c r="E40" s="978">
        <f ca="1">tertiair!D20</f>
        <v>9630.8165909119998</v>
      </c>
      <c r="F40" s="978">
        <f>tertiair!E20</f>
        <v>254.2845542944174</v>
      </c>
      <c r="G40" s="978">
        <f ca="1">tertiair!F20</f>
        <v>3702.9314263998135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24386.228167209803</v>
      </c>
    </row>
    <row r="41" spans="1:18">
      <c r="A41" s="796" t="s">
        <v>224</v>
      </c>
      <c r="B41" s="803"/>
      <c r="C41" s="978">
        <f ca="1">huishoudens!B12</f>
        <v>10933.904648580896</v>
      </c>
      <c r="D41" s="978">
        <f ca="1">huishoudens!C12</f>
        <v>0</v>
      </c>
      <c r="E41" s="978">
        <f>huishoudens!D12</f>
        <v>25199.438341924004</v>
      </c>
      <c r="F41" s="978">
        <f>huishoudens!E12</f>
        <v>8654.7455787912004</v>
      </c>
      <c r="G41" s="978">
        <f>huishoudens!F12</f>
        <v>23334.646548151861</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68122.73511744797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9678.5869285335375</v>
      </c>
      <c r="D43" s="978">
        <f ca="1">industrie!C22</f>
        <v>0</v>
      </c>
      <c r="E43" s="978">
        <f>industrie!D22</f>
        <v>6782.8215788959997</v>
      </c>
      <c r="F43" s="978">
        <f>industrie!E22</f>
        <v>417.059608010582</v>
      </c>
      <c r="G43" s="978">
        <f>industrie!F22</f>
        <v>3574.5217720955429</v>
      </c>
      <c r="H43" s="978">
        <f>industrie!G22</f>
        <v>0</v>
      </c>
      <c r="I43" s="978">
        <f>industrie!H22</f>
        <v>0</v>
      </c>
      <c r="J43" s="978">
        <f>industrie!I22</f>
        <v>0</v>
      </c>
      <c r="K43" s="978">
        <f>industrie!J22</f>
        <v>12.35402377824712</v>
      </c>
      <c r="L43" s="978">
        <f>industrie!K22</f>
        <v>0</v>
      </c>
      <c r="M43" s="978">
        <f>industrie!L22</f>
        <v>0</v>
      </c>
      <c r="N43" s="978">
        <f>industrie!M22</f>
        <v>0</v>
      </c>
      <c r="O43" s="978">
        <f>industrie!N22</f>
        <v>0</v>
      </c>
      <c r="P43" s="978">
        <f>industrie!O22</f>
        <v>0</v>
      </c>
      <c r="Q43" s="748">
        <f>industrie!P22</f>
        <v>0</v>
      </c>
      <c r="R43" s="823">
        <f t="shared" ca="1" si="4"/>
        <v>20465.34391131391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31410.687172718004</v>
      </c>
      <c r="D46" s="706">
        <f t="shared" ref="D46:Q46" ca="1" si="5">SUM(D39:D45)</f>
        <v>0</v>
      </c>
      <c r="E46" s="706">
        <f t="shared" ca="1" si="5"/>
        <v>41613.076511732004</v>
      </c>
      <c r="F46" s="706">
        <f t="shared" si="5"/>
        <v>9326.0897410962007</v>
      </c>
      <c r="G46" s="706">
        <f t="shared" ca="1" si="5"/>
        <v>30612.099746647218</v>
      </c>
      <c r="H46" s="706">
        <f t="shared" si="5"/>
        <v>0</v>
      </c>
      <c r="I46" s="706">
        <f t="shared" si="5"/>
        <v>0</v>
      </c>
      <c r="J46" s="706">
        <f t="shared" si="5"/>
        <v>0</v>
      </c>
      <c r="K46" s="706">
        <f t="shared" si="5"/>
        <v>12.35402377824712</v>
      </c>
      <c r="L46" s="706">
        <f t="shared" si="5"/>
        <v>0</v>
      </c>
      <c r="M46" s="706">
        <f t="shared" ca="1" si="5"/>
        <v>0</v>
      </c>
      <c r="N46" s="706">
        <f t="shared" si="5"/>
        <v>0</v>
      </c>
      <c r="O46" s="706">
        <f t="shared" ca="1" si="5"/>
        <v>0</v>
      </c>
      <c r="P46" s="706">
        <f t="shared" si="5"/>
        <v>0</v>
      </c>
      <c r="Q46" s="706">
        <f t="shared" si="5"/>
        <v>0</v>
      </c>
      <c r="R46" s="706">
        <f ca="1">SUM(R39:R45)</f>
        <v>112974.30719597169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1313.2169428166196</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1313.2169428166196</v>
      </c>
    </row>
    <row r="50" spans="1:18">
      <c r="A50" s="799" t="s">
        <v>306</v>
      </c>
      <c r="B50" s="809"/>
      <c r="C50" s="677">
        <f ca="1">transport!B18</f>
        <v>12.023921241370573</v>
      </c>
      <c r="D50" s="677">
        <f>transport!C18</f>
        <v>0</v>
      </c>
      <c r="E50" s="677">
        <f>transport!D18</f>
        <v>26.150942044347872</v>
      </c>
      <c r="F50" s="677">
        <f>transport!E18</f>
        <v>147.39325089966007</v>
      </c>
      <c r="G50" s="677">
        <f>transport!F18</f>
        <v>0</v>
      </c>
      <c r="H50" s="677">
        <f>transport!G18</f>
        <v>71286.300966409297</v>
      </c>
      <c r="I50" s="677">
        <f>transport!H18</f>
        <v>11237.794412012357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82709.66349260704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12.023921241370573</v>
      </c>
      <c r="D52" s="706">
        <f t="shared" ref="D52:Q52" ca="1" si="6">SUM(D48:D51)</f>
        <v>0</v>
      </c>
      <c r="E52" s="706">
        <f t="shared" si="6"/>
        <v>26.150942044347872</v>
      </c>
      <c r="F52" s="706">
        <f t="shared" si="6"/>
        <v>147.39325089966007</v>
      </c>
      <c r="G52" s="706">
        <f t="shared" si="6"/>
        <v>0</v>
      </c>
      <c r="H52" s="706">
        <f t="shared" si="6"/>
        <v>72599.51790922592</v>
      </c>
      <c r="I52" s="706">
        <f t="shared" si="6"/>
        <v>11237.794412012357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84022.880435423664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3820.2891899788251</v>
      </c>
      <c r="D54" s="677">
        <f ca="1">+landbouw!C12</f>
        <v>0</v>
      </c>
      <c r="E54" s="677">
        <f>+landbouw!D12</f>
        <v>46.378023956</v>
      </c>
      <c r="F54" s="677">
        <f>+landbouw!E12</f>
        <v>118.71852080840175</v>
      </c>
      <c r="G54" s="677">
        <f>+landbouw!F12</f>
        <v>19793.710301143481</v>
      </c>
      <c r="H54" s="677">
        <f>+landbouw!G12</f>
        <v>0</v>
      </c>
      <c r="I54" s="677">
        <f>+landbouw!H12</f>
        <v>0</v>
      </c>
      <c r="J54" s="677">
        <f>+landbouw!I12</f>
        <v>0</v>
      </c>
      <c r="K54" s="677">
        <f>+landbouw!J12</f>
        <v>1033.6195924965928</v>
      </c>
      <c r="L54" s="677">
        <f>+landbouw!K12</f>
        <v>0</v>
      </c>
      <c r="M54" s="677">
        <f>+landbouw!L12</f>
        <v>0</v>
      </c>
      <c r="N54" s="677">
        <f>+landbouw!M12</f>
        <v>0</v>
      </c>
      <c r="O54" s="677">
        <f>+landbouw!N12</f>
        <v>0</v>
      </c>
      <c r="P54" s="677">
        <f>+landbouw!O12</f>
        <v>0</v>
      </c>
      <c r="Q54" s="678">
        <f>+landbouw!P12</f>
        <v>0</v>
      </c>
      <c r="R54" s="705">
        <f ca="1">SUM(C54:Q54)</f>
        <v>24812.715628383303</v>
      </c>
    </row>
    <row r="55" spans="1:18" ht="15" thickBot="1">
      <c r="A55" s="799" t="s">
        <v>834</v>
      </c>
      <c r="B55" s="809"/>
      <c r="C55" s="677">
        <f ca="1">C25*'EF ele_warmte'!B12</f>
        <v>358.57661772027387</v>
      </c>
      <c r="D55" s="677"/>
      <c r="E55" s="677">
        <f>E25*EF_CO2_aardgas</f>
        <v>535.22909800000002</v>
      </c>
      <c r="F55" s="677"/>
      <c r="G55" s="677"/>
      <c r="H55" s="677"/>
      <c r="I55" s="677"/>
      <c r="J55" s="677"/>
      <c r="K55" s="677"/>
      <c r="L55" s="677"/>
      <c r="M55" s="677"/>
      <c r="N55" s="677"/>
      <c r="O55" s="677"/>
      <c r="P55" s="677"/>
      <c r="Q55" s="678"/>
      <c r="R55" s="705">
        <f ca="1">SUM(C55:Q55)</f>
        <v>893.80571572027384</v>
      </c>
    </row>
    <row r="56" spans="1:18" ht="15.75" thickBot="1">
      <c r="A56" s="797" t="s">
        <v>835</v>
      </c>
      <c r="B56" s="810"/>
      <c r="C56" s="706">
        <f ca="1">SUM(C54:C55)</f>
        <v>4178.8658076990987</v>
      </c>
      <c r="D56" s="706">
        <f t="shared" ref="D56:Q56" ca="1" si="7">SUM(D54:D55)</f>
        <v>0</v>
      </c>
      <c r="E56" s="706">
        <f t="shared" si="7"/>
        <v>581.60712195600001</v>
      </c>
      <c r="F56" s="706">
        <f t="shared" si="7"/>
        <v>118.71852080840175</v>
      </c>
      <c r="G56" s="706">
        <f t="shared" si="7"/>
        <v>19793.710301143481</v>
      </c>
      <c r="H56" s="706">
        <f t="shared" si="7"/>
        <v>0</v>
      </c>
      <c r="I56" s="706">
        <f t="shared" si="7"/>
        <v>0</v>
      </c>
      <c r="J56" s="706">
        <f t="shared" si="7"/>
        <v>0</v>
      </c>
      <c r="K56" s="706">
        <f t="shared" si="7"/>
        <v>1033.6195924965928</v>
      </c>
      <c r="L56" s="706">
        <f t="shared" si="7"/>
        <v>0</v>
      </c>
      <c r="M56" s="706">
        <f t="shared" si="7"/>
        <v>0</v>
      </c>
      <c r="N56" s="706">
        <f t="shared" si="7"/>
        <v>0</v>
      </c>
      <c r="O56" s="706">
        <f t="shared" si="7"/>
        <v>0</v>
      </c>
      <c r="P56" s="706">
        <f t="shared" si="7"/>
        <v>0</v>
      </c>
      <c r="Q56" s="707">
        <f t="shared" si="7"/>
        <v>0</v>
      </c>
      <c r="R56" s="708">
        <f ca="1">SUM(R54:R55)</f>
        <v>25706.521344103578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35601.576901658475</v>
      </c>
      <c r="D61" s="714">
        <f t="shared" ref="D61:Q61" ca="1" si="8">D46+D52+D56</f>
        <v>0</v>
      </c>
      <c r="E61" s="714">
        <f t="shared" ca="1" si="8"/>
        <v>42220.834575732355</v>
      </c>
      <c r="F61" s="714">
        <f t="shared" si="8"/>
        <v>9592.2015128042622</v>
      </c>
      <c r="G61" s="714">
        <f t="shared" ca="1" si="8"/>
        <v>50405.810047790699</v>
      </c>
      <c r="H61" s="714">
        <f t="shared" si="8"/>
        <v>72599.51790922592</v>
      </c>
      <c r="I61" s="714">
        <f t="shared" si="8"/>
        <v>11237.794412012357</v>
      </c>
      <c r="J61" s="714">
        <f t="shared" si="8"/>
        <v>0</v>
      </c>
      <c r="K61" s="714">
        <f t="shared" si="8"/>
        <v>1045.97361627484</v>
      </c>
      <c r="L61" s="714">
        <f t="shared" si="8"/>
        <v>0</v>
      </c>
      <c r="M61" s="714">
        <f t="shared" ca="1" si="8"/>
        <v>0</v>
      </c>
      <c r="N61" s="714">
        <f t="shared" si="8"/>
        <v>0</v>
      </c>
      <c r="O61" s="714">
        <f t="shared" ca="1" si="8"/>
        <v>0</v>
      </c>
      <c r="P61" s="714">
        <f t="shared" si="8"/>
        <v>0</v>
      </c>
      <c r="Q61" s="714">
        <f t="shared" si="8"/>
        <v>0</v>
      </c>
      <c r="R61" s="714">
        <f ca="1">R46+R52+R56</f>
        <v>222703.70897549894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0.18836070207560857</v>
      </c>
      <c r="D63" s="755">
        <f t="shared" ca="1" si="9"/>
        <v>0</v>
      </c>
      <c r="E63" s="989">
        <f t="shared" ca="1" si="9"/>
        <v>0.20200000000000004</v>
      </c>
      <c r="F63" s="755">
        <f t="shared" si="9"/>
        <v>0.22700000000000006</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14110.810360178579</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13803.536383117073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27914.346743295653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14110.810360178579</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13803.536383117073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27914.346743295653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58047.695342481733</v>
      </c>
      <c r="C4" s="451">
        <f>huishoudens!C8</f>
        <v>0</v>
      </c>
      <c r="D4" s="451">
        <f>huishoudens!D8</f>
        <v>124749.69476200001</v>
      </c>
      <c r="E4" s="451">
        <f>huishoudens!E8</f>
        <v>38126.632505688103</v>
      </c>
      <c r="F4" s="451">
        <f>huishoudens!F8</f>
        <v>87395.679955624946</v>
      </c>
      <c r="G4" s="451">
        <f>huishoudens!G8</f>
        <v>0</v>
      </c>
      <c r="H4" s="451">
        <f>huishoudens!H8</f>
        <v>0</v>
      </c>
      <c r="I4" s="451">
        <f>huishoudens!I8</f>
        <v>0</v>
      </c>
      <c r="J4" s="451">
        <f>huishoudens!J8</f>
        <v>0</v>
      </c>
      <c r="K4" s="451">
        <f>huishoudens!K8</f>
        <v>0</v>
      </c>
      <c r="L4" s="451">
        <f>huishoudens!L8</f>
        <v>0</v>
      </c>
      <c r="M4" s="451">
        <f>huishoudens!M8</f>
        <v>0</v>
      </c>
      <c r="N4" s="451">
        <f>huishoudens!N8</f>
        <v>28194.693910387439</v>
      </c>
      <c r="O4" s="451">
        <f>huishoudens!O8</f>
        <v>711.31666666666672</v>
      </c>
      <c r="P4" s="452">
        <f>huishoudens!P8</f>
        <v>819.86666666666667</v>
      </c>
      <c r="Q4" s="453">
        <f>SUM(B4:P4)</f>
        <v>338045.57980951556</v>
      </c>
    </row>
    <row r="5" spans="1:17">
      <c r="A5" s="450" t="s">
        <v>155</v>
      </c>
      <c r="B5" s="451">
        <f ca="1">tertiair!B16</f>
        <v>55062.38</v>
      </c>
      <c r="C5" s="451">
        <f ca="1">tertiair!C16</f>
        <v>0</v>
      </c>
      <c r="D5" s="451">
        <f ca="1">tertiair!D16</f>
        <v>47677.309856</v>
      </c>
      <c r="E5" s="451">
        <f>tertiair!E16</f>
        <v>1120.1962744247462</v>
      </c>
      <c r="F5" s="451">
        <f ca="1">tertiair!F16</f>
        <v>13868.657027714657</v>
      </c>
      <c r="G5" s="451">
        <f>tertiair!G16</f>
        <v>0</v>
      </c>
      <c r="H5" s="451">
        <f>tertiair!H16</f>
        <v>0</v>
      </c>
      <c r="I5" s="451">
        <f>tertiair!I16</f>
        <v>0</v>
      </c>
      <c r="J5" s="451">
        <f>tertiair!J16</f>
        <v>0</v>
      </c>
      <c r="K5" s="451">
        <f>tertiair!K16</f>
        <v>0</v>
      </c>
      <c r="L5" s="451">
        <f ca="1">tertiair!L16</f>
        <v>0</v>
      </c>
      <c r="M5" s="451">
        <f>tertiair!M16</f>
        <v>0</v>
      </c>
      <c r="N5" s="451">
        <f ca="1">tertiair!N16</f>
        <v>8993.6280752338153</v>
      </c>
      <c r="O5" s="451">
        <f>tertiair!O16</f>
        <v>0</v>
      </c>
      <c r="P5" s="452">
        <f>tertiair!P16</f>
        <v>0</v>
      </c>
      <c r="Q5" s="450">
        <f t="shared" ref="Q5:Q14" ca="1" si="0">SUM(B5:P5)</f>
        <v>126722.17123337321</v>
      </c>
    </row>
    <row r="6" spans="1:17">
      <c r="A6" s="450" t="s">
        <v>193</v>
      </c>
      <c r="B6" s="451">
        <f>'openbare verlichting'!B8</f>
        <v>2264.8409999999999</v>
      </c>
      <c r="C6" s="451"/>
      <c r="D6" s="451"/>
      <c r="E6" s="451"/>
      <c r="F6" s="451"/>
      <c r="G6" s="451"/>
      <c r="H6" s="451"/>
      <c r="I6" s="451"/>
      <c r="J6" s="451"/>
      <c r="K6" s="451"/>
      <c r="L6" s="451"/>
      <c r="M6" s="451"/>
      <c r="N6" s="451"/>
      <c r="O6" s="451"/>
      <c r="P6" s="452"/>
      <c r="Q6" s="450">
        <f t="shared" si="0"/>
        <v>2264.8409999999999</v>
      </c>
    </row>
    <row r="7" spans="1:17">
      <c r="A7" s="450" t="s">
        <v>111</v>
      </c>
      <c r="B7" s="451">
        <f>landbouw!B8</f>
        <v>20281.774000000001</v>
      </c>
      <c r="C7" s="451">
        <f>landbouw!C8</f>
        <v>0</v>
      </c>
      <c r="D7" s="451">
        <f>landbouw!D8</f>
        <v>229.594178</v>
      </c>
      <c r="E7" s="451">
        <f>landbouw!E8</f>
        <v>522.98907845110898</v>
      </c>
      <c r="F7" s="451">
        <f>landbouw!F8</f>
        <v>74133.74644623026</v>
      </c>
      <c r="G7" s="451">
        <f>landbouw!G8</f>
        <v>0</v>
      </c>
      <c r="H7" s="451">
        <f>landbouw!H8</f>
        <v>0</v>
      </c>
      <c r="I7" s="451">
        <f>landbouw!I8</f>
        <v>0</v>
      </c>
      <c r="J7" s="451">
        <f>landbouw!J8</f>
        <v>2919.8293573350079</v>
      </c>
      <c r="K7" s="451">
        <f>landbouw!K8</f>
        <v>0</v>
      </c>
      <c r="L7" s="451">
        <f>landbouw!L8</f>
        <v>0</v>
      </c>
      <c r="M7" s="451">
        <f>landbouw!M8</f>
        <v>0</v>
      </c>
      <c r="N7" s="451">
        <f>landbouw!N8</f>
        <v>0</v>
      </c>
      <c r="O7" s="451">
        <f>landbouw!O8</f>
        <v>0</v>
      </c>
      <c r="P7" s="452">
        <f>landbouw!P8</f>
        <v>0</v>
      </c>
      <c r="Q7" s="450">
        <f t="shared" si="0"/>
        <v>98087.933060016381</v>
      </c>
    </row>
    <row r="8" spans="1:17">
      <c r="A8" s="450" t="s">
        <v>637</v>
      </c>
      <c r="B8" s="451">
        <f>industrie!B18</f>
        <v>51383.26</v>
      </c>
      <c r="C8" s="451">
        <f>industrie!C18</f>
        <v>0</v>
      </c>
      <c r="D8" s="451">
        <f>industrie!D18</f>
        <v>33578.324647999994</v>
      </c>
      <c r="E8" s="451">
        <f>industrie!E18</f>
        <v>1837.2669956413304</v>
      </c>
      <c r="F8" s="451">
        <f>industrie!F18</f>
        <v>13387.721992867202</v>
      </c>
      <c r="G8" s="451">
        <f>industrie!G18</f>
        <v>0</v>
      </c>
      <c r="H8" s="451">
        <f>industrie!H18</f>
        <v>0</v>
      </c>
      <c r="I8" s="451">
        <f>industrie!I18</f>
        <v>0</v>
      </c>
      <c r="J8" s="451">
        <f>industrie!J18</f>
        <v>34.898372254935367</v>
      </c>
      <c r="K8" s="451">
        <f>industrie!K18</f>
        <v>0</v>
      </c>
      <c r="L8" s="451">
        <f>industrie!L18</f>
        <v>0</v>
      </c>
      <c r="M8" s="451">
        <f>industrie!M18</f>
        <v>0</v>
      </c>
      <c r="N8" s="451">
        <f>industrie!N18</f>
        <v>11774.996082561955</v>
      </c>
      <c r="O8" s="451">
        <f>industrie!O18</f>
        <v>0</v>
      </c>
      <c r="P8" s="452">
        <f>industrie!P18</f>
        <v>0</v>
      </c>
      <c r="Q8" s="450">
        <f t="shared" si="0"/>
        <v>111996.4680913254</v>
      </c>
    </row>
    <row r="9" spans="1:17" s="456" customFormat="1">
      <c r="A9" s="454" t="s">
        <v>563</v>
      </c>
      <c r="B9" s="455">
        <f>transport!B14</f>
        <v>63.834553114715675</v>
      </c>
      <c r="C9" s="455">
        <f>transport!C14</f>
        <v>0</v>
      </c>
      <c r="D9" s="455">
        <f>transport!D14</f>
        <v>129.460109130435</v>
      </c>
      <c r="E9" s="455">
        <f>transport!E14</f>
        <v>649.309475328899</v>
      </c>
      <c r="F9" s="455">
        <f>transport!F14</f>
        <v>0</v>
      </c>
      <c r="G9" s="455">
        <f>transport!G14</f>
        <v>266989.8912599599</v>
      </c>
      <c r="H9" s="455">
        <f>transport!H14</f>
        <v>45131.704465913084</v>
      </c>
      <c r="I9" s="455">
        <f>transport!I14</f>
        <v>0</v>
      </c>
      <c r="J9" s="455">
        <f>transport!J14</f>
        <v>0</v>
      </c>
      <c r="K9" s="455">
        <f>transport!K14</f>
        <v>0</v>
      </c>
      <c r="L9" s="455">
        <f>transport!L14</f>
        <v>0</v>
      </c>
      <c r="M9" s="455">
        <f>transport!M14</f>
        <v>9752.0686012476708</v>
      </c>
      <c r="N9" s="455">
        <f>transport!N14</f>
        <v>0</v>
      </c>
      <c r="O9" s="455">
        <f>transport!O14</f>
        <v>0</v>
      </c>
      <c r="P9" s="455">
        <f>transport!P14</f>
        <v>0</v>
      </c>
      <c r="Q9" s="454">
        <f>SUM(B9:P9)</f>
        <v>322716.26846469467</v>
      </c>
    </row>
    <row r="10" spans="1:17">
      <c r="A10" s="450" t="s">
        <v>553</v>
      </c>
      <c r="B10" s="451">
        <f>transport!B54</f>
        <v>0</v>
      </c>
      <c r="C10" s="451">
        <f>transport!C54</f>
        <v>0</v>
      </c>
      <c r="D10" s="451">
        <f>transport!D54</f>
        <v>0</v>
      </c>
      <c r="E10" s="451">
        <f>transport!E54</f>
        <v>0</v>
      </c>
      <c r="F10" s="451">
        <f>transport!F54</f>
        <v>0</v>
      </c>
      <c r="G10" s="451">
        <f>transport!G54</f>
        <v>4918.4155161671142</v>
      </c>
      <c r="H10" s="451">
        <f>transport!H54</f>
        <v>0</v>
      </c>
      <c r="I10" s="451">
        <f>transport!I54</f>
        <v>0</v>
      </c>
      <c r="J10" s="451">
        <f>transport!J54</f>
        <v>0</v>
      </c>
      <c r="K10" s="451">
        <f>transport!K54</f>
        <v>0</v>
      </c>
      <c r="L10" s="451">
        <f>transport!L54</f>
        <v>0</v>
      </c>
      <c r="M10" s="451">
        <f>transport!M54</f>
        <v>152.36566146123982</v>
      </c>
      <c r="N10" s="451">
        <f>transport!N54</f>
        <v>0</v>
      </c>
      <c r="O10" s="451">
        <f>transport!O54</f>
        <v>0</v>
      </c>
      <c r="P10" s="452">
        <f>transport!P54</f>
        <v>0</v>
      </c>
      <c r="Q10" s="450">
        <f t="shared" si="0"/>
        <v>5070.7811776283543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1903.67</v>
      </c>
      <c r="C14" s="458"/>
      <c r="D14" s="458">
        <f>'SEAP template'!E25</f>
        <v>2649.6489999999999</v>
      </c>
      <c r="E14" s="458"/>
      <c r="F14" s="458"/>
      <c r="G14" s="458"/>
      <c r="H14" s="458"/>
      <c r="I14" s="458"/>
      <c r="J14" s="458"/>
      <c r="K14" s="458"/>
      <c r="L14" s="458"/>
      <c r="M14" s="458"/>
      <c r="N14" s="458"/>
      <c r="O14" s="458"/>
      <c r="P14" s="459"/>
      <c r="Q14" s="450">
        <f t="shared" si="0"/>
        <v>4553.3189999999995</v>
      </c>
    </row>
    <row r="15" spans="1:17" s="460" customFormat="1">
      <c r="A15" s="1004" t="s">
        <v>557</v>
      </c>
      <c r="B15" s="944">
        <f ca="1">SUM(B4:B14)</f>
        <v>189007.45489559646</v>
      </c>
      <c r="C15" s="944">
        <f t="shared" ref="C15:Q15" ca="1" si="1">SUM(C4:C14)</f>
        <v>0</v>
      </c>
      <c r="D15" s="944">
        <f t="shared" ca="1" si="1"/>
        <v>209014.03255313044</v>
      </c>
      <c r="E15" s="944">
        <f t="shared" si="1"/>
        <v>42256.394329534181</v>
      </c>
      <c r="F15" s="944">
        <f t="shared" ca="1" si="1"/>
        <v>188785.80542243706</v>
      </c>
      <c r="G15" s="944">
        <f t="shared" si="1"/>
        <v>271908.30677612702</v>
      </c>
      <c r="H15" s="944">
        <f t="shared" si="1"/>
        <v>45131.704465913084</v>
      </c>
      <c r="I15" s="944">
        <f t="shared" si="1"/>
        <v>0</v>
      </c>
      <c r="J15" s="944">
        <f t="shared" si="1"/>
        <v>2954.7277295899435</v>
      </c>
      <c r="K15" s="944">
        <f t="shared" si="1"/>
        <v>0</v>
      </c>
      <c r="L15" s="944">
        <f t="shared" ca="1" si="1"/>
        <v>0</v>
      </c>
      <c r="M15" s="944">
        <f t="shared" si="1"/>
        <v>9904.43426270891</v>
      </c>
      <c r="N15" s="944">
        <f t="shared" ca="1" si="1"/>
        <v>48963.318068183209</v>
      </c>
      <c r="O15" s="944">
        <f t="shared" si="1"/>
        <v>711.31666666666672</v>
      </c>
      <c r="P15" s="944">
        <f t="shared" si="1"/>
        <v>819.86666666666667</v>
      </c>
      <c r="Q15" s="944">
        <f t="shared" ca="1" si="1"/>
        <v>1009457.3618365537</v>
      </c>
    </row>
    <row r="17" spans="1:17">
      <c r="A17" s="461" t="s">
        <v>558</v>
      </c>
      <c r="B17" s="760">
        <f ca="1">huishoudens!B10</f>
        <v>0.18836070207560862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10933.904648580896</v>
      </c>
      <c r="C22" s="451">
        <f t="shared" ref="C22:C32" ca="1" si="3">C4*$C$17</f>
        <v>0</v>
      </c>
      <c r="D22" s="451">
        <f t="shared" ref="D22:D32" si="4">D4*$D$17</f>
        <v>25199.438341924004</v>
      </c>
      <c r="E22" s="451">
        <f t="shared" ref="E22:E32" si="5">E4*$E$17</f>
        <v>8654.7455787912004</v>
      </c>
      <c r="F22" s="451">
        <f t="shared" ref="F22:F32" si="6">F4*$F$17</f>
        <v>23334.646548151861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68122.73511744797</v>
      </c>
    </row>
    <row r="23" spans="1:17">
      <c r="A23" s="450" t="s">
        <v>155</v>
      </c>
      <c r="B23" s="451">
        <f t="shared" ca="1" si="2"/>
        <v>10371.588554753951</v>
      </c>
      <c r="C23" s="451">
        <f t="shared" ca="1" si="3"/>
        <v>0</v>
      </c>
      <c r="D23" s="451">
        <f t="shared" ca="1" si="4"/>
        <v>9630.8165909119998</v>
      </c>
      <c r="E23" s="451">
        <f t="shared" si="5"/>
        <v>254.2845542944174</v>
      </c>
      <c r="F23" s="451">
        <f t="shared" ca="1" si="6"/>
        <v>3702.9314263998135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23959.62112636018</v>
      </c>
    </row>
    <row r="24" spans="1:17">
      <c r="A24" s="450" t="s">
        <v>193</v>
      </c>
      <c r="B24" s="451">
        <f t="shared" ca="1" si="2"/>
        <v>426.6070408496235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426.6070408496235</v>
      </c>
    </row>
    <row r="25" spans="1:17">
      <c r="A25" s="450" t="s">
        <v>111</v>
      </c>
      <c r="B25" s="451">
        <f t="shared" ca="1" si="2"/>
        <v>3820.2891899788251</v>
      </c>
      <c r="C25" s="451">
        <f t="shared" ca="1" si="3"/>
        <v>0</v>
      </c>
      <c r="D25" s="451">
        <f t="shared" si="4"/>
        <v>46.378023956</v>
      </c>
      <c r="E25" s="451">
        <f t="shared" si="5"/>
        <v>118.71852080840175</v>
      </c>
      <c r="F25" s="451">
        <f t="shared" si="6"/>
        <v>19793.710301143481</v>
      </c>
      <c r="G25" s="451">
        <f t="shared" si="7"/>
        <v>0</v>
      </c>
      <c r="H25" s="451">
        <f t="shared" si="8"/>
        <v>0</v>
      </c>
      <c r="I25" s="451">
        <f t="shared" si="9"/>
        <v>0</v>
      </c>
      <c r="J25" s="451">
        <f t="shared" si="10"/>
        <v>1033.6195924965928</v>
      </c>
      <c r="K25" s="451">
        <f t="shared" si="11"/>
        <v>0</v>
      </c>
      <c r="L25" s="451">
        <f t="shared" si="12"/>
        <v>0</v>
      </c>
      <c r="M25" s="451">
        <f t="shared" si="13"/>
        <v>0</v>
      </c>
      <c r="N25" s="451">
        <f t="shared" si="14"/>
        <v>0</v>
      </c>
      <c r="O25" s="451">
        <f t="shared" si="15"/>
        <v>0</v>
      </c>
      <c r="P25" s="452">
        <f t="shared" si="16"/>
        <v>0</v>
      </c>
      <c r="Q25" s="450">
        <f t="shared" ca="1" si="17"/>
        <v>24812.715628383303</v>
      </c>
    </row>
    <row r="26" spans="1:17">
      <c r="A26" s="450" t="s">
        <v>637</v>
      </c>
      <c r="B26" s="451">
        <f t="shared" ca="1" si="2"/>
        <v>9678.5869285335375</v>
      </c>
      <c r="C26" s="451">
        <f t="shared" ca="1" si="3"/>
        <v>0</v>
      </c>
      <c r="D26" s="451">
        <f t="shared" si="4"/>
        <v>6782.8215788959997</v>
      </c>
      <c r="E26" s="451">
        <f t="shared" si="5"/>
        <v>417.059608010582</v>
      </c>
      <c r="F26" s="451">
        <f t="shared" si="6"/>
        <v>3574.5217720955429</v>
      </c>
      <c r="G26" s="451">
        <f t="shared" si="7"/>
        <v>0</v>
      </c>
      <c r="H26" s="451">
        <f t="shared" si="8"/>
        <v>0</v>
      </c>
      <c r="I26" s="451">
        <f t="shared" si="9"/>
        <v>0</v>
      </c>
      <c r="J26" s="451">
        <f t="shared" si="10"/>
        <v>12.35402377824712</v>
      </c>
      <c r="K26" s="451">
        <f t="shared" si="11"/>
        <v>0</v>
      </c>
      <c r="L26" s="451">
        <f t="shared" si="12"/>
        <v>0</v>
      </c>
      <c r="M26" s="451">
        <f t="shared" si="13"/>
        <v>0</v>
      </c>
      <c r="N26" s="451">
        <f t="shared" si="14"/>
        <v>0</v>
      </c>
      <c r="O26" s="451">
        <f t="shared" si="15"/>
        <v>0</v>
      </c>
      <c r="P26" s="452">
        <f t="shared" si="16"/>
        <v>0</v>
      </c>
      <c r="Q26" s="450">
        <f t="shared" ca="1" si="17"/>
        <v>20465.34391131391</v>
      </c>
    </row>
    <row r="27" spans="1:17" s="456" customFormat="1">
      <c r="A27" s="454" t="s">
        <v>563</v>
      </c>
      <c r="B27" s="754">
        <f t="shared" ca="1" si="2"/>
        <v>12.023921241370573</v>
      </c>
      <c r="C27" s="455">
        <f t="shared" ca="1" si="3"/>
        <v>0</v>
      </c>
      <c r="D27" s="455">
        <f t="shared" si="4"/>
        <v>26.150942044347872</v>
      </c>
      <c r="E27" s="455">
        <f t="shared" si="5"/>
        <v>147.39325089966007</v>
      </c>
      <c r="F27" s="455">
        <f t="shared" si="6"/>
        <v>0</v>
      </c>
      <c r="G27" s="455">
        <f t="shared" si="7"/>
        <v>71286.300966409297</v>
      </c>
      <c r="H27" s="455">
        <f t="shared" si="8"/>
        <v>11237.794412012357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82709.66349260704</v>
      </c>
    </row>
    <row r="28" spans="1:17">
      <c r="A28" s="450" t="s">
        <v>553</v>
      </c>
      <c r="B28" s="451">
        <f t="shared" ca="1" si="2"/>
        <v>0</v>
      </c>
      <c r="C28" s="451">
        <f t="shared" ca="1" si="3"/>
        <v>0</v>
      </c>
      <c r="D28" s="451">
        <f t="shared" si="4"/>
        <v>0</v>
      </c>
      <c r="E28" s="451">
        <f t="shared" si="5"/>
        <v>0</v>
      </c>
      <c r="F28" s="451">
        <f t="shared" si="6"/>
        <v>0</v>
      </c>
      <c r="G28" s="451">
        <f t="shared" si="7"/>
        <v>1313.2169428166196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1313.2169428166196</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358.57661772027387</v>
      </c>
      <c r="C32" s="451">
        <f t="shared" ca="1" si="3"/>
        <v>0</v>
      </c>
      <c r="D32" s="451">
        <f t="shared" si="4"/>
        <v>535.22909800000002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893.80571572027384</v>
      </c>
    </row>
    <row r="33" spans="1:17" s="460" customFormat="1">
      <c r="A33" s="1004" t="s">
        <v>557</v>
      </c>
      <c r="B33" s="944">
        <f ca="1">SUM(B22:B32)</f>
        <v>35601.576901658482</v>
      </c>
      <c r="C33" s="944">
        <f t="shared" ref="C33:Q33" ca="1" si="18">SUM(C22:C32)</f>
        <v>0</v>
      </c>
      <c r="D33" s="944">
        <f t="shared" ca="1" si="18"/>
        <v>42220.834575732355</v>
      </c>
      <c r="E33" s="944">
        <f t="shared" si="18"/>
        <v>9592.2015128042622</v>
      </c>
      <c r="F33" s="944">
        <f t="shared" ca="1" si="18"/>
        <v>50405.810047790699</v>
      </c>
      <c r="G33" s="944">
        <f t="shared" si="18"/>
        <v>72599.51790922592</v>
      </c>
      <c r="H33" s="944">
        <f t="shared" si="18"/>
        <v>11237.794412012357</v>
      </c>
      <c r="I33" s="944">
        <f t="shared" si="18"/>
        <v>0</v>
      </c>
      <c r="J33" s="944">
        <f t="shared" si="18"/>
        <v>1045.97361627484</v>
      </c>
      <c r="K33" s="944">
        <f t="shared" si="18"/>
        <v>0</v>
      </c>
      <c r="L33" s="944">
        <f t="shared" ca="1" si="18"/>
        <v>0</v>
      </c>
      <c r="M33" s="944">
        <f t="shared" si="18"/>
        <v>0</v>
      </c>
      <c r="N33" s="944">
        <f t="shared" ca="1" si="18"/>
        <v>0</v>
      </c>
      <c r="O33" s="944">
        <f t="shared" si="18"/>
        <v>0</v>
      </c>
      <c r="P33" s="944">
        <f t="shared" si="18"/>
        <v>0</v>
      </c>
      <c r="Q33" s="944">
        <f t="shared" ca="1" si="18"/>
        <v>222703.70897549894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14110.810360178579</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13803.536383117073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27914.346743295653</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0.18836070207560862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0.18836070207560862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2020-06-20T16:00:48Z</dcterms:modified>
</cp:coreProperties>
</file>