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D6" i="17" s="1"/>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6" i="18"/>
  <c r="H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50"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0" i="18" l="1"/>
  <c r="C17" i="18" s="1"/>
  <c r="I50" i="18"/>
  <c r="H17" i="18" s="1"/>
  <c r="D49" i="18"/>
  <c r="C50" i="18"/>
  <c r="B49" i="18"/>
  <c r="C8" i="18" s="1"/>
  <c r="D76" i="14" s="1"/>
  <c r="D8" i="59" s="1"/>
  <c r="D10" i="59" s="1"/>
  <c r="F50" i="18"/>
  <c r="G50" i="18"/>
  <c r="I17" i="18" s="1"/>
  <c r="D50" i="18"/>
  <c r="J17" i="18" s="1"/>
  <c r="Q77" i="14"/>
  <c r="P9" i="59" s="1"/>
  <c r="O9" i="18"/>
  <c r="G78" i="14"/>
  <c r="C77" i="14"/>
  <c r="C9" i="59" s="1"/>
  <c r="F49" i="18"/>
  <c r="I8" i="18" s="1"/>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O4" i="48"/>
  <c r="O22" i="48" s="1"/>
  <c r="P11" i="14"/>
  <c r="Q11" i="14"/>
  <c r="P4" i="48"/>
  <c r="P22" i="48" s="1"/>
  <c r="J15" i="16"/>
  <c r="B7" i="48"/>
  <c r="C24" i="14"/>
  <c r="C26" i="14" s="1"/>
  <c r="C11" i="14"/>
  <c r="B4"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8" i="48"/>
  <c r="P26" i="48" s="1"/>
  <c r="Q13" i="14"/>
  <c r="Q16" i="14" s="1"/>
  <c r="Q27" i="14" s="1"/>
  <c r="P23" i="48"/>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P33" i="48" l="1"/>
  <c r="Q46" i="14"/>
  <c r="Q61" i="14" s="1"/>
  <c r="Q63" i="14" s="1"/>
  <c r="O22" i="16"/>
  <c r="P43" i="14" s="1"/>
  <c r="O8" i="48"/>
  <c r="O26" i="48" s="1"/>
  <c r="P13" i="14"/>
  <c r="P16" i="14" s="1"/>
  <c r="P27" i="14" s="1"/>
  <c r="P46" i="14"/>
  <c r="P61" i="14" s="1"/>
  <c r="E7" i="48"/>
  <c r="E25" i="48" s="1"/>
  <c r="F24" i="14"/>
  <c r="F26"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63" i="14"/>
  <c r="P63" i="14"/>
  <c r="O15" i="48"/>
  <c r="O33" i="48"/>
  <c r="N22" i="14"/>
  <c r="N27" i="14" s="1"/>
  <c r="J5" i="48"/>
  <c r="J23" i="48" s="1"/>
  <c r="K10" i="14"/>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K16" i="14" l="1"/>
  <c r="K27" i="14" s="1"/>
  <c r="E8" i="48"/>
  <c r="E26" i="48" s="1"/>
  <c r="E33" i="48" s="1"/>
  <c r="F13" i="14"/>
  <c r="F16" i="14" s="1"/>
  <c r="F27" i="14" s="1"/>
  <c r="J22" i="16"/>
  <c r="K43" i="14" s="1"/>
  <c r="K46" i="14" s="1"/>
  <c r="K61" i="14" s="1"/>
  <c r="K63" i="14" s="1"/>
  <c r="J8" i="48"/>
  <c r="K13" i="14"/>
  <c r="R22" i="14"/>
  <c r="E22" i="16"/>
  <c r="F43" i="14" s="1"/>
  <c r="F46" i="14" s="1"/>
  <c r="F61" i="14" s="1"/>
  <c r="F63" i="14" s="1"/>
  <c r="G33" i="48"/>
  <c r="E15" i="48"/>
  <c r="N8" i="48"/>
  <c r="N26" i="48" s="1"/>
  <c r="O13" i="14"/>
  <c r="N22" i="16"/>
  <c r="O43" i="14" s="1"/>
  <c r="G13" i="14"/>
  <c r="F8" i="48"/>
  <c r="J26" i="48" l="1"/>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<sst xmlns="http://schemas.openxmlformats.org/spreadsheetml/2006/main" count="2423" uniqueCount="904">
  <si>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</si>
  <si>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</si>
  <si>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</si>
  <si>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</si>
  <si>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</si>
  <si>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</si>
  <si>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</si>
  <si>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</si>
  <si>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</si>
  <si>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</si>
  <si>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</si>
  <si>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</si>
  <si>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</si>
  <si>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</si>
  <si>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</si>
  <si>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</si>
  <si>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</si>
  <si>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</si>
  <si>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</si>
  <si>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</si>
  <si>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</si>
  <si>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</si>
  <si>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</si>
  <si>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</si>
  <si>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</si>
  <si>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</si>
  <si>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</si>
  <si>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</si>
  <si>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</si>
  <si>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</si>
  <si>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</si>
  <si>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</si>
  <si>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</si>
  <si>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</si>
  <si>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</si>
  <si>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</si>
  <si>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</si>
  <si>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</si>
  <si>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</si>
  <si>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</si>
  <si>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</si>
  <si>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</si>
  <si>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</si>
  <si>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</si>
  <si>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</si>
  <si>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</si>
  <si>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</si>
  <si>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</si>
  <si>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</si>
  <si>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</si>
  <si>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</si>
  <si>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</si>
  <si>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</si>
  <si>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</si>
  <si>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</si>
  <si>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</si>
  <si>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</si>
  <si>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</si>
  <si>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</si>
  <si>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</si>
  <si>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</si>
  <si>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</si>
  <si>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</si>
  <si>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</si>
  <si>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</si>
  <si>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</si>
  <si>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</si>
  <si>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</si>
  <si>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</si>
  <si>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</si>
  <si>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</si>
  <si>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</si>
  <si>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</si>
  <si>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</si>
  <si>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</si>
  <si>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</si>
  <si>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</si>
  <si>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</si>
  <si>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</si>
  <si>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</si>
  <si>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</si>
  <si>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</si>
  <si>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</si>
  <si>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</si>
  <si>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</si>
  <si>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</si>
  <si>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</si>
  <si>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</si>
  <si>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</si>
  <si>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</si>
  <si>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</si>
  <si>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</si>
  <si>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</si>
  <si>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</si>
  <si>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</si>
  <si>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</si>
  <si>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</si>
  <si>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</si>
  <si>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</si>
  <si>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</si>
  <si>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</si>
  <si>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</si>
  <si>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</si>
  <si>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</si>
  <si>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</si>
  <si>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</si>
  <si>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</si>
  <si>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</si>
  <si>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</si>
  <si>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</si>
  <si>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</si>
  <si>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</si>
  <si>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</si>
  <si>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</si>
  <si>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</si>
  <si>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</si>
  <si>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</si>
  <si>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</si>
  <si>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</si>
  <si>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</si>
  <si>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</si>
  <si>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</si>
  <si>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</si>
  <si>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</si>
  <si>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</si>
  <si>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</si>
  <si>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</si>
  <si>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</si>
  <si>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</si>
  <si>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</si>
  <si>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</si>
  <si>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</si>
  <si>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</si>
  <si>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</si>
  <si>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</si>
  <si>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</si>
  <si>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</si>
  <si>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</si>
  <si>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</si>
  <si>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</si>
  <si>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</si>
  <si>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</si>
  <si>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</si>
  <si>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</si>
  <si>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</si>
  <si>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</si>
  <si>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</si>
  <si>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</si>
  <si>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</si>
  <si>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</si>
  <si>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</si>
  <si>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</si>
  <si>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</si>
  <si>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</si>
  <si>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</si>
  <si>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</si>
  <si>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</si>
  <si>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</si>
  <si>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</si>
  <si>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</si>
  <si>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</si>
  <si>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</si>
  <si>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</si>
  <si>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</si>
  <si>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</si>
  <si>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</si>
  <si>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</si>
  <si>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</si>
  <si>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</si>
  <si>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</si>
  <si>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</si>
  <si>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</si>
  <si>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</si>
  <si>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</si>
  <si>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</si>
  <si>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</si>
  <si>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</si>
  <si>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</si>
  <si>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</si>
  <si>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</si>
  <si>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</si>
  <si>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</si>
  <si>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</si>
  <si>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</si>
  <si>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</si>
  <si>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</si>
  <si>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</si>
  <si>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</si>
  <si>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</si>
  <si>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</si>
  <si>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</si>
  <si>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</si>
  <si>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</si>
  <si>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</si>
  <si>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</si>
  <si>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</si>
  <si>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</si>
  <si>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</si>
  <si>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</si>
  <si>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</si>
  <si>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</si>
  <si>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</si>
  <si>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</si>
  <si>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</si>
  <si>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</si>
  <si>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</si>
  <si>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</si>
  <si>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</si>
  <si>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</si>
  <si>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</si>
  <si>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</si>
  <si>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</si>
  <si>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</si>
  <si>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</si>
  <si>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</si>
  <si>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</si>
  <si>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</si>
  <si>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</si>
  <si>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</si>
  <si>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</si>
  <si>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</si>
  <si>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</si>
  <si>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</si>
  <si>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</si>
  <si>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</si>
  <si>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</si>
  <si>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</si>
  <si>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</si>
  <si>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</si>
  <si>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</si>
  <si>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</si>
  <si>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</si>
  <si>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</si>
  <si>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</si>
  <si>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</si>
  <si>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</si>
  <si>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</si>
  <si>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</si>
  <si>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</si>
  <si>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</si>
  <si>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</si>
  <si>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</si>
  <si>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</si>
  <si>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</si>
  <si>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</si>
  <si>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</si>
  <si>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</si>
  <si>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</si>
  <si>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</si>
  <si>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</si>
  <si>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</si>
  <si>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</si>
  <si>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</si>
  <si>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</si>
  <si>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</si>
  <si>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</si>
  <si>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</si>
  <si>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</si>
  <si>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</si>
  <si>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</si>
  <si>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</si>
  <si>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</si>
  <si>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</si>
  <si>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</si>
  <si>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</si>
  <si>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</si>
  <si>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</si>
  <si>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</si>
  <si>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</si>
  <si>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</si>
  <si>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</si>
  <si>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</si>
  <si>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</si>
  <si>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</si>
  <si>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</si>
  <si>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</si>
  <si>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</si>
  <si>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</si>
  <si>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</si>
  <si>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</si>
  <si>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</si>
  <si>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</si>
  <si>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</si>
  <si>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</si>
  <si>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</si>
  <si>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</si>
  <si>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</si>
  <si>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</si>
  <si>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</si>
  <si>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</si>
  <si>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</si>
  <si>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</si>
  <si>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</si>
  <si>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</si>
  <si>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</si>
  <si>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</si>
  <si>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</si>
  <si>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</si>
  <si>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</si>
  <si>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</si>
  <si>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</si>
  <si>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</si>
  <si>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</si>
  <si>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</si>
  <si>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</si>
  <si>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</si>
  <si>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</si>
  <si>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</si>
  <si>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</si>
  <si>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</si>
  <si>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</si>
  <si>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</si>
  <si>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</si>
  <si>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</si>
  <si>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</si>
  <si>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</si>
  <si>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</si>
  <si>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</si>
  <si>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</si>
  <si>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</si>
  <si>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</si>
  <si>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</si>
  <si>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</si>
  <si>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</si>
  <si>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</si>
  <si>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</si>
  <si>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</si>
  <si>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</si>
  <si>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</si>
  <si>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</si>
  <si>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</si>
  <si>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</si>
  <si>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</si>
  <si>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</si>
  <si>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</si>
  <si>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</si>
  <si>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</si>
  <si>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</si>
  <si>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</si>
  <si>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</si>
  <si>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</si>
  <si>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</si>
  <si>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</si>
  <si>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</si>
  <si>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</si>
  <si>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</si>
  <si>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</si>
  <si>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</si>
  <si>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</si>
  <si>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</si>
  <si>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</si>
  <si>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</si>
  <si>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</si>
  <si>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</si>
  <si>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</si>
  <si>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</si>
  <si>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</si>
  <si>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</si>
  <si>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</si>
  <si>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</si>
  <si>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</si>
  <si>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</si>
  <si>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</si>
  <si>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</si>
  <si>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</si>
  <si>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</si>
  <si>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</si>
  <si>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</si>
  <si>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</si>
  <si>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</si>
  <si>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</si>
  <si>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</si>
  <si>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</si>
  <si>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</si>
  <si>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</si>
  <si>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</si>
  <si>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</si>
  <si>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</si>
  <si>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</si>
  <si>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</si>
  <si>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</si>
  <si>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</si>
  <si>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</si>
  <si>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</si>
  <si>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</si>
  <si>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</si>
  <si>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</si>
  <si>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</si>
  <si>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</si>
  <si>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</si>
  <si>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</si>
  <si>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</si>
  <si>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</si>
  <si>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</si>
  <si>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</si>
  <si>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</si>
  <si>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</si>
  <si>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</si>
  <si>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</si>
  <si>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</si>
  <si>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</si>
  <si>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</si>
  <si>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</si>
  <si>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</si>
  <si>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</si>
  <si>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</si>
  <si>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</si>
  <si>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</si>
  <si>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</si>
  <si>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</si>
  <si>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</si>
  <si>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</si>
  <si>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</si>
  <si>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</si>
  <si>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</si>
  <si>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</si>
  <si>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</si>
  <si>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</si>
  <si>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</si>
  <si>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</si>
  <si>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</si>
  <si>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</si>
  <si>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</si>
  <si>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</si>
  <si>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</si>
  <si>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</si>
  <si>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</si>
  <si>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</si>
  <si>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</si>
  <si>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</si>
  <si>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</si>
  <si>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</si>
  <si>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</si>
  <si>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</si>
  <si>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</si>
  <si>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</si>
  <si>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</si>
  <si>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</si>
  <si>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</si>
  <si>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</si>
  <si>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</si>
  <si>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</si>
  <si>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</si>
  <si>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</si>
  <si>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</si>
  <si>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</si>
  <si>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</si>
  <si>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</si>
  <si>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</si>
  <si>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</si>
  <si>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</si>
  <si>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</si>
  <si>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</si>
  <si>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</si>
  <si>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</si>
  <si>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</si>
  <si>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</si>
  <si>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</si>
  <si>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</si>
  <si>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</si>
  <si>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</si>
  <si>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</si>
  <si>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</si>
  <si>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</si>
  <si>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</si>
  <si>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</si>
  <si>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</si>
  <si>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</si>
  <si>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</si>
  <si>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</si>
  <si>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</si>
  <si>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</si>
  <si>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</si>
  <si>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</si>
  <si>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</si>
  <si>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</si>
  <si>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</si>
  <si>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</si>
  <si>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</si>
  <si>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</si>
  <si>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</si>
  <si>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</si>
  <si>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</si>
  <si>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</si>
  <si>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</si>
  <si>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</si>
  <si>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</si>
  <si>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</si>
  <si>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</si>
  <si>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</si>
  <si>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</si>
  <si>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</si>
  <si>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</si>
  <si>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</si>
  <si>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</si>
  <si>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</si>
  <si>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</si>
  <si>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</si>
  <si>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</si>
  <si>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</si>
  <si>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</si>
  <si>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</si>
  <si>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</si>
  <si>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</si>
  <si>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</si>
  <si>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</si>
  <si>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</si>
  <si>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</si>
  <si>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</si>
  <si>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</si>
  <si>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</si>
  <si>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</si>
  <si>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</si>
  <si>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</si>
  <si>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</si>
  <si>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</si>
  <si>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</si>
  <si>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</si>
  <si>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</si>
  <si>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</si>
  <si>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</si>
  <si>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</si>
  <si>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</si>
  <si>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</si>
  <si>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</si>
  <si>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</si>
  <si>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</si>
  <si>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</si>
  <si>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</si>
  <si>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</si>
  <si>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</si>
  <si>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</si>
  <si>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</si>
  <si>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</si>
  <si>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</si>
  <si>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</si>
  <si>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</si>
  <si>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</si>
  <si>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</si>
  <si>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</si>
  <si>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</si>
  <si>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</si>
  <si>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</si>
  <si>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</si>
  <si>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</si>
  <si>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</si>
  <si>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</si>
  <si>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</si>
  <si>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</si>
  <si>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</si>
  <si>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</si>
  <si>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</si>
  <si>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</si>
  <si>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</si>
  <si>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</si>
  <si>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</si>
  <si>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</si>
  <si>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</si>
  <si>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</si>
  <si>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</si>
  <si>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</si>
  <si>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</si>
  <si>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</si>
  <si>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</si>
  <si>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</si>
  <si>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</si>
  <si>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</si>
  <si>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</si>
  <si>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</si>
  <si>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</si>
  <si>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</si>
  <si>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</si>
  <si>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</si>
  <si>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</si>
  <si>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</si>
  <si>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</si>
  <si>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</si>
  <si>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</si>
  <si>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</si>
  <si>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</si>
  <si>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</si>
  <si>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</si>
  <si>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</si>
  <si>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</si>
  <si>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</si>
  <si>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</si>
  <si>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</si>
  <si>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</si>
  <si>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</si>
  <si>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</si>
  <si>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</si>
  <si>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</si>
  <si>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</si>
  <si>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</si>
  <si>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</si>
  <si>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</si>
  <si>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</si>
  <si>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</si>
  <si>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</si>
  <si>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</si>
  <si>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</si>
  <si>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</si>
  <si>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</si>
  <si>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</si>
  <si>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</si>
  <si>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</si>
  <si>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</si>
  <si>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</si>
  <si>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</si>
  <si>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</si>
  <si>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</si>
  <si>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</si>
  <si>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</si>
  <si>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</si>
  <si>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</si>
  <si>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</si>
  <si>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</si>
  <si>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</si>
  <si>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</si>
  <si>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</si>
  <si>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</si>
  <si>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</si>
  <si>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</si>
  <si>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</si>
  <si>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</si>
  <si>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</si>
  <si>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</si>
  <si>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</si>
  <si>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</si>
  <si>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</si>
  <si>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</si>
  <si>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</si>
  <si>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</si>
  <si>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</si>
  <si>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</si>
  <si>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</si>
  <si>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</si>
  <si>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</si>
  <si>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</si>
  <si>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</si>
  <si>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</si>
  <si>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</si>
  <si>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</si>
  <si>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</si>
  <si>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</si>
  <si>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</si>
  <si>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</si>
  <si>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</si>
  <si>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</si>
  <si>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</si>
  <si>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</si>
  <si>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</si>
  <si>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</si>
  <si>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</si>
  <si>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</si>
  <si>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</si>
  <si>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</si>
  <si>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</si>
  <si>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</si>
  <si>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</si>
  <si>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</si>
  <si>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</si>
  <si>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</si>
  <si>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</si>
  <si>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</si>
  <si>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</si>
  <si>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</si>
  <si>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</si>
  <si>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</si>
  <si>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</si>
  <si>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</si>
  <si>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</si>
  <si>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</si>
  <si>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</si>
  <si>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</si>
  <si>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</si>
  <si>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</si>
  <si>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</si>
  <si>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</si>
  <si>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</si>
  <si>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</si>
  <si>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</si>
  <si>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</si>
  <si>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</si>
  <si>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</si>
  <si>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</si>
  <si>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</si>
  <si>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</si>
  <si>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</si>
  <si>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</si>
  <si>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</si>
  <si>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</si>
  <si>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</si>
  <si>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</si>
  <si>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</si>
  <si>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</si>
  <si>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</si>
  <si>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</si>
  <si>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</si>
  <si>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</si>
  <si>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</si>
  <si>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</si>
  <si>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</si>
  <si>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</si>
  <si>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</si>
  <si>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</si>
  <si>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</si>
  <si>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</si>
  <si>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</si>
  <si>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</si>
  <si>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</si>
  <si>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</si>
  <si>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</si>
  <si>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</si>
  <si>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</si>
  <si>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</si>
  <si>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</si>
  <si>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</si>
  <si>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</si>
  <si>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</si>
  <si>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</si>
  <si>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</si>
  <si>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</si>
  <si>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</si>
  <si>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</si>
  <si>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</si>
  <si>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</si>
  <si>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</si>
  <si>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</si>
  <si>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</si>
  <si>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</si>
  <si>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</si>
  <si>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</si>
  <si>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</si>
  <si>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</si>
  <si>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</si>
  <si>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</si>
  <si>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</si>
  <si>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</si>
  <si>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</si>
  <si>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</si>
  <si>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</si>
  <si>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</si>
  <si>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</si>
  <si>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</si>
  <si>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</si>
  <si>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</si>
  <si>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</si>
  <si>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</si>
  <si>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</si>
  <si>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</si>
  <si>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</si>
  <si>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</si>
  <si>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</si>
  <si>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</si>
  <si>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</si>
  <si>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</si>
  <si>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</si>
  <si>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</si>
  <si>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</si>
  <si>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</si>
  <si>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</si>
  <si>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</si>
  <si>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</si>
  <si>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</si>
  <si>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</si>
  <si>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</si>
  <si>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</si>
  <si>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</si>
  <si>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</si>
  <si>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</si>
  <si>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</si>
  <si>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</si>
  <si>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</si>
  <si>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</si>
  <si>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</si>
  <si>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</si>
  <si>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</si>
  <si>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</si>
  <si>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</si>
  <si>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</si>
  <si>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</si>
  <si>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</si>
  <si>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</si>
  <si>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</si>
  <si>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</si>
  <si>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</si>
  <si>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</si>
  <si>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</si>
  <si>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</si>
  <si>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</si>
  <si>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</si>
  <si>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</si>
  <si>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</si>
  <si>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</si>
  <si>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</si>
  <si>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</si>
  <si>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</si>
  <si>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</si>
  <si>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</si>
  <si>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</si>
  <si>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</si>
  <si>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</si>
  <si>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</si>
  <si>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</si>
  <si>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</si>
  <si>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</si>
  <si>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</si>
  <si>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</si>
  <si>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</si>
  <si>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</si>
  <si>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</si>
  <si>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</si>
  <si>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</si>
  <si>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</si>
  <si>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</si>
  <si>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</si>
  <si>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</si>
  <si>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</si>
  <si>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</si>
  <si>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</si>
  <si>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</si>
  <si>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</si>
  <si>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</si>
  <si>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</si>
  <si>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</si>
  <si>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</si>
  <si>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</si>
  <si>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</si>
  <si>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</si>
  <si>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</si>
  <si>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</si>
  <si>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</si>
  <si>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</si>
  <si>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</si>
  <si>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</si>
  <si>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</si>
  <si>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</si>
  <si>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</si>
  <si>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</si>
  <si>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</si>
  <si>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</si>
  <si>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</si>
  <si>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</si>
  <si>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</si>
  <si>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</si>
  <si>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</si>
  <si>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</si>
  <si>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</si>
  <si>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</si>
  <si>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</si>
  <si>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</si>
  <si>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</si>
  <si>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</si>
  <si>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</si>
  <si>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</si>
  <si>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</si>
  <si>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</si>
  <si>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</si>
  <si>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</si>
  <si>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</si>
  <si>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</si>
  <si>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</si>
  <si>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</si>
  <si>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</si>
  <si>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</si>
  <si>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</si>
  <si>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</si>
  <si>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</si>
  <si>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</si>
  <si>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</si>
  <si>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</si>
  <si>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</si>
  <si>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</si>
  <si>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</si>
  <si>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</si>
  <si>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</si>
  <si>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</si>
  <si>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</si>
  <si>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</si>
  <si>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</si>
  <si>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</si>
  <si>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</si>
  <si>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</si>
  <si>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</si>
  <si>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</si>
  <si>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</si>
  <si>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</si>
  <si>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</si>
  <si>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</si>
  <si>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73006</t>
  </si>
  <si>
    <t>BILZEN</t>
  </si>
  <si>
    <t>Paarden&amp;pony's 200 - 600 kg</t>
  </si>
  <si>
    <t>Paarden&amp;pony's &lt; 200 kg</t>
  </si>
  <si>
    <t>Fluvius</t>
  </si>
  <si>
    <t>referentietaak LNE (2017); Jaarverslag De Lijn</t>
  </si>
  <si>
    <t>Steenfabrieken Vandersanden</t>
  </si>
  <si>
    <t>Riemsterweg 300 , 3740 Spouwen</t>
  </si>
  <si>
    <t>WKK-0177 Steenfabrieken Vandersanden – Spouwen Bilzen</t>
  </si>
  <si>
    <t>interne verbrandingsmotor</t>
  </si>
  <si>
    <t>WKK interne verbrandinsgmotor (gas)</t>
  </si>
  <si>
    <t>Inter-Energa</t>
  </si>
  <si>
    <t>WKK-0619 OCMW Bilzen</t>
  </si>
  <si>
    <t>Eikenlaan 15 , 3740 Bilzen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</si>
</sst>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258388.52163580182</c:v>
                </c:pt>
                <c:pt idx="1">
                  <c:v>70160.212377920601</c:v>
                </c:pt>
                <c:pt idx="2">
                  <c:v>1756.6369999999999</c:v>
                </c:pt>
                <c:pt idx="3">
                  <c:v>8016.4276418060053</c:v>
                </c:pt>
                <c:pt idx="4">
                  <c:v>156535.41419395921</c:v>
                </c:pt>
                <c:pt idx="5">
                  <c:v>206623.7956748537</c:v>
                </c:pt>
                <c:pt idx="6">
                  <c:v>2878.967087570169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258388.52163580182</c:v>
                </c:pt>
                <c:pt idx="1">
                  <c:v>70160.212377920601</c:v>
                </c:pt>
                <c:pt idx="2">
                  <c:v>1756.6369999999999</c:v>
                </c:pt>
                <c:pt idx="3">
                  <c:v>8016.4276418060053</c:v>
                </c:pt>
                <c:pt idx="4">
                  <c:v>156535.41419395921</c:v>
                </c:pt>
                <c:pt idx="5">
                  <c:v>206623.7956748537</c:v>
                </c:pt>
                <c:pt idx="6">
                  <c:v>2878.967087570169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50875.463229477478</c:v>
                </c:pt>
                <c:pt idx="2">
                  <c:v>13292.448758884111</c:v>
                </c:pt>
                <c:pt idx="3">
                  <c:v>323.29553880781043</c:v>
                </c:pt>
                <c:pt idx="4">
                  <c:v>1952.3892604469872</c:v>
                </c:pt>
                <c:pt idx="5">
                  <c:v>31906.249673027905</c:v>
                </c:pt>
                <c:pt idx="6">
                  <c:v>52884.715166663147</c:v>
                </c:pt>
                <c:pt idx="7">
                  <c:v>745.58696673573138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50875.463229477478</c:v>
                </c:pt>
                <c:pt idx="2">
                  <c:v>13292.448758884111</c:v>
                </c:pt>
                <c:pt idx="3">
                  <c:v>323.29553880781043</c:v>
                </c:pt>
                <c:pt idx="4">
                  <c:v>1952.3892604469872</c:v>
                </c:pt>
                <c:pt idx="5">
                  <c:v>31906.249673027905</c:v>
                </c:pt>
                <c:pt idx="6">
                  <c:v>52884.715166663147</c:v>
                </c:pt>
                <c:pt idx="7">
                  <c:v>745.58696673573138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73006</v>
      </c>
      <c r="B6" s="390"/>
      <c r="C6" s="391"/>
    </row>
    <row r="7" spans="1:7" s="388" customFormat="1" ht="15.75" customHeight="1">
      <c r="A7" s="392" t="str">
        <f>txtMunicipality</f>
        <v>BILZEN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0.18404231426743853</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0.18404231426743853</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12912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3606.93</v>
      </c>
      <c r="C14" s="330"/>
      <c r="D14" s="330"/>
      <c r="E14" s="330"/>
      <c r="F14" s="330"/>
    </row>
    <row r="15" spans="1:6">
      <c r="A15" s="1291" t="s">
        <v>183</v>
      </c>
      <c r="B15" s="1292">
        <v>28</v>
      </c>
      <c r="C15" s="330"/>
      <c r="D15" s="330"/>
      <c r="E15" s="330"/>
      <c r="F15" s="330"/>
    </row>
    <row r="16" spans="1:6">
      <c r="A16" s="1291" t="s">
        <v>6</v>
      </c>
      <c r="B16" s="1292">
        <v>1254</v>
      </c>
      <c r="C16" s="330"/>
      <c r="D16" s="330"/>
      <c r="E16" s="330"/>
      <c r="F16" s="330"/>
    </row>
    <row r="17" spans="1:6">
      <c r="A17" s="1291" t="s">
        <v>7</v>
      </c>
      <c r="B17" s="1292">
        <v>749</v>
      </c>
      <c r="C17" s="330"/>
      <c r="D17" s="330"/>
      <c r="E17" s="330"/>
      <c r="F17" s="330"/>
    </row>
    <row r="18" spans="1:6">
      <c r="A18" s="1291" t="s">
        <v>8</v>
      </c>
      <c r="B18" s="1292">
        <v>1234</v>
      </c>
      <c r="C18" s="330"/>
      <c r="D18" s="330"/>
      <c r="E18" s="330"/>
      <c r="F18" s="330"/>
    </row>
    <row r="19" spans="1:6">
      <c r="A19" s="1291" t="s">
        <v>9</v>
      </c>
      <c r="B19" s="1292">
        <v>1064</v>
      </c>
      <c r="C19" s="330"/>
      <c r="D19" s="330"/>
      <c r="E19" s="330"/>
      <c r="F19" s="330"/>
    </row>
    <row r="20" spans="1:6">
      <c r="A20" s="1291" t="s">
        <v>10</v>
      </c>
      <c r="B20" s="1292">
        <v>782</v>
      </c>
      <c r="C20" s="330"/>
      <c r="D20" s="330"/>
      <c r="E20" s="330"/>
      <c r="F20" s="330"/>
    </row>
    <row r="21" spans="1:6">
      <c r="A21" s="1291" t="s">
        <v>11</v>
      </c>
      <c r="B21" s="1292">
        <v>3037</v>
      </c>
      <c r="C21" s="330"/>
      <c r="D21" s="330"/>
      <c r="E21" s="330"/>
      <c r="F21" s="330"/>
    </row>
    <row r="22" spans="1:6">
      <c r="A22" s="1291" t="s">
        <v>12</v>
      </c>
      <c r="B22" s="1292">
        <v>7124</v>
      </c>
      <c r="C22" s="330"/>
      <c r="D22" s="330"/>
      <c r="E22" s="330"/>
      <c r="F22" s="330"/>
    </row>
    <row r="23" spans="1:6">
      <c r="A23" s="1291" t="s">
        <v>13</v>
      </c>
      <c r="B23" s="1292">
        <v>117</v>
      </c>
      <c r="C23" s="330"/>
      <c r="D23" s="330"/>
      <c r="E23" s="330"/>
      <c r="F23" s="330"/>
    </row>
    <row r="24" spans="1:6">
      <c r="A24" s="1291" t="s">
        <v>14</v>
      </c>
      <c r="B24" s="1292">
        <v>7</v>
      </c>
      <c r="C24" s="330"/>
      <c r="D24" s="330"/>
      <c r="E24" s="330"/>
      <c r="F24" s="330"/>
    </row>
    <row r="25" spans="1:6">
      <c r="A25" s="1291" t="s">
        <v>15</v>
      </c>
      <c r="B25" s="1292">
        <v>783</v>
      </c>
      <c r="C25" s="330"/>
      <c r="D25" s="330"/>
      <c r="E25" s="330"/>
      <c r="F25" s="330"/>
    </row>
    <row r="26" spans="1:6">
      <c r="A26" s="1291" t="s">
        <v>16</v>
      </c>
      <c r="B26" s="1292">
        <v>63</v>
      </c>
      <c r="C26" s="330"/>
      <c r="D26" s="330"/>
      <c r="E26" s="330"/>
      <c r="F26" s="330"/>
    </row>
    <row r="27" spans="1:6">
      <c r="A27" s="1291" t="s">
        <v>17</v>
      </c>
      <c r="B27" s="1292">
        <v>98</v>
      </c>
      <c r="C27" s="330"/>
      <c r="D27" s="330"/>
      <c r="E27" s="330"/>
      <c r="F27" s="330"/>
    </row>
    <row r="28" spans="1:6" s="43" customFormat="1">
      <c r="A28" s="1293" t="s">
        <v>18</v>
      </c>
      <c r="B28" s="1294">
        <v>25910</v>
      </c>
      <c r="C28" s="336"/>
      <c r="D28" s="336"/>
      <c r="E28" s="336"/>
      <c r="F28" s="336"/>
    </row>
    <row r="29" spans="1:6">
      <c r="A29" s="1293" t="s">
        <v>892</v>
      </c>
      <c r="B29" s="1294">
        <v>163</v>
      </c>
      <c r="C29" s="336"/>
      <c r="D29" s="336"/>
      <c r="E29" s="336"/>
      <c r="F29" s="336"/>
    </row>
    <row r="30" spans="1:6">
      <c r="A30" s="1286" t="s">
        <v>893</v>
      </c>
      <c r="B30" s="1295">
        <v>15</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176581</v>
      </c>
      <c r="E38" s="1292">
        <v>0</v>
      </c>
      <c r="F38" s="1292">
        <v>9827</v>
      </c>
    </row>
    <row r="39" spans="1:6">
      <c r="A39" s="1291" t="s">
        <v>29</v>
      </c>
      <c r="B39" s="1291" t="s">
        <v>30</v>
      </c>
      <c r="C39" s="1292">
        <v>6276</v>
      </c>
      <c r="D39" s="1292">
        <v>91651974</v>
      </c>
      <c r="E39" s="1292">
        <v>13194</v>
      </c>
      <c r="F39" s="1292">
        <v>44724977</v>
      </c>
    </row>
    <row r="40" spans="1:6">
      <c r="A40" s="1291" t="s">
        <v>29</v>
      </c>
      <c r="B40" s="1291" t="s">
        <v>28</v>
      </c>
      <c r="C40" s="1292">
        <v>0</v>
      </c>
      <c r="D40" s="1292">
        <v>0</v>
      </c>
      <c r="E40" s="1292">
        <v>0</v>
      </c>
      <c r="F40" s="1292">
        <v>0</v>
      </c>
    </row>
    <row r="41" spans="1:6">
      <c r="A41" s="1291" t="s">
        <v>31</v>
      </c>
      <c r="B41" s="1291" t="s">
        <v>32</v>
      </c>
      <c r="C41" s="1292">
        <v>151</v>
      </c>
      <c r="D41" s="1292">
        <v>5576010</v>
      </c>
      <c r="E41" s="1292">
        <v>299</v>
      </c>
      <c r="F41" s="1292">
        <v>11094310</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9</v>
      </c>
      <c r="D44" s="1292">
        <v>2010713</v>
      </c>
      <c r="E44" s="1292">
        <v>28</v>
      </c>
      <c r="F44" s="1292">
        <v>680110</v>
      </c>
    </row>
    <row r="45" spans="1:6">
      <c r="A45" s="1291" t="s">
        <v>31</v>
      </c>
      <c r="B45" s="1291" t="s">
        <v>36</v>
      </c>
      <c r="C45" s="1292">
        <v>0</v>
      </c>
      <c r="D45" s="1292">
        <v>0</v>
      </c>
      <c r="E45" s="1292">
        <v>13</v>
      </c>
      <c r="F45" s="1292">
        <v>6160421</v>
      </c>
    </row>
    <row r="46" spans="1:6">
      <c r="A46" s="1291" t="s">
        <v>31</v>
      </c>
      <c r="B46" s="1291" t="s">
        <v>37</v>
      </c>
      <c r="C46" s="1292">
        <v>0</v>
      </c>
      <c r="D46" s="1292">
        <v>0</v>
      </c>
      <c r="E46" s="1292">
        <v>0</v>
      </c>
      <c r="F46" s="1292">
        <v>0</v>
      </c>
    </row>
    <row r="47" spans="1:6">
      <c r="A47" s="1291" t="s">
        <v>31</v>
      </c>
      <c r="B47" s="1291" t="s">
        <v>38</v>
      </c>
      <c r="C47" s="1292">
        <v>4</v>
      </c>
      <c r="D47" s="1292">
        <v>197081</v>
      </c>
      <c r="E47" s="1292">
        <v>11</v>
      </c>
      <c r="F47" s="1292">
        <v>745943</v>
      </c>
    </row>
    <row r="48" spans="1:6">
      <c r="A48" s="1291" t="s">
        <v>31</v>
      </c>
      <c r="B48" s="1291" t="s">
        <v>28</v>
      </c>
      <c r="C48" s="1292">
        <v>0</v>
      </c>
      <c r="D48" s="1292">
        <v>127496275</v>
      </c>
      <c r="E48" s="1292">
        <v>0</v>
      </c>
      <c r="F48" s="1292">
        <v>4228</v>
      </c>
    </row>
    <row r="49" spans="1:6">
      <c r="A49" s="1291" t="s">
        <v>31</v>
      </c>
      <c r="B49" s="1291" t="s">
        <v>39</v>
      </c>
      <c r="C49" s="1292">
        <v>0</v>
      </c>
      <c r="D49" s="1292">
        <v>0</v>
      </c>
      <c r="E49" s="1292">
        <v>3</v>
      </c>
      <c r="F49" s="1292">
        <v>37894</v>
      </c>
    </row>
    <row r="50" spans="1:6">
      <c r="A50" s="1291" t="s">
        <v>31</v>
      </c>
      <c r="B50" s="1291" t="s">
        <v>40</v>
      </c>
      <c r="C50" s="1292">
        <v>5</v>
      </c>
      <c r="D50" s="1292">
        <v>754166</v>
      </c>
      <c r="E50" s="1292">
        <v>24</v>
      </c>
      <c r="F50" s="1292">
        <v>1280057</v>
      </c>
    </row>
    <row r="51" spans="1:6">
      <c r="A51" s="1291" t="s">
        <v>41</v>
      </c>
      <c r="B51" s="1291" t="s">
        <v>42</v>
      </c>
      <c r="C51" s="1292">
        <v>20</v>
      </c>
      <c r="D51" s="1292">
        <v>1529974</v>
      </c>
      <c r="E51" s="1292">
        <v>110</v>
      </c>
      <c r="F51" s="1292">
        <v>1375435</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128</v>
      </c>
      <c r="F54" s="1292">
        <v>1756637</v>
      </c>
    </row>
    <row r="55" spans="1:6">
      <c r="A55" s="1291" t="s">
        <v>45</v>
      </c>
      <c r="B55" s="1291" t="s">
        <v>28</v>
      </c>
      <c r="C55" s="1292">
        <v>0</v>
      </c>
      <c r="D55" s="1292">
        <v>0</v>
      </c>
      <c r="E55" s="1292">
        <v>0</v>
      </c>
      <c r="F55" s="1292">
        <v>0</v>
      </c>
    </row>
    <row r="56" spans="1:6">
      <c r="A56" s="1291" t="s">
        <v>47</v>
      </c>
      <c r="B56" s="1291" t="s">
        <v>28</v>
      </c>
      <c r="C56" s="1292">
        <v>97</v>
      </c>
      <c r="D56" s="1292">
        <v>1464919</v>
      </c>
      <c r="E56" s="1292">
        <v>310</v>
      </c>
      <c r="F56" s="1292">
        <v>1451577</v>
      </c>
    </row>
    <row r="57" spans="1:6">
      <c r="A57" s="1291" t="s">
        <v>48</v>
      </c>
      <c r="B57" s="1291" t="s">
        <v>49</v>
      </c>
      <c r="C57" s="1292">
        <v>62</v>
      </c>
      <c r="D57" s="1292">
        <v>2164821</v>
      </c>
      <c r="E57" s="1292">
        <v>145</v>
      </c>
      <c r="F57" s="1292">
        <v>5267932</v>
      </c>
    </row>
    <row r="58" spans="1:6">
      <c r="A58" s="1291" t="s">
        <v>48</v>
      </c>
      <c r="B58" s="1291" t="s">
        <v>50</v>
      </c>
      <c r="C58" s="1292">
        <v>41</v>
      </c>
      <c r="D58" s="1292">
        <v>8812228</v>
      </c>
      <c r="E58" s="1292">
        <v>75</v>
      </c>
      <c r="F58" s="1292">
        <v>2946093</v>
      </c>
    </row>
    <row r="59" spans="1:6">
      <c r="A59" s="1291" t="s">
        <v>48</v>
      </c>
      <c r="B59" s="1291" t="s">
        <v>51</v>
      </c>
      <c r="C59" s="1292">
        <v>160</v>
      </c>
      <c r="D59" s="1292">
        <v>6060007</v>
      </c>
      <c r="E59" s="1292">
        <v>411</v>
      </c>
      <c r="F59" s="1292">
        <v>10835957</v>
      </c>
    </row>
    <row r="60" spans="1:6">
      <c r="A60" s="1291" t="s">
        <v>48</v>
      </c>
      <c r="B60" s="1291" t="s">
        <v>52</v>
      </c>
      <c r="C60" s="1292">
        <v>71</v>
      </c>
      <c r="D60" s="1292">
        <v>2975564</v>
      </c>
      <c r="E60" s="1292">
        <v>130</v>
      </c>
      <c r="F60" s="1292">
        <v>3776632</v>
      </c>
    </row>
    <row r="61" spans="1:6">
      <c r="A61" s="1291" t="s">
        <v>48</v>
      </c>
      <c r="B61" s="1291" t="s">
        <v>53</v>
      </c>
      <c r="C61" s="1292">
        <v>181</v>
      </c>
      <c r="D61" s="1292">
        <v>6623997</v>
      </c>
      <c r="E61" s="1292">
        <v>520</v>
      </c>
      <c r="F61" s="1292">
        <v>6727658</v>
      </c>
    </row>
    <row r="62" spans="1:6">
      <c r="A62" s="1291" t="s">
        <v>48</v>
      </c>
      <c r="B62" s="1291" t="s">
        <v>54</v>
      </c>
      <c r="C62" s="1292">
        <v>22</v>
      </c>
      <c r="D62" s="1292">
        <v>3367201</v>
      </c>
      <c r="E62" s="1292">
        <v>39</v>
      </c>
      <c r="F62" s="1292">
        <v>1095609</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42741</v>
      </c>
      <c r="E65" s="1292">
        <v>0</v>
      </c>
      <c r="F65" s="1292">
        <v>14900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46697</v>
      </c>
      <c r="E68" s="1295">
        <v>14</v>
      </c>
      <c r="F68" s="1295">
        <v>131674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125509884</v>
      </c>
      <c r="E73" s="449"/>
      <c r="F73" s="330"/>
    </row>
    <row r="74" spans="1:6">
      <c r="A74" s="1291" t="s">
        <v>63</v>
      </c>
      <c r="B74" s="1291" t="s">
        <v>664</v>
      </c>
      <c r="C74" s="1305" t="s">
        <v>666</v>
      </c>
      <c r="D74" s="1306">
        <v>8396847.6471562162</v>
      </c>
      <c r="E74" s="449"/>
      <c r="F74" s="330"/>
    </row>
    <row r="75" spans="1:6">
      <c r="A75" s="1291" t="s">
        <v>64</v>
      </c>
      <c r="B75" s="1291" t="s">
        <v>663</v>
      </c>
      <c r="C75" s="1305" t="s">
        <v>667</v>
      </c>
      <c r="D75" s="1306">
        <v>47973055</v>
      </c>
      <c r="E75" s="449"/>
      <c r="F75" s="330"/>
    </row>
    <row r="76" spans="1:6">
      <c r="A76" s="1291" t="s">
        <v>64</v>
      </c>
      <c r="B76" s="1291" t="s">
        <v>664</v>
      </c>
      <c r="C76" s="1305" t="s">
        <v>668</v>
      </c>
      <c r="D76" s="1306">
        <v>859064.64715621597</v>
      </c>
      <c r="E76" s="449"/>
      <c r="F76" s="330"/>
    </row>
    <row r="77" spans="1:6">
      <c r="A77" s="1291" t="s">
        <v>65</v>
      </c>
      <c r="B77" s="1291" t="s">
        <v>663</v>
      </c>
      <c r="C77" s="1305" t="s">
        <v>669</v>
      </c>
      <c r="D77" s="1306">
        <v>50379445</v>
      </c>
      <c r="E77" s="449"/>
      <c r="F77" s="330"/>
    </row>
    <row r="78" spans="1:6">
      <c r="A78" s="1286" t="s">
        <v>65</v>
      </c>
      <c r="B78" s="1286" t="s">
        <v>664</v>
      </c>
      <c r="C78" s="1286" t="s">
        <v>670</v>
      </c>
      <c r="D78" s="1307">
        <v>9751177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781160.70568756794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4056.8579785513411</v>
      </c>
      <c r="C90" s="330"/>
      <c r="D90" s="330"/>
      <c r="E90" s="330"/>
      <c r="F90" s="330"/>
    </row>
    <row r="91" spans="1:6">
      <c r="A91" s="1291" t="s">
        <v>67</v>
      </c>
      <c r="B91" s="1292">
        <v>8777.4086741247647</v>
      </c>
      <c r="C91" s="330"/>
      <c r="D91" s="330"/>
      <c r="E91" s="330"/>
      <c r="F91" s="330"/>
    </row>
    <row r="92" spans="1:6">
      <c r="A92" s="1286" t="s">
        <v>68</v>
      </c>
      <c r="B92" s="1287">
        <v>6536.5869261232992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1612</v>
      </c>
      <c r="C97" s="330"/>
      <c r="D97" s="330"/>
      <c r="E97" s="330"/>
      <c r="F97" s="330"/>
    </row>
    <row r="98" spans="1:6">
      <c r="A98" s="1291" t="s">
        <v>71</v>
      </c>
      <c r="B98" s="1292">
        <v>4</v>
      </c>
      <c r="C98" s="330"/>
      <c r="D98" s="330"/>
      <c r="E98" s="330"/>
      <c r="F98" s="330"/>
    </row>
    <row r="99" spans="1:6">
      <c r="A99" s="1291" t="s">
        <v>72</v>
      </c>
      <c r="B99" s="1292">
        <v>46</v>
      </c>
      <c r="C99" s="330"/>
      <c r="D99" s="330"/>
      <c r="E99" s="330"/>
      <c r="F99" s="330"/>
    </row>
    <row r="100" spans="1:6">
      <c r="A100" s="1291" t="s">
        <v>73</v>
      </c>
      <c r="B100" s="1292">
        <v>530</v>
      </c>
      <c r="C100" s="330"/>
      <c r="D100" s="330"/>
      <c r="E100" s="330"/>
      <c r="F100" s="330"/>
    </row>
    <row r="101" spans="1:6">
      <c r="A101" s="1291" t="s">
        <v>74</v>
      </c>
      <c r="B101" s="1292">
        <v>102</v>
      </c>
      <c r="C101" s="330"/>
      <c r="D101" s="330"/>
      <c r="E101" s="330"/>
      <c r="F101" s="330"/>
    </row>
    <row r="102" spans="1:6">
      <c r="A102" s="1291" t="s">
        <v>75</v>
      </c>
      <c r="B102" s="1292">
        <v>145</v>
      </c>
      <c r="C102" s="330"/>
      <c r="D102" s="330"/>
      <c r="E102" s="330"/>
      <c r="F102" s="330"/>
    </row>
    <row r="103" spans="1:6">
      <c r="A103" s="1291" t="s">
        <v>76</v>
      </c>
      <c r="B103" s="1292">
        <v>254</v>
      </c>
      <c r="C103" s="330"/>
      <c r="D103" s="330"/>
      <c r="E103" s="330"/>
      <c r="F103" s="330"/>
    </row>
    <row r="104" spans="1:6">
      <c r="A104" s="1291" t="s">
        <v>77</v>
      </c>
      <c r="B104" s="1292">
        <v>8045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39</v>
      </c>
      <c r="C123" s="1292">
        <v>78</v>
      </c>
      <c r="D123" s="330"/>
      <c r="E123" s="330"/>
      <c r="F123" s="330"/>
    </row>
    <row r="124" spans="1:6" s="43" customFormat="1">
      <c r="A124" s="1293" t="s">
        <v>88</v>
      </c>
      <c r="B124" s="1314">
        <v>4</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329</v>
      </c>
      <c r="C129" s="330"/>
      <c r="D129" s="330"/>
      <c r="E129" s="330"/>
      <c r="F129" s="330"/>
    </row>
    <row r="130" spans="1:6">
      <c r="A130" s="1291" t="s">
        <v>294</v>
      </c>
      <c r="B130" s="1292">
        <v>2</v>
      </c>
      <c r="C130" s="330"/>
      <c r="D130" s="330"/>
      <c r="E130" s="330"/>
      <c r="F130" s="330"/>
    </row>
    <row r="131" spans="1:6">
      <c r="A131" s="1291" t="s">
        <v>295</v>
      </c>
      <c r="B131" s="1292">
        <v>0</v>
      </c>
      <c r="C131" s="330"/>
      <c r="D131" s="330"/>
      <c r="E131" s="330"/>
      <c r="F131" s="330"/>
    </row>
    <row r="132" spans="1:6">
      <c r="A132" s="1286" t="s">
        <v>296</v>
      </c>
      <c r="B132" s="1287">
        <v>50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113644.93884777714</v>
      </c>
      <c r="C3" s="43" t="s">
        <v>169</v>
      </c>
      <c r="D3" s="43"/>
      <c r="E3" s="154"/>
      <c r="F3" s="43"/>
      <c r="G3" s="43"/>
      <c r="H3" s="43"/>
      <c r="I3" s="43"/>
      <c r="J3" s="43"/>
      <c r="K3" s="96"/>
    </row>
    <row r="4" spans="1:11">
      <c r="A4" s="358" t="s">
        <v>170</v>
      </c>
      <c r="B4" s="49">
        <f>IF(ISERROR('SEAP template'!B78+'SEAP template'!C78),0,'SEAP template'!B78+'SEAP template'!C78)</f>
        <v>24230.853578799404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1154.964705882353</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0.18404231426743853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1649.9495798319329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6942.8571428571431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1756.6369999999999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1756.6369999999999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0.18404231426743853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323.29553880781043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44724.976999999999</v>
      </c>
      <c r="C5" s="17">
        <f>IF(ISERROR('Eigen informatie GS &amp; warmtenet'!B57),0,'Eigen informatie GS &amp; warmtenet'!B57)</f>
        <v>0</v>
      </c>
      <c r="D5" s="30">
        <f>(SUM(HH_hh_gas_kWh,HH_rest_gas_kWh)/1000)*0.902</f>
        <v>82670.080547999998</v>
      </c>
      <c r="E5" s="17">
        <f>B46*B57</f>
        <v>14925.28924145062</v>
      </c>
      <c r="F5" s="17">
        <f>B51*B62</f>
        <v>78432.072744109406</v>
      </c>
      <c r="G5" s="18"/>
      <c r="H5" s="17"/>
      <c r="I5" s="17"/>
      <c r="J5" s="17">
        <f>B50*B61+C50*C61</f>
        <v>0</v>
      </c>
      <c r="K5" s="17"/>
      <c r="L5" s="17"/>
      <c r="M5" s="17"/>
      <c r="N5" s="17">
        <f>B48*B59+C48*C59</f>
        <v>26447.653428117042</v>
      </c>
      <c r="O5" s="17">
        <f>B69*B70*B71</f>
        <v>637.84</v>
      </c>
      <c r="P5" s="17">
        <f>B77*B78*B79/1000-B77*B78*B79/1000/B80</f>
        <v>1773.2</v>
      </c>
    </row>
    <row r="6" spans="1:16">
      <c r="A6" s="16" t="s">
        <v>623</v>
      </c>
      <c r="B6" s="762">
        <f>kWh_PV_kleiner_dan_10kW</f>
        <v>8777.4086741247647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53502.385674124766</v>
      </c>
      <c r="C8" s="21">
        <f>C5</f>
        <v>0</v>
      </c>
      <c r="D8" s="21">
        <f>D5</f>
        <v>82670.080547999998</v>
      </c>
      <c r="E8" s="21">
        <f>E5</f>
        <v>14925.28924145062</v>
      </c>
      <c r="F8" s="21">
        <f>F5</f>
        <v>78432.072744109406</v>
      </c>
      <c r="G8" s="21"/>
      <c r="H8" s="21"/>
      <c r="I8" s="21"/>
      <c r="J8" s="21">
        <f>J5</f>
        <v>0</v>
      </c>
      <c r="K8" s="21"/>
      <c r="L8" s="21">
        <f>L5</f>
        <v>0</v>
      </c>
      <c r="M8" s="21">
        <f>M5</f>
        <v>0</v>
      </c>
      <c r="N8" s="21">
        <f>N5</f>
        <v>26447.653428117042</v>
      </c>
      <c r="O8" s="21">
        <f>O5</f>
        <v>637.84</v>
      </c>
      <c r="P8" s="21">
        <f>P5</f>
        <v>1773.2</v>
      </c>
    </row>
    <row r="9" spans="1:16">
      <c r="B9" s="19"/>
      <c r="C9" s="19"/>
      <c r="D9" s="258"/>
      <c r="E9" s="19"/>
      <c r="F9" s="19"/>
      <c r="G9" s="19"/>
      <c r="H9" s="19"/>
      <c r="I9" s="19"/>
      <c r="J9" s="19"/>
      <c r="K9" s="19"/>
      <c r="L9" s="19"/>
      <c r="M9" s="19"/>
      <c r="N9" s="19"/>
      <c r="O9" s="19"/>
      <c r="P9" s="19"/>
    </row>
    <row r="10" spans="1:16">
      <c r="A10" s="24" t="s">
        <v>213</v>
      </c>
      <c r="B10" s="25">
        <f ca="1">'EF ele_warmte'!B12</f>
        <v>0.18404231426743853</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9846.702878294971</v>
      </c>
      <c r="C12" s="23">
        <f ca="1">C10*C8</f>
        <v>0</v>
      </c>
      <c r="D12" s="23">
        <f>D8*D10</f>
        <v>16699.356270696</v>
      </c>
      <c r="E12" s="23">
        <f>E10*E8</f>
        <v>3388.0406578092911</v>
      </c>
      <c r="F12" s="23">
        <f>F10*F8</f>
        <v>20941.363422677212</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1612</v>
      </c>
      <c r="C18" s="166" t="s">
        <v>110</v>
      </c>
      <c r="D18" s="228"/>
      <c r="E18" s="15"/>
    </row>
    <row r="19" spans="1:7">
      <c r="A19" s="171" t="s">
        <v>71</v>
      </c>
      <c r="B19" s="37">
        <f>aantalw2001_ander</f>
        <v>4</v>
      </c>
      <c r="C19" s="166" t="s">
        <v>110</v>
      </c>
      <c r="D19" s="229"/>
      <c r="E19" s="15"/>
    </row>
    <row r="20" spans="1:7">
      <c r="A20" s="171" t="s">
        <v>72</v>
      </c>
      <c r="B20" s="37">
        <f>aantalw2001_propaan</f>
        <v>46</v>
      </c>
      <c r="C20" s="167">
        <f>IF(ISERROR(B20/SUM($B$20,$B$21,$B$22)*100),0,B20/SUM($B$20,$B$21,$B$22)*100)</f>
        <v>6.7846607669616521</v>
      </c>
      <c r="D20" s="229"/>
      <c r="E20" s="15"/>
    </row>
    <row r="21" spans="1:7">
      <c r="A21" s="171" t="s">
        <v>73</v>
      </c>
      <c r="B21" s="37">
        <f>aantalw2001_elektriciteit</f>
        <v>530</v>
      </c>
      <c r="C21" s="167">
        <f>IF(ISERROR(B21/SUM($B$20,$B$21,$B$22)*100),0,B21/SUM($B$20,$B$21,$B$22)*100)</f>
        <v>78.171091445427734</v>
      </c>
      <c r="D21" s="229"/>
      <c r="E21" s="15"/>
    </row>
    <row r="22" spans="1:7">
      <c r="A22" s="171" t="s">
        <v>74</v>
      </c>
      <c r="B22" s="37">
        <f>aantalw2001_hout</f>
        <v>102</v>
      </c>
      <c r="C22" s="167">
        <f>IF(ISERROR(B22/SUM($B$20,$B$21,$B$22)*100),0,B22/SUM($B$20,$B$21,$B$22)*100)</f>
        <v>15.044247787610621</v>
      </c>
      <c r="D22" s="229"/>
      <c r="E22" s="15"/>
    </row>
    <row r="23" spans="1:7">
      <c r="A23" s="171" t="s">
        <v>75</v>
      </c>
      <c r="B23" s="37">
        <f>aantalw2001_niet_gespec</f>
        <v>145</v>
      </c>
      <c r="C23" s="166" t="s">
        <v>110</v>
      </c>
      <c r="D23" s="228"/>
      <c r="E23" s="15"/>
    </row>
    <row r="24" spans="1:7">
      <c r="A24" s="171" t="s">
        <v>76</v>
      </c>
      <c r="B24" s="37">
        <f>aantalw2001_steenkool</f>
        <v>254</v>
      </c>
      <c r="C24" s="166" t="s">
        <v>110</v>
      </c>
      <c r="D24" s="229"/>
      <c r="E24" s="15"/>
    </row>
    <row r="25" spans="1:7">
      <c r="A25" s="171" t="s">
        <v>77</v>
      </c>
      <c r="B25" s="37">
        <f>aantalw2001_stookolie</f>
        <v>8045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12912</v>
      </c>
      <c r="C28" s="36"/>
      <c r="D28" s="228"/>
    </row>
    <row r="29" spans="1:7" s="15" customFormat="1">
      <c r="A29" s="230" t="s">
        <v>696</v>
      </c>
      <c r="B29" s="37">
        <f>SUM(HH_hh_gas_aantal,HH_rest_gas_aantal)</f>
        <v>6276</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6276</v>
      </c>
      <c r="C32" s="167">
        <f>IF(ISERROR(B32/SUM($B$32,$B$34,$B$35,$B$36,$B$38,$B$39)*100),0,B32/SUM($B$32,$B$34,$B$35,$B$36,$B$38,$B$39)*100)</f>
        <v>48.958577112099228</v>
      </c>
      <c r="D32" s="233"/>
      <c r="G32" s="15"/>
    </row>
    <row r="33" spans="1:7">
      <c r="A33" s="171" t="s">
        <v>71</v>
      </c>
      <c r="B33" s="34" t="s">
        <v>110</v>
      </c>
      <c r="C33" s="167"/>
      <c r="D33" s="233"/>
      <c r="G33" s="15"/>
    </row>
    <row r="34" spans="1:7">
      <c r="A34" s="171" t="s">
        <v>72</v>
      </c>
      <c r="B34" s="33">
        <f>IF((($B$28-$B$32-$B$39-$B$77-$B$38)*C20/100)&lt;0,0,($B$28-$B$32-$B$39-$B$77-$B$38)*C20/100)</f>
        <v>182.88731563421831</v>
      </c>
      <c r="C34" s="167">
        <f>IF(ISERROR(B34/SUM($B$32,$B$34,$B$35,$B$36,$B$38,$B$39)*100),0,B34/SUM($B$32,$B$34,$B$35,$B$36,$B$38,$B$39)*100)</f>
        <v>1.426689411297436</v>
      </c>
      <c r="D34" s="233"/>
      <c r="G34" s="15"/>
    </row>
    <row r="35" spans="1:7">
      <c r="A35" s="171" t="s">
        <v>73</v>
      </c>
      <c r="B35" s="33">
        <f>IF((($B$28-$B$32-$B$39-$B$77-$B$38)*C21/100)&lt;0,0,($B$28-$B$32-$B$39-$B$77-$B$38)*C21/100)</f>
        <v>2107.1799410029503</v>
      </c>
      <c r="C35" s="167">
        <f>IF(ISERROR(B35/SUM($B$32,$B$34,$B$35,$B$36,$B$38,$B$39)*100),0,B35/SUM($B$32,$B$34,$B$35,$B$36,$B$38,$B$39)*100)</f>
        <v>16.437943217122633</v>
      </c>
      <c r="D35" s="233"/>
      <c r="G35" s="15"/>
    </row>
    <row r="36" spans="1:7">
      <c r="A36" s="171" t="s">
        <v>74</v>
      </c>
      <c r="B36" s="33">
        <f>IF((($B$28-$B$32-$B$39-$B$77-$B$38)*C22/100)&lt;0,0,($B$28-$B$32-$B$39-$B$77-$B$38)*C22/100)</f>
        <v>405.53274336283198</v>
      </c>
      <c r="C36" s="167">
        <f>IF(ISERROR(B36/SUM($B$32,$B$34,$B$35,$B$36,$B$38,$B$39)*100),0,B36/SUM($B$32,$B$34,$B$35,$B$36,$B$38,$B$39)*100)</f>
        <v>3.1635286946160543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3847.3999999999996</v>
      </c>
      <c r="C39" s="167">
        <f>IF(ISERROR(B39/SUM($B$32,$B$34,$B$35,$B$36,$B$38,$B$39)*100),0,B39/SUM($B$32,$B$34,$B$35,$B$36,$B$38,$B$39)*100)</f>
        <v>30.013261564864653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6276</v>
      </c>
      <c r="C44" s="34" t="s">
        <v>110</v>
      </c>
      <c r="D44" s="174"/>
    </row>
    <row r="45" spans="1:7">
      <c r="A45" s="171" t="s">
        <v>71</v>
      </c>
      <c r="B45" s="33" t="str">
        <f t="shared" si="0"/>
        <v>-</v>
      </c>
      <c r="C45" s="34" t="s">
        <v>110</v>
      </c>
      <c r="D45" s="174"/>
    </row>
    <row r="46" spans="1:7">
      <c r="A46" s="171" t="s">
        <v>72</v>
      </c>
      <c r="B46" s="33">
        <f t="shared" si="0"/>
        <v>182.88731563421831</v>
      </c>
      <c r="C46" s="34" t="s">
        <v>110</v>
      </c>
      <c r="D46" s="174"/>
    </row>
    <row r="47" spans="1:7">
      <c r="A47" s="171" t="s">
        <v>73</v>
      </c>
      <c r="B47" s="33">
        <f t="shared" si="0"/>
        <v>2107.1799410029503</v>
      </c>
      <c r="C47" s="34" t="s">
        <v>110</v>
      </c>
      <c r="D47" s="174"/>
    </row>
    <row r="48" spans="1:7">
      <c r="A48" s="171" t="s">
        <v>74</v>
      </c>
      <c r="B48" s="33">
        <f t="shared" si="0"/>
        <v>405.53274336283198</v>
      </c>
      <c r="C48" s="33">
        <f>B48*10</f>
        <v>4055.3274336283198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3847.3999999999996</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408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93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30649.881000000005</v>
      </c>
      <c r="C5" s="17">
        <f>IF(ISERROR('Eigen informatie GS &amp; warmtenet'!B58),0,'Eigen informatie GS &amp; warmtenet'!B58)</f>
        <v>0</v>
      </c>
      <c r="D5" s="30">
        <f>SUM(D6:D12)</f>
        <v>27063.443836000002</v>
      </c>
      <c r="E5" s="17">
        <f>SUM(E6:E12)</f>
        <v>565.28461322303008</v>
      </c>
      <c r="F5" s="17">
        <f>SUM(F6:F12)</f>
        <v>7747.1892624494758</v>
      </c>
      <c r="G5" s="18"/>
      <c r="H5" s="17"/>
      <c r="I5" s="17"/>
      <c r="J5" s="17">
        <f>SUM(J6:J12)</f>
        <v>0</v>
      </c>
      <c r="K5" s="17"/>
      <c r="L5" s="17"/>
      <c r="M5" s="17"/>
      <c r="N5" s="17">
        <f>SUM(N6:N12)</f>
        <v>4208.6489043433303</v>
      </c>
      <c r="O5" s="17">
        <f>B38*B39*B40</f>
        <v>3.1266666666666669</v>
      </c>
      <c r="P5" s="17">
        <f>B46*B47*B48/1000-B46*B47*B48/1000/B49</f>
        <v>19.066666666666666</v>
      </c>
      <c r="R5" s="32"/>
    </row>
    <row r="6" spans="1:18">
      <c r="A6" s="32" t="s">
        <v>53</v>
      </c>
      <c r="B6" s="37">
        <f>B26</f>
        <v>6727.6580000000004</v>
      </c>
      <c r="C6" s="33"/>
      <c r="D6" s="37">
        <f>IF(ISERROR(TER_kantoor_gas_kWh/1000),0,TER_kantoor_gas_kWh/1000)*0.902</f>
        <v>5974.8452940000006</v>
      </c>
      <c r="E6" s="33">
        <f>$C$26*'E Balans VL '!I12/100/3.6*1000000</f>
        <v>88.073330492968097</v>
      </c>
      <c r="F6" s="33">
        <f>$C$26*('E Balans VL '!L12+'E Balans VL '!N12)/100/3.6*1000000</f>
        <v>1715.483268979179</v>
      </c>
      <c r="G6" s="34"/>
      <c r="H6" s="33"/>
      <c r="I6" s="33"/>
      <c r="J6" s="33">
        <f>$C$26*('E Balans VL '!D12+'E Balans VL '!E12)/100/3.6*1000000</f>
        <v>0</v>
      </c>
      <c r="K6" s="33"/>
      <c r="L6" s="33"/>
      <c r="M6" s="33"/>
      <c r="N6" s="33">
        <f>$C$26*'E Balans VL '!Y12/100/3.6*1000000</f>
        <v>6.7503130279627381</v>
      </c>
      <c r="O6" s="33"/>
      <c r="P6" s="33"/>
      <c r="R6" s="32"/>
    </row>
    <row r="7" spans="1:18">
      <c r="A7" s="32" t="s">
        <v>52</v>
      </c>
      <c r="B7" s="37">
        <f t="shared" ref="B7:B12" si="0">B27</f>
        <v>3776.6320000000001</v>
      </c>
      <c r="C7" s="33"/>
      <c r="D7" s="37">
        <f>IF(ISERROR(TER_horeca_gas_kWh/1000),0,TER_horeca_gas_kWh/1000)*0.902</f>
        <v>2683.9587280000001</v>
      </c>
      <c r="E7" s="33">
        <f>$C$27*'E Balans VL '!I9/100/3.6*1000000</f>
        <v>124.98354671817752</v>
      </c>
      <c r="F7" s="33">
        <f>$C$27*('E Balans VL '!L9+'E Balans VL '!N9)/100/3.6*1000000</f>
        <v>1623.9372861929889</v>
      </c>
      <c r="G7" s="34"/>
      <c r="H7" s="33"/>
      <c r="I7" s="33"/>
      <c r="J7" s="33">
        <f>$C$27*('E Balans VL '!D9+'E Balans VL '!E9)/100/3.6*1000000</f>
        <v>0</v>
      </c>
      <c r="K7" s="33"/>
      <c r="L7" s="33"/>
      <c r="M7" s="33"/>
      <c r="N7" s="33">
        <f>$C$27*'E Balans VL '!Y9/100/3.6*1000000</f>
        <v>0.90909016511512775</v>
      </c>
      <c r="O7" s="33"/>
      <c r="P7" s="33"/>
      <c r="R7" s="32"/>
    </row>
    <row r="8" spans="1:18">
      <c r="A8" s="6" t="s">
        <v>51</v>
      </c>
      <c r="B8" s="37">
        <f t="shared" si="0"/>
        <v>10835.957</v>
      </c>
      <c r="C8" s="33"/>
      <c r="D8" s="37">
        <f>IF(ISERROR(TER_handel_gas_kWh/1000),0,TER_handel_gas_kWh/1000)*0.902</f>
        <v>5466.1263140000001</v>
      </c>
      <c r="E8" s="33">
        <f>$C$28*'E Balans VL '!I13/100/3.6*1000000</f>
        <v>341.99935976945511</v>
      </c>
      <c r="F8" s="33">
        <f>$C$28*('E Balans VL '!L13+'E Balans VL '!N13)/100/3.6*1000000</f>
        <v>2125.1219770562748</v>
      </c>
      <c r="G8" s="34"/>
      <c r="H8" s="33"/>
      <c r="I8" s="33"/>
      <c r="J8" s="33">
        <f>$C$28*('E Balans VL '!D13+'E Balans VL '!E13)/100/3.6*1000000</f>
        <v>0</v>
      </c>
      <c r="K8" s="33"/>
      <c r="L8" s="33"/>
      <c r="M8" s="33"/>
      <c r="N8" s="33">
        <f>$C$28*'E Balans VL '!Y13/100/3.6*1000000</f>
        <v>12.860177183775374</v>
      </c>
      <c r="O8" s="33"/>
      <c r="P8" s="33"/>
      <c r="R8" s="32"/>
    </row>
    <row r="9" spans="1:18">
      <c r="A9" s="32" t="s">
        <v>50</v>
      </c>
      <c r="B9" s="37">
        <f t="shared" si="0"/>
        <v>2946.0929999999998</v>
      </c>
      <c r="C9" s="33"/>
      <c r="D9" s="37">
        <f>IF(ISERROR(TER_gezond_gas_kWh/1000),0,TER_gezond_gas_kWh/1000)*0.902</f>
        <v>7948.6296559999992</v>
      </c>
      <c r="E9" s="33">
        <f>$C$29*'E Balans VL '!I10/100/3.6*1000000</f>
        <v>0.37718609003840831</v>
      </c>
      <c r="F9" s="33">
        <f>$C$29*('E Balans VL '!L10+'E Balans VL '!N10)/100/3.6*1000000</f>
        <v>613.79465397394495</v>
      </c>
      <c r="G9" s="34"/>
      <c r="H9" s="33"/>
      <c r="I9" s="33"/>
      <c r="J9" s="33">
        <f>$C$29*('E Balans VL '!D10+'E Balans VL '!E10)/100/3.6*1000000</f>
        <v>0</v>
      </c>
      <c r="K9" s="33"/>
      <c r="L9" s="33"/>
      <c r="M9" s="33"/>
      <c r="N9" s="33">
        <f>$C$29*'E Balans VL '!Y10/100/3.6*1000000</f>
        <v>34.603254791618831</v>
      </c>
      <c r="O9" s="33"/>
      <c r="P9" s="33"/>
      <c r="R9" s="32"/>
    </row>
    <row r="10" spans="1:18">
      <c r="A10" s="32" t="s">
        <v>49</v>
      </c>
      <c r="B10" s="37">
        <f t="shared" si="0"/>
        <v>5267.9319999999998</v>
      </c>
      <c r="C10" s="33"/>
      <c r="D10" s="37">
        <f>IF(ISERROR(TER_ander_gas_kWh/1000),0,TER_ander_gas_kWh/1000)*0.902</f>
        <v>1952.6685419999999</v>
      </c>
      <c r="E10" s="33">
        <f>$C$30*'E Balans VL '!I14/100/3.6*1000000</f>
        <v>7.9217308916740956</v>
      </c>
      <c r="F10" s="33">
        <f>$C$30*('E Balans VL '!L14+'E Balans VL '!N14)/100/3.6*1000000</f>
        <v>1162.9895759350222</v>
      </c>
      <c r="G10" s="34"/>
      <c r="H10" s="33"/>
      <c r="I10" s="33"/>
      <c r="J10" s="33">
        <f>$C$30*('E Balans VL '!D14+'E Balans VL '!E14)/100/3.6*1000000</f>
        <v>0</v>
      </c>
      <c r="K10" s="33"/>
      <c r="L10" s="33"/>
      <c r="M10" s="33"/>
      <c r="N10" s="33">
        <f>$C$30*'E Balans VL '!Y14/100/3.6*1000000</f>
        <v>4151.4849344569238</v>
      </c>
      <c r="O10" s="33"/>
      <c r="P10" s="33"/>
      <c r="R10" s="32"/>
    </row>
    <row r="11" spans="1:18">
      <c r="A11" s="32" t="s">
        <v>54</v>
      </c>
      <c r="B11" s="37">
        <f t="shared" si="0"/>
        <v>1095.6089999999999</v>
      </c>
      <c r="C11" s="33"/>
      <c r="D11" s="37">
        <f>IF(ISERROR(TER_onderwijs_gas_kWh/1000),0,TER_onderwijs_gas_kWh/1000)*0.902</f>
        <v>3037.2153020000001</v>
      </c>
      <c r="E11" s="33">
        <f>$C$31*'E Balans VL '!I11/100/3.6*1000000</f>
        <v>1.9294592607168402</v>
      </c>
      <c r="F11" s="33">
        <f>$C$31*('E Balans VL '!L11+'E Balans VL '!N11)/100/3.6*1000000</f>
        <v>505.86250031206589</v>
      </c>
      <c r="G11" s="34"/>
      <c r="H11" s="33"/>
      <c r="I11" s="33"/>
      <c r="J11" s="33">
        <f>$C$31*('E Balans VL '!D11+'E Balans VL '!E11)/100/3.6*1000000</f>
        <v>0</v>
      </c>
      <c r="K11" s="33"/>
      <c r="L11" s="33"/>
      <c r="M11" s="33"/>
      <c r="N11" s="33">
        <f>$C$31*'E Balans VL '!Y11/100/3.6*1000000</f>
        <v>2.041134717934415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energieproductie'!N39+'lokale energieproductie'!N32</f>
        <v>225</v>
      </c>
      <c r="C13" s="247">
        <f ca="1">'lokale energieproductie'!O39+'lokale energieproductie'!O32</f>
        <v>321.42857142857144</v>
      </c>
      <c r="D13" s="308">
        <f ca="1">('lokale energieproductie'!P32+'lokale energieproductie'!P39)*(-1)</f>
        <v>-642.85714285714289</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30874.881000000005</v>
      </c>
      <c r="C16" s="21">
        <f t="shared" ca="1" si="1"/>
        <v>321.42857142857144</v>
      </c>
      <c r="D16" s="21">
        <f t="shared" ca="1" si="1"/>
        <v>26420.586693142861</v>
      </c>
      <c r="E16" s="21">
        <f t="shared" si="1"/>
        <v>565.28461322303008</v>
      </c>
      <c r="F16" s="21">
        <f t="shared" ca="1" si="1"/>
        <v>7747.1892624494758</v>
      </c>
      <c r="G16" s="21">
        <f t="shared" si="1"/>
        <v>0</v>
      </c>
      <c r="H16" s="21">
        <f t="shared" si="1"/>
        <v>0</v>
      </c>
      <c r="I16" s="21">
        <f t="shared" si="1"/>
        <v>0</v>
      </c>
      <c r="J16" s="21">
        <f t="shared" si="1"/>
        <v>0</v>
      </c>
      <c r="K16" s="21">
        <f t="shared" si="1"/>
        <v>0</v>
      </c>
      <c r="L16" s="21">
        <f t="shared" ca="1" si="1"/>
        <v>0</v>
      </c>
      <c r="M16" s="21">
        <f t="shared" si="1"/>
        <v>0</v>
      </c>
      <c r="N16" s="21">
        <f t="shared" ca="1" si="1"/>
        <v>4208.6489043433303</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0.18404231426743853</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5682.2845519717675</v>
      </c>
      <c r="C20" s="23">
        <f t="shared" ref="C20:P20" ca="1" si="2">C16*C18</f>
        <v>76.386554621848745</v>
      </c>
      <c r="D20" s="23">
        <f t="shared" ca="1" si="2"/>
        <v>5336.9585120148586</v>
      </c>
      <c r="E20" s="23">
        <f t="shared" si="2"/>
        <v>128.31960720162783</v>
      </c>
      <c r="F20" s="23">
        <f t="shared" ca="1" si="2"/>
        <v>2068.4995330740103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6727.6580000000004</v>
      </c>
      <c r="C26" s="39">
        <f>IF(ISERROR(B26*3.6/1000000/'E Balans VL '!Z12*100),0,B26*3.6/1000000/'E Balans VL '!Z12*100)</f>
        <v>0.14411166087398222</v>
      </c>
      <c r="D26" s="237" t="s">
        <v>659</v>
      </c>
      <c r="F26" s="6"/>
    </row>
    <row r="27" spans="1:18">
      <c r="A27" s="231" t="s">
        <v>52</v>
      </c>
      <c r="B27" s="33">
        <f>IF(ISERROR(TER_horeca_ele_kWh/1000),0,TER_horeca_ele_kWh/1000)</f>
        <v>3776.6320000000001</v>
      </c>
      <c r="C27" s="39">
        <f>IF(ISERROR(B27*3.6/1000000/'E Balans VL '!Z9*100),0,B27*3.6/1000000/'E Balans VL '!Z9*100)</f>
        <v>0.30306159056116194</v>
      </c>
      <c r="D27" s="237" t="s">
        <v>659</v>
      </c>
      <c r="F27" s="6"/>
    </row>
    <row r="28" spans="1:18">
      <c r="A28" s="171" t="s">
        <v>51</v>
      </c>
      <c r="B28" s="33">
        <f>IF(ISERROR(TER_handel_ele_kWh/1000),0,TER_handel_ele_kWh/1000)</f>
        <v>10835.957</v>
      </c>
      <c r="C28" s="39">
        <f>IF(ISERROR(B28*3.6/1000000/'E Balans VL '!Z13*100),0,B28*3.6/1000000/'E Balans VL '!Z13*100)</f>
        <v>0.31959857892971261</v>
      </c>
      <c r="D28" s="237" t="s">
        <v>659</v>
      </c>
      <c r="F28" s="6"/>
    </row>
    <row r="29" spans="1:18">
      <c r="A29" s="231" t="s">
        <v>50</v>
      </c>
      <c r="B29" s="33">
        <f>IF(ISERROR(TER_gezond_ele_kWh/1000),0,TER_gezond_ele_kWh/1000)</f>
        <v>2946.0929999999998</v>
      </c>
      <c r="C29" s="39">
        <f>IF(ISERROR(B29*3.6/1000000/'E Balans VL '!Z10*100),0,B29*3.6/1000000/'E Balans VL '!Z10*100)</f>
        <v>0.31456374468465503</v>
      </c>
      <c r="D29" s="237" t="s">
        <v>659</v>
      </c>
      <c r="F29" s="6"/>
    </row>
    <row r="30" spans="1:18">
      <c r="A30" s="231" t="s">
        <v>49</v>
      </c>
      <c r="B30" s="33">
        <f>IF(ISERROR(TER_ander_ele_kWh/1000),0,TER_ander_ele_kWh/1000)</f>
        <v>5267.9319999999998</v>
      </c>
      <c r="C30" s="39">
        <f>IF(ISERROR(B30*3.6/1000000/'E Balans VL '!Z14*100),0,B30*3.6/1000000/'E Balans VL '!Z14*100)</f>
        <v>0.39790759029454609</v>
      </c>
      <c r="D30" s="237" t="s">
        <v>659</v>
      </c>
      <c r="F30" s="6"/>
    </row>
    <row r="31" spans="1:18">
      <c r="A31" s="231" t="s">
        <v>54</v>
      </c>
      <c r="B31" s="33">
        <f>IF(ISERROR(TER_onderwijs_ele_kWh/1000),0,TER_onderwijs_ele_kWh/1000)</f>
        <v>1095.6089999999999</v>
      </c>
      <c r="C31" s="39">
        <f>IF(ISERROR(B31*3.6/1000000/'E Balans VL '!Z11*100),0,B31*3.6/1000000/'E Balans VL '!Z11*100)</f>
        <v>0.22124003135393519</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20002.963</v>
      </c>
      <c r="C5" s="17">
        <f>IF(ISERROR('Eigen informatie GS &amp; warmtenet'!B59),0,'Eigen informatie GS &amp; warmtenet'!B59)</f>
        <v>0</v>
      </c>
      <c r="D5" s="30">
        <f>SUM(D6:D15)</f>
        <v>122702.88899000001</v>
      </c>
      <c r="E5" s="17">
        <f>SUM(E6:E15)</f>
        <v>3022.4562524643602</v>
      </c>
      <c r="F5" s="17">
        <f>SUM(F6:F15)</f>
        <v>11164.810242410207</v>
      </c>
      <c r="G5" s="18"/>
      <c r="H5" s="17"/>
      <c r="I5" s="17"/>
      <c r="J5" s="17">
        <f>SUM(J6:J15)</f>
        <v>57.148534764137153</v>
      </c>
      <c r="K5" s="17"/>
      <c r="L5" s="17"/>
      <c r="M5" s="17"/>
      <c r="N5" s="17">
        <f>SUM(N6:N15)</f>
        <v>1571.5757457490708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680.11</v>
      </c>
      <c r="C8" s="33"/>
      <c r="D8" s="37">
        <f>IF( ISERROR(IND_metaal_Gas_kWH/1000),0,IND_metaal_Gas_kWH/1000)*0.902</f>
        <v>1813.6631259999999</v>
      </c>
      <c r="E8" s="33">
        <f>C30*'E Balans VL '!I18/100/3.6*1000000</f>
        <v>24.472415272221937</v>
      </c>
      <c r="F8" s="33">
        <f>C30*'E Balans VL '!L18/100/3.6*1000000+C30*'E Balans VL '!N18/100/3.6*1000000</f>
        <v>296.98199020581171</v>
      </c>
      <c r="G8" s="34"/>
      <c r="H8" s="33"/>
      <c r="I8" s="33"/>
      <c r="J8" s="40">
        <f>C30*'E Balans VL '!D18/100/3.6*1000000+C30*'E Balans VL '!E18/100/3.6*1000000</f>
        <v>0</v>
      </c>
      <c r="K8" s="33"/>
      <c r="L8" s="33"/>
      <c r="M8" s="33"/>
      <c r="N8" s="33">
        <f>C30*'E Balans VL '!Y18/100/3.6*1000000</f>
        <v>34.086651016282197</v>
      </c>
      <c r="O8" s="33"/>
      <c r="P8" s="33"/>
      <c r="R8" s="32"/>
    </row>
    <row r="9" spans="1:18">
      <c r="A9" s="6" t="s">
        <v>32</v>
      </c>
      <c r="B9" s="37">
        <f t="shared" si="0"/>
        <v>11094.31</v>
      </c>
      <c r="C9" s="33"/>
      <c r="D9" s="37">
        <f>IF( ISERROR(IND_andere_gas_kWh/1000),0,IND_andere_gas_kWh/1000)*0.902</f>
        <v>5029.5610200000001</v>
      </c>
      <c r="E9" s="33">
        <f>C31*'E Balans VL '!I19/100/3.6*1000000</f>
        <v>2831.0168962055586</v>
      </c>
      <c r="F9" s="33">
        <f>C31*'E Balans VL '!L19/100/3.6*1000000+C31*'E Balans VL '!N19/100/3.6*1000000</f>
        <v>9551.3670292418992</v>
      </c>
      <c r="G9" s="34"/>
      <c r="H9" s="33"/>
      <c r="I9" s="33"/>
      <c r="J9" s="40">
        <f>C31*'E Balans VL '!D19/100/3.6*1000000+C31*'E Balans VL '!E19/100/3.6*1000000</f>
        <v>0</v>
      </c>
      <c r="K9" s="33"/>
      <c r="L9" s="33"/>
      <c r="M9" s="33"/>
      <c r="N9" s="33">
        <f>C31*'E Balans VL '!Y19/100/3.6*1000000</f>
        <v>875.21123653183372</v>
      </c>
      <c r="O9" s="33"/>
      <c r="P9" s="33"/>
      <c r="R9" s="32"/>
    </row>
    <row r="10" spans="1:18">
      <c r="A10" s="6" t="s">
        <v>40</v>
      </c>
      <c r="B10" s="37">
        <f t="shared" si="0"/>
        <v>1280.057</v>
      </c>
      <c r="C10" s="33"/>
      <c r="D10" s="37">
        <f>IF( ISERROR(IND_voed_gas_kWh/1000),0,IND_voed_gas_kWh/1000)*0.902</f>
        <v>680.25773200000003</v>
      </c>
      <c r="E10" s="33">
        <f>C32*'E Balans VL '!I20/100/3.6*1000000</f>
        <v>32.54080660229846</v>
      </c>
      <c r="F10" s="33">
        <f>C32*'E Balans VL '!L20/100/3.6*1000000+C32*'E Balans VL '!N20/100/3.6*1000000</f>
        <v>289.65768378730047</v>
      </c>
      <c r="G10" s="34"/>
      <c r="H10" s="33"/>
      <c r="I10" s="33"/>
      <c r="J10" s="40">
        <f>C32*'E Balans VL '!D20/100/3.6*1000000+C32*'E Balans VL '!E20/100/3.6*1000000</f>
        <v>0</v>
      </c>
      <c r="K10" s="33"/>
      <c r="L10" s="33"/>
      <c r="M10" s="33"/>
      <c r="N10" s="33">
        <f>C32*'E Balans VL '!Y20/100/3.6*1000000</f>
        <v>480.05607230975727</v>
      </c>
      <c r="O10" s="33"/>
      <c r="P10" s="33"/>
      <c r="R10" s="32"/>
    </row>
    <row r="11" spans="1:18">
      <c r="A11" s="6" t="s">
        <v>39</v>
      </c>
      <c r="B11" s="37">
        <f t="shared" si="0"/>
        <v>37.893999999999998</v>
      </c>
      <c r="C11" s="33"/>
      <c r="D11" s="37">
        <f>IF( ISERROR(IND_textiel_gas_kWh/1000),0,IND_textiel_gas_kWh/1000)*0.902</f>
        <v>0</v>
      </c>
      <c r="E11" s="33">
        <f>C33*'E Balans VL '!I21/100/3.6*1000000</f>
        <v>0.10402922056248493</v>
      </c>
      <c r="F11" s="33">
        <f>C33*'E Balans VL '!L21/100/3.6*1000000+C33*'E Balans VL '!N21/100/3.6*1000000</f>
        <v>2.0089819553527861</v>
      </c>
      <c r="G11" s="34"/>
      <c r="H11" s="33"/>
      <c r="I11" s="33"/>
      <c r="J11" s="40">
        <f>C33*'E Balans VL '!D21/100/3.6*1000000+C33*'E Balans VL '!E21/100/3.6*1000000</f>
        <v>0</v>
      </c>
      <c r="K11" s="33"/>
      <c r="L11" s="33"/>
      <c r="M11" s="33"/>
      <c r="N11" s="33">
        <f>C33*'E Balans VL '!Y21/100/3.6*1000000</f>
        <v>7.6160669202118503E-2</v>
      </c>
      <c r="O11" s="33"/>
      <c r="P11" s="33"/>
      <c r="R11" s="32"/>
    </row>
    <row r="12" spans="1:18">
      <c r="A12" s="6" t="s">
        <v>36</v>
      </c>
      <c r="B12" s="37">
        <f t="shared" si="0"/>
        <v>6160.4210000000003</v>
      </c>
      <c r="C12" s="33"/>
      <c r="D12" s="37">
        <f>IF( ISERROR(IND_min_gas_kWh/1000),0,IND_min_gas_kWh/1000)*0.902</f>
        <v>0</v>
      </c>
      <c r="E12" s="33">
        <f>C34*'E Balans VL '!I22/100/3.6*1000000</f>
        <v>130.89350686603623</v>
      </c>
      <c r="F12" s="33">
        <f>C34*'E Balans VL '!L22/100/3.6*1000000+C34*'E Balans VL '!N22/100/3.6*1000000</f>
        <v>1005.1251858652754</v>
      </c>
      <c r="G12" s="34"/>
      <c r="H12" s="33"/>
      <c r="I12" s="33"/>
      <c r="J12" s="40">
        <f>C34*'E Balans VL '!D22/100/3.6*1000000+C34*'E Balans VL '!E22/100/3.6*1000000</f>
        <v>7.1774653586415518</v>
      </c>
      <c r="K12" s="33"/>
      <c r="L12" s="33"/>
      <c r="M12" s="33"/>
      <c r="N12" s="33">
        <f>C34*'E Balans VL '!Y22/100/3.6*1000000</f>
        <v>0</v>
      </c>
      <c r="O12" s="33"/>
      <c r="P12" s="33"/>
      <c r="R12" s="32"/>
    </row>
    <row r="13" spans="1:18">
      <c r="A13" s="6" t="s">
        <v>38</v>
      </c>
      <c r="B13" s="37">
        <f t="shared" si="0"/>
        <v>745.94299999999998</v>
      </c>
      <c r="C13" s="33"/>
      <c r="D13" s="37">
        <f>IF( ISERROR(IND_papier_gas_kWh/1000),0,IND_papier_gas_kWh/1000)*0.902</f>
        <v>177.76706199999998</v>
      </c>
      <c r="E13" s="33">
        <f>C35*'E Balans VL '!I23/100/3.6*1000000</f>
        <v>3.1991325189157696</v>
      </c>
      <c r="F13" s="33">
        <f>C35*'E Balans VL '!L23/100/3.6*1000000+C35*'E Balans VL '!N23/100/3.6*1000000</f>
        <v>18.74786284968247</v>
      </c>
      <c r="G13" s="34"/>
      <c r="H13" s="33"/>
      <c r="I13" s="33"/>
      <c r="J13" s="40">
        <f>C35*'E Balans VL '!D23/100/3.6*1000000+C35*'E Balans VL '!E23/100/3.6*1000000</f>
        <v>49.936792520945744</v>
      </c>
      <c r="K13" s="33"/>
      <c r="L13" s="33"/>
      <c r="M13" s="33"/>
      <c r="N13" s="33">
        <f>C35*'E Balans VL '!Y23/100/3.6*1000000</f>
        <v>181.90838330703713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4.2279999999999998</v>
      </c>
      <c r="C15" s="33"/>
      <c r="D15" s="37">
        <f>IF( ISERROR(IND_rest_gas_kWh/1000),0,IND_rest_gas_kWh/1000)*0.902</f>
        <v>115001.64005</v>
      </c>
      <c r="E15" s="33">
        <f>C37*'E Balans VL '!I15/100/3.6*1000000</f>
        <v>0.22946577876707405</v>
      </c>
      <c r="F15" s="33">
        <f>C37*'E Balans VL '!L15/100/3.6*1000000+C37*'E Balans VL '!N15/100/3.6*1000000</f>
        <v>0.92150850488616853</v>
      </c>
      <c r="G15" s="34"/>
      <c r="H15" s="33"/>
      <c r="I15" s="33"/>
      <c r="J15" s="40">
        <f>C37*'E Balans VL '!D15/100/3.6*1000000+C37*'E Balans VL '!E15/100/3.6*1000000</f>
        <v>3.4276884549856779E-2</v>
      </c>
      <c r="K15" s="33"/>
      <c r="L15" s="33"/>
      <c r="M15" s="33"/>
      <c r="N15" s="33">
        <f>C37*'E Balans VL '!Y15/100/3.6*1000000</f>
        <v>0.23724191495821736</v>
      </c>
      <c r="O15" s="33"/>
      <c r="P15" s="33"/>
      <c r="R15" s="32"/>
    </row>
    <row r="16" spans="1:18">
      <c r="A16" s="16" t="s">
        <v>490</v>
      </c>
      <c r="B16" s="247">
        <f>'lokale energieproductie'!N38+'lokale energieproductie'!N31</f>
        <v>4635</v>
      </c>
      <c r="C16" s="247">
        <f>'lokale energieproductie'!O38+'lokale energieproductie'!O31</f>
        <v>6621.4285714285716</v>
      </c>
      <c r="D16" s="308">
        <f>('lokale energieproductie'!P31+'lokale energieproductie'!P38)*(-1)</f>
        <v>-13242.857142857143</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24637.963</v>
      </c>
      <c r="C18" s="21">
        <f>C5+C16</f>
        <v>6621.4285714285716</v>
      </c>
      <c r="D18" s="21">
        <f>MAX((D5+D16),0)</f>
        <v>109460.03184714286</v>
      </c>
      <c r="E18" s="21">
        <f>MAX((E5+E16),0)</f>
        <v>3022.4562524643602</v>
      </c>
      <c r="F18" s="21">
        <f>MAX((F5+F16),0)</f>
        <v>11164.810242410207</v>
      </c>
      <c r="G18" s="21"/>
      <c r="H18" s="21"/>
      <c r="I18" s="21"/>
      <c r="J18" s="21">
        <f>MAX((J5+J16),0)</f>
        <v>57.148534764137153</v>
      </c>
      <c r="K18" s="21"/>
      <c r="L18" s="21">
        <f>MAX((L5+L16),0)</f>
        <v>0</v>
      </c>
      <c r="M18" s="21"/>
      <c r="N18" s="21">
        <f>MAX((N5+N16),0)</f>
        <v>1571.5757457490708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0.18404231426743853</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4534.4277293555224</v>
      </c>
      <c r="C22" s="23">
        <f ca="1">C18*C20</f>
        <v>1573.5630252100841</v>
      </c>
      <c r="D22" s="23">
        <f>D18*D20</f>
        <v>22110.926433122859</v>
      </c>
      <c r="E22" s="23">
        <f>E18*E20</f>
        <v>686.09756930940978</v>
      </c>
      <c r="F22" s="23">
        <f>F18*F20</f>
        <v>2981.0043347235255</v>
      </c>
      <c r="G22" s="23"/>
      <c r="H22" s="23"/>
      <c r="I22" s="23"/>
      <c r="J22" s="23">
        <f>J18*J20</f>
        <v>20.230581306504551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680.11</v>
      </c>
      <c r="C30" s="39">
        <f>IF(ISERROR(B30*3.6/1000000/'E Balans VL '!Z18*100),0,B30*3.6/1000000/'E Balans VL '!Z18*100)</f>
        <v>0.14410072782589475</v>
      </c>
      <c r="D30" s="237" t="s">
        <v>659</v>
      </c>
    </row>
    <row r="31" spans="1:18">
      <c r="A31" s="6" t="s">
        <v>32</v>
      </c>
      <c r="B31" s="37">
        <f>IF( ISERROR(IND_ander_ele_kWh/1000),0,IND_ander_ele_kWh/1000)</f>
        <v>11094.31</v>
      </c>
      <c r="C31" s="39">
        <f>IF(ISERROR(B31*3.6/1000000/'E Balans VL '!Z19*100),0,B31*3.6/1000000/'E Balans VL '!Z19*100)</f>
        <v>0.46698469936292708</v>
      </c>
      <c r="D31" s="237" t="s">
        <v>659</v>
      </c>
    </row>
    <row r="32" spans="1:18">
      <c r="A32" s="171" t="s">
        <v>40</v>
      </c>
      <c r="B32" s="37">
        <f>IF( ISERROR(IND_voed_ele_kWh/1000),0,IND_voed_ele_kWh/1000)</f>
        <v>1280.057</v>
      </c>
      <c r="C32" s="39">
        <f>IF(ISERROR(B32*3.6/1000000/'E Balans VL '!Z20*100),0,B32*3.6/1000000/'E Balans VL '!Z20*100)</f>
        <v>0.21384800469887288</v>
      </c>
      <c r="D32" s="237" t="s">
        <v>659</v>
      </c>
    </row>
    <row r="33" spans="1:5">
      <c r="A33" s="171" t="s">
        <v>39</v>
      </c>
      <c r="B33" s="37">
        <f>IF( ISERROR(IND_textiel_ele_kWh/1000),0,IND_textiel_ele_kWh/1000)</f>
        <v>37.893999999999998</v>
      </c>
      <c r="C33" s="39">
        <f>IF(ISERROR(B33*3.6/1000000/'E Balans VL '!Z21*100),0,B33*3.6/1000000/'E Balans VL '!Z21*100)</f>
        <v>2.2123651184348149E-3</v>
      </c>
      <c r="D33" s="237" t="s">
        <v>659</v>
      </c>
    </row>
    <row r="34" spans="1:5">
      <c r="A34" s="171" t="s">
        <v>36</v>
      </c>
      <c r="B34" s="37">
        <f>IF( ISERROR(IND_min_ele_kWh/1000),0,IND_min_ele_kWh/1000)</f>
        <v>6160.4210000000003</v>
      </c>
      <c r="C34" s="39">
        <f>IF(ISERROR(B34*3.6/1000000/'E Balans VL '!Z22*100),0,B34*3.6/1000000/'E Balans VL '!Z22*100)</f>
        <v>0.78086658480233007</v>
      </c>
      <c r="D34" s="237" t="s">
        <v>659</v>
      </c>
    </row>
    <row r="35" spans="1:5">
      <c r="A35" s="171" t="s">
        <v>38</v>
      </c>
      <c r="B35" s="37">
        <f>IF( ISERROR(IND_papier_ele_kWh/1000),0,IND_papier_ele_kWh/1000)</f>
        <v>745.94299999999998</v>
      </c>
      <c r="C35" s="39">
        <f>IF(ISERROR(B35*3.6/1000000/'E Balans VL '!Z22*100),0,B35*3.6/1000000/'E Balans VL '!Z22*100)</f>
        <v>9.4552298108717639E-2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4.2279999999999998</v>
      </c>
      <c r="C37" s="39">
        <f>IF(ISERROR(B37*3.6/1000000/'E Balans VL '!Z15*100),0,B37*3.6/1000000/'E Balans VL '!Z15*100)</f>
        <v>3.4134281156637016E-5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1375.4349999999999</v>
      </c>
      <c r="C5" s="17">
        <f>'Eigen informatie GS &amp; warmtenet'!B60</f>
        <v>0</v>
      </c>
      <c r="D5" s="30">
        <f>IF(ISERROR(SUM(LB_lb_gas_kWh,LB_rest_gas_kWh)/1000),0,SUM(LB_lb_gas_kWh,LB_rest_gas_kWh)/1000)*0.902</f>
        <v>1380.036548</v>
      </c>
      <c r="E5" s="17">
        <f>B17*'E Balans VL '!I25/3.6*1000000/100</f>
        <v>35.46718759016845</v>
      </c>
      <c r="F5" s="17">
        <f>B17*('E Balans VL '!L25/3.6*1000000+'E Balans VL '!N25/3.6*1000000)/100</f>
        <v>5027.4768638715086</v>
      </c>
      <c r="G5" s="18"/>
      <c r="H5" s="17"/>
      <c r="I5" s="17"/>
      <c r="J5" s="17">
        <f>('E Balans VL '!D25+'E Balans VL '!E25)/3.6*1000000*landbouw!B17/100</f>
        <v>198.01204234432728</v>
      </c>
      <c r="K5" s="17"/>
      <c r="L5" s="17">
        <f>L6*(-1)</f>
        <v>0</v>
      </c>
      <c r="M5" s="17"/>
      <c r="N5" s="17">
        <f>N6*(-1)</f>
        <v>0</v>
      </c>
      <c r="O5" s="17"/>
      <c r="P5" s="17"/>
      <c r="R5" s="32"/>
    </row>
    <row r="6" spans="1:18">
      <c r="A6" s="16" t="s">
        <v>490</v>
      </c>
      <c r="B6" s="17" t="s">
        <v>210</v>
      </c>
      <c r="C6" s="17">
        <f>'lokale energieproductie'!O40+'lokale energieproductie'!O33</f>
        <v>0</v>
      </c>
      <c r="D6" s="308">
        <f>('lokale energieproductie'!P33+'lokale energieproductie'!P40)*(-1)</f>
        <v>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1375.4349999999999</v>
      </c>
      <c r="C8" s="21">
        <f>C5+C6</f>
        <v>0</v>
      </c>
      <c r="D8" s="21">
        <f>MAX((D5+D6),0)</f>
        <v>1380.036548</v>
      </c>
      <c r="E8" s="21">
        <f>MAX((E5+E6),0)</f>
        <v>35.46718759016845</v>
      </c>
      <c r="F8" s="21">
        <f>MAX((F5+F6),0)</f>
        <v>5027.4768638715086</v>
      </c>
      <c r="G8" s="21"/>
      <c r="H8" s="21"/>
      <c r="I8" s="21"/>
      <c r="J8" s="21">
        <f>MAX((J5+J6),0)</f>
        <v>198.01204234432728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0.18404231426743853</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253.13824052443431</v>
      </c>
      <c r="C12" s="23">
        <f ca="1">C8*C10</f>
        <v>0</v>
      </c>
      <c r="D12" s="23">
        <f>D8*D10</f>
        <v>278.76738269600003</v>
      </c>
      <c r="E12" s="23">
        <f>E8*E10</f>
        <v>8.0510515829682383</v>
      </c>
      <c r="F12" s="23">
        <f>F8*F10</f>
        <v>1342.3363226536928</v>
      </c>
      <c r="G12" s="23"/>
      <c r="H12" s="23"/>
      <c r="I12" s="23"/>
      <c r="J12" s="23">
        <f>J8*J10</f>
        <v>70.096262989891855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0.19394544567715244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405.99142201742808</v>
      </c>
      <c r="C26" s="247">
        <f>B26*'GWP N2O_CH4'!B5</f>
        <v>8525.81986236599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108.99471668040202</v>
      </c>
      <c r="C27" s="247">
        <f>B27*'GWP N2O_CH4'!B5</f>
        <v>2288.8890502884424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5.0053116712264742</v>
      </c>
      <c r="C28" s="247">
        <f>B28*'GWP N2O_CH4'!B4</f>
        <v>1551.646618080207</v>
      </c>
      <c r="D28" s="50"/>
    </row>
    <row r="29" spans="1:4">
      <c r="A29" s="41" t="s">
        <v>276</v>
      </c>
      <c r="B29" s="247">
        <f>B34*'ha_N2O bodem landbouw'!B4</f>
        <v>23.795207985795443</v>
      </c>
      <c r="C29" s="247">
        <f>B29*'GWP N2O_CH4'!B4</f>
        <v>7376.5144755965875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5.355214866020524E-3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1.6581662514851439E-4</v>
      </c>
      <c r="C5" s="437" t="s">
        <v>210</v>
      </c>
      <c r="D5" s="422">
        <f>SUM(D6:D11)</f>
        <v>3.4412316347223531E-4</v>
      </c>
      <c r="E5" s="422">
        <f>SUM(E6:E11)</f>
        <v>1.604543809154576E-3</v>
      </c>
      <c r="F5" s="435" t="s">
        <v>210</v>
      </c>
      <c r="G5" s="422">
        <f>SUM(G6:G11)</f>
        <v>0.60112803404026383</v>
      </c>
      <c r="H5" s="422">
        <f>SUM(H6:H11)</f>
        <v>0.11815071450642997</v>
      </c>
      <c r="I5" s="437" t="s">
        <v>210</v>
      </c>
      <c r="J5" s="437" t="s">
        <v>210</v>
      </c>
      <c r="K5" s="437" t="s">
        <v>210</v>
      </c>
      <c r="L5" s="437" t="s">
        <v>210</v>
      </c>
      <c r="M5" s="422">
        <f>SUM(M6:M11)</f>
        <v>2.245243228500424E-2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9.2966156331389393E-5</v>
      </c>
      <c r="C6" s="423"/>
      <c r="D6" s="865">
        <f>vkm_GW_PW*SUMIFS(TableVerdeelsleutelVkm[CNG],TableVerdeelsleutelVkm[Voertuigtype],"Lichte voertuigen")*SUMIFS(TableECFTransport[EnergieConsumptieFactor (PJ per km)],TableECFTransport[Index],CONCATENATE($A6,"_CNG_CNG"))</f>
        <v>1.6758792125852551E-4</v>
      </c>
      <c r="E6" s="865">
        <f>vkm_GW_PW*SUMIFS(TableVerdeelsleutelVkm[LPG],TableVerdeelsleutelVkm[Voertuigtype],"Lichte voertuigen")*SUMIFS(TableECFTransport[EnergieConsumptieFactor (PJ per km)],TableECFTransport[Index],CONCATENATE($A6,"_LPG_LPG"))</f>
        <v>7.5706607998598369E-4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0.20682941970827104</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5.7542119586238789E-2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8.2314166604678593E-3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8.1044964158407937E-2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1.4624414017681967E-6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2.5496791155344319E-3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3.5534018426981745E-5</v>
      </c>
      <c r="C8" s="423"/>
      <c r="D8" s="425">
        <f>vkm_NGW_PW*SUMIFS(TableVerdeelsleutelVkm[CNG],TableVerdeelsleutelVkm[Voertuigtype],"Lichte voertuigen")*SUMIFS(TableECFTransport[EnergieConsumptieFactor (PJ per km)],TableECFTransport[Index],CONCATENATE($A8,"_CNG_CNG"))</f>
        <v>1.0887735875073431E-4</v>
      </c>
      <c r="E8" s="425">
        <f>vkm_NGW_PW*SUMIFS(TableVerdeelsleutelVkm[LPG],TableVerdeelsleutelVkm[Voertuigtype],"Lichte voertuigen")*SUMIFS(TableECFTransport[EnergieConsumptieFactor (PJ per km)],TableECFTransport[Index],CONCATENATE($A8,"_LPG_LPG"))</f>
        <v>4.6686650729222827E-4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0.11976184547045156</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3.6328171014790363E-2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4.8564844709225105E-3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1.0674976620327301E-2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2.3779143244963536E-7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3.3583671652675059E-4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3.7316450390143251E-5</v>
      </c>
      <c r="C10" s="423"/>
      <c r="D10" s="425">
        <f>vkm_SW_PW*SUMIFS(TableVerdeelsleutelVkm[CNG],TableVerdeelsleutelVkm[Voertuigtype],"Lichte voertuigen")*SUMIFS(TableECFTransport[EnergieConsumptieFactor (PJ per km)],TableECFTransport[Index],CONCATENATE($A10,"_CNG_CNG"))</f>
        <v>6.7657883462975444E-5</v>
      </c>
      <c r="E10" s="425">
        <f>vkm_SW_PW*SUMIFS(TableVerdeelsleutelVkm[LPG],TableVerdeelsleutelVkm[Voertuigtype],"Lichte voertuigen")*SUMIFS(TableECFTransport[EnergieConsumptieFactor (PJ per km)],TableECFTransport[Index],CONCATENATE($A10,"_LPG_LPG"))</f>
        <v>3.8061122187636401E-4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9.3322256103409593E-2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2.4276998617216716E-2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3.6635077691059515E-3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8.9494571979396462E-2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1.7250553498861484E-6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2.8155075524467356E-3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46.060173652365108</v>
      </c>
      <c r="C14" s="21"/>
      <c r="D14" s="21">
        <f t="shared" ref="D14:M14" si="0">((D5)*10^9/3600)+D12</f>
        <v>95.589767631176471</v>
      </c>
      <c r="E14" s="21">
        <f t="shared" si="0"/>
        <v>445.70661365404885</v>
      </c>
      <c r="F14" s="21"/>
      <c r="G14" s="21">
        <f t="shared" si="0"/>
        <v>166980.00945562884</v>
      </c>
      <c r="H14" s="21">
        <f t="shared" si="0"/>
        <v>32819.642918452766</v>
      </c>
      <c r="I14" s="21"/>
      <c r="J14" s="21"/>
      <c r="K14" s="21"/>
      <c r="L14" s="21"/>
      <c r="M14" s="21">
        <f t="shared" si="0"/>
        <v>6236.7867458345108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0.18404231426743853</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8.4770209545413717</v>
      </c>
      <c r="C18" s="23"/>
      <c r="D18" s="23">
        <f t="shared" ref="D18:M18" si="1">D14*D16</f>
        <v>19.309133061497647</v>
      </c>
      <c r="E18" s="23">
        <f t="shared" si="1"/>
        <v>101.17540129946909</v>
      </c>
      <c r="F18" s="23"/>
      <c r="G18" s="23">
        <f t="shared" si="1"/>
        <v>44583.6625246529</v>
      </c>
      <c r="H18" s="23">
        <f t="shared" si="1"/>
        <v>8172.0910866947388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1.0052857978459298E-2</v>
      </c>
      <c r="H50" s="319">
        <f t="shared" si="2"/>
        <v>0</v>
      </c>
      <c r="I50" s="319">
        <f t="shared" si="2"/>
        <v>0</v>
      </c>
      <c r="J50" s="319">
        <f t="shared" si="2"/>
        <v>0</v>
      </c>
      <c r="K50" s="319">
        <f t="shared" si="2"/>
        <v>0</v>
      </c>
      <c r="L50" s="319">
        <f t="shared" si="2"/>
        <v>0</v>
      </c>
      <c r="M50" s="319">
        <f t="shared" si="2"/>
        <v>3.1142353679330942E-4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1.0052857978459298E-2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3.1142353679330942E-4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2792.4605495720275</v>
      </c>
      <c r="H54" s="21">
        <f t="shared" si="3"/>
        <v>0</v>
      </c>
      <c r="I54" s="21">
        <f t="shared" si="3"/>
        <v>0</v>
      </c>
      <c r="J54" s="21">
        <f t="shared" si="3"/>
        <v>0</v>
      </c>
      <c r="K54" s="21">
        <f t="shared" si="3"/>
        <v>0</v>
      </c>
      <c r="L54" s="21">
        <f t="shared" si="3"/>
        <v>0</v>
      </c>
      <c r="M54" s="21">
        <f t="shared" si="3"/>
        <v>86.506537998141511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0.18404231426743853</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745.58696673573138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32631.518000000004</v>
      </c>
      <c r="D10" s="978">
        <f ca="1">tertiair!C16</f>
        <v>321.42857142857144</v>
      </c>
      <c r="E10" s="978">
        <f ca="1">tertiair!D16</f>
        <v>26420.586693142861</v>
      </c>
      <c r="F10" s="978">
        <f>tertiair!E16</f>
        <v>565.28461322303008</v>
      </c>
      <c r="G10" s="978">
        <f ca="1">tertiair!F16</f>
        <v>7747.1892624494758</v>
      </c>
      <c r="H10" s="978">
        <f>tertiair!G16</f>
        <v>0</v>
      </c>
      <c r="I10" s="978">
        <f>tertiair!H16</f>
        <v>0</v>
      </c>
      <c r="J10" s="978">
        <f>tertiair!I16</f>
        <v>0</v>
      </c>
      <c r="K10" s="978">
        <f>tertiair!J16</f>
        <v>0</v>
      </c>
      <c r="L10" s="978">
        <f>tertiair!K16</f>
        <v>0</v>
      </c>
      <c r="M10" s="978">
        <f ca="1">tertiair!L16</f>
        <v>0</v>
      </c>
      <c r="N10" s="978">
        <f>tertiair!M16</f>
        <v>0</v>
      </c>
      <c r="O10" s="978">
        <f ca="1">tertiair!N16</f>
        <v>4208.6489043433303</v>
      </c>
      <c r="P10" s="978">
        <f>tertiair!O16</f>
        <v>3.1266666666666669</v>
      </c>
      <c r="Q10" s="979">
        <f>tertiair!P16</f>
        <v>19.066666666666666</v>
      </c>
      <c r="R10" s="674">
        <f ca="1">SUM(C10:Q10)</f>
        <v>71916.849377920604</v>
      </c>
      <c r="S10" s="67"/>
    </row>
    <row r="11" spans="1:19" s="447" customFormat="1">
      <c r="A11" s="783" t="s">
        <v>224</v>
      </c>
      <c r="B11" s="788"/>
      <c r="C11" s="978">
        <f>huishoudens!B8</f>
        <v>53502.385674124766</v>
      </c>
      <c r="D11" s="978">
        <f>huishoudens!C8</f>
        <v>0</v>
      </c>
      <c r="E11" s="978">
        <f>huishoudens!D8</f>
        <v>82670.080547999998</v>
      </c>
      <c r="F11" s="978">
        <f>huishoudens!E8</f>
        <v>14925.28924145062</v>
      </c>
      <c r="G11" s="978">
        <f>huishoudens!F8</f>
        <v>78432.072744109406</v>
      </c>
      <c r="H11" s="978">
        <f>huishoudens!G8</f>
        <v>0</v>
      </c>
      <c r="I11" s="978">
        <f>huishoudens!H8</f>
        <v>0</v>
      </c>
      <c r="J11" s="978">
        <f>huishoudens!I8</f>
        <v>0</v>
      </c>
      <c r="K11" s="978">
        <f>huishoudens!J8</f>
        <v>0</v>
      </c>
      <c r="L11" s="978">
        <f>huishoudens!K8</f>
        <v>0</v>
      </c>
      <c r="M11" s="978">
        <f>huishoudens!L8</f>
        <v>0</v>
      </c>
      <c r="N11" s="978">
        <f>huishoudens!M8</f>
        <v>0</v>
      </c>
      <c r="O11" s="978">
        <f>huishoudens!N8</f>
        <v>26447.653428117042</v>
      </c>
      <c r="P11" s="978">
        <f>huishoudens!O8</f>
        <v>637.84</v>
      </c>
      <c r="Q11" s="979">
        <f>huishoudens!P8</f>
        <v>1773.2</v>
      </c>
      <c r="R11" s="674">
        <f>SUM(C11:Q11)</f>
        <v>258388.52163580182</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24637.963</v>
      </c>
      <c r="D13" s="978">
        <f>industrie!C18</f>
        <v>6621.4285714285716</v>
      </c>
      <c r="E13" s="978">
        <f>industrie!D18</f>
        <v>109460.03184714286</v>
      </c>
      <c r="F13" s="978">
        <f>industrie!E18</f>
        <v>3022.4562524643602</v>
      </c>
      <c r="G13" s="978">
        <f>industrie!F18</f>
        <v>11164.810242410207</v>
      </c>
      <c r="H13" s="978">
        <f>industrie!G18</f>
        <v>0</v>
      </c>
      <c r="I13" s="978">
        <f>industrie!H18</f>
        <v>0</v>
      </c>
      <c r="J13" s="978">
        <f>industrie!I18</f>
        <v>0</v>
      </c>
      <c r="K13" s="978">
        <f>industrie!J18</f>
        <v>57.148534764137153</v>
      </c>
      <c r="L13" s="978">
        <f>industrie!K18</f>
        <v>0</v>
      </c>
      <c r="M13" s="978">
        <f>industrie!L18</f>
        <v>0</v>
      </c>
      <c r="N13" s="978">
        <f>industrie!M18</f>
        <v>0</v>
      </c>
      <c r="O13" s="978">
        <f>industrie!N18</f>
        <v>1571.5757457490708</v>
      </c>
      <c r="P13" s="978">
        <f>industrie!O18</f>
        <v>0</v>
      </c>
      <c r="Q13" s="979">
        <f>industrie!P18</f>
        <v>0</v>
      </c>
      <c r="R13" s="674">
        <f>SUM(C13:Q13)</f>
        <v>156535.41419395921</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110771.86667412477</v>
      </c>
      <c r="D16" s="706">
        <f t="shared" ref="D16:R16" ca="1" si="0">SUM(D9:D15)</f>
        <v>6942.8571428571431</v>
      </c>
      <c r="E16" s="706">
        <f t="shared" ca="1" si="0"/>
        <v>218550.69908828574</v>
      </c>
      <c r="F16" s="706">
        <f t="shared" si="0"/>
        <v>18513.030107138009</v>
      </c>
      <c r="G16" s="706">
        <f t="shared" ca="1" si="0"/>
        <v>97344.072248969096</v>
      </c>
      <c r="H16" s="706">
        <f t="shared" si="0"/>
        <v>0</v>
      </c>
      <c r="I16" s="706">
        <f t="shared" si="0"/>
        <v>0</v>
      </c>
      <c r="J16" s="706">
        <f t="shared" si="0"/>
        <v>0</v>
      </c>
      <c r="K16" s="706">
        <f t="shared" si="0"/>
        <v>57.148534764137153</v>
      </c>
      <c r="L16" s="706">
        <f t="shared" si="0"/>
        <v>0</v>
      </c>
      <c r="M16" s="706">
        <f t="shared" ca="1" si="0"/>
        <v>0</v>
      </c>
      <c r="N16" s="706">
        <f t="shared" si="0"/>
        <v>0</v>
      </c>
      <c r="O16" s="706">
        <f t="shared" ca="1" si="0"/>
        <v>32227.87807820944</v>
      </c>
      <c r="P16" s="706">
        <f t="shared" si="0"/>
        <v>640.9666666666667</v>
      </c>
      <c r="Q16" s="706">
        <f t="shared" si="0"/>
        <v>1792.2666666666667</v>
      </c>
      <c r="R16" s="706">
        <f t="shared" ca="1" si="0"/>
        <v>486840.78520768165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2792.4605495720275</v>
      </c>
      <c r="I19" s="978">
        <f>transport!H54</f>
        <v>0</v>
      </c>
      <c r="J19" s="978">
        <f>transport!I54</f>
        <v>0</v>
      </c>
      <c r="K19" s="978">
        <f>transport!J54</f>
        <v>0</v>
      </c>
      <c r="L19" s="978">
        <f>transport!K54</f>
        <v>0</v>
      </c>
      <c r="M19" s="978">
        <f>transport!L54</f>
        <v>0</v>
      </c>
      <c r="N19" s="978">
        <f>transport!M54</f>
        <v>86.506537998141511</v>
      </c>
      <c r="O19" s="978">
        <f>transport!N54</f>
        <v>0</v>
      </c>
      <c r="P19" s="978">
        <f>transport!O54</f>
        <v>0</v>
      </c>
      <c r="Q19" s="979">
        <f>transport!P54</f>
        <v>0</v>
      </c>
      <c r="R19" s="674">
        <f>SUM(C19:Q19)</f>
        <v>2878.967087570169</v>
      </c>
      <c r="S19" s="67"/>
    </row>
    <row r="20" spans="1:19" s="447" customFormat="1">
      <c r="A20" s="783" t="s">
        <v>306</v>
      </c>
      <c r="B20" s="788"/>
      <c r="C20" s="978">
        <f>transport!B14</f>
        <v>46.060173652365108</v>
      </c>
      <c r="D20" s="978">
        <f>transport!C14</f>
        <v>0</v>
      </c>
      <c r="E20" s="978">
        <f>transport!D14</f>
        <v>95.589767631176471</v>
      </c>
      <c r="F20" s="978">
        <f>transport!E14</f>
        <v>445.70661365404885</v>
      </c>
      <c r="G20" s="978">
        <f>transport!F14</f>
        <v>0</v>
      </c>
      <c r="H20" s="978">
        <f>transport!G14</f>
        <v>166980.00945562884</v>
      </c>
      <c r="I20" s="978">
        <f>transport!H14</f>
        <v>32819.642918452766</v>
      </c>
      <c r="J20" s="978">
        <f>transport!I14</f>
        <v>0</v>
      </c>
      <c r="K20" s="978">
        <f>transport!J14</f>
        <v>0</v>
      </c>
      <c r="L20" s="978">
        <f>transport!K14</f>
        <v>0</v>
      </c>
      <c r="M20" s="978">
        <f>transport!L14</f>
        <v>0</v>
      </c>
      <c r="N20" s="978">
        <f>transport!M14</f>
        <v>6236.7867458345108</v>
      </c>
      <c r="O20" s="978">
        <f>transport!N14</f>
        <v>0</v>
      </c>
      <c r="P20" s="978">
        <f>transport!O14</f>
        <v>0</v>
      </c>
      <c r="Q20" s="979">
        <f>transport!P14</f>
        <v>0</v>
      </c>
      <c r="R20" s="674">
        <f>SUM(C20:Q20)</f>
        <v>206623.7956748537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46.060173652365108</v>
      </c>
      <c r="D22" s="786">
        <f t="shared" ref="D22:R22" si="1">SUM(D18:D21)</f>
        <v>0</v>
      </c>
      <c r="E22" s="786">
        <f t="shared" si="1"/>
        <v>95.589767631176471</v>
      </c>
      <c r="F22" s="786">
        <f t="shared" si="1"/>
        <v>445.70661365404885</v>
      </c>
      <c r="G22" s="786">
        <f t="shared" si="1"/>
        <v>0</v>
      </c>
      <c r="H22" s="786">
        <f t="shared" si="1"/>
        <v>169772.47000520086</v>
      </c>
      <c r="I22" s="786">
        <f t="shared" si="1"/>
        <v>32819.642918452766</v>
      </c>
      <c r="J22" s="786">
        <f t="shared" si="1"/>
        <v>0</v>
      </c>
      <c r="K22" s="786">
        <f t="shared" si="1"/>
        <v>0</v>
      </c>
      <c r="L22" s="786">
        <f t="shared" si="1"/>
        <v>0</v>
      </c>
      <c r="M22" s="786">
        <f t="shared" si="1"/>
        <v>0</v>
      </c>
      <c r="N22" s="786">
        <f t="shared" si="1"/>
        <v>6323.2932838326524</v>
      </c>
      <c r="O22" s="786">
        <f t="shared" si="1"/>
        <v>0</v>
      </c>
      <c r="P22" s="786">
        <f t="shared" si="1"/>
        <v>0</v>
      </c>
      <c r="Q22" s="786">
        <f t="shared" si="1"/>
        <v>0</v>
      </c>
      <c r="R22" s="786">
        <f t="shared" si="1"/>
        <v>209502.76276242387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1375.4349999999999</v>
      </c>
      <c r="D24" s="978">
        <f>+landbouw!C8</f>
        <v>0</v>
      </c>
      <c r="E24" s="978">
        <f>+landbouw!D8</f>
        <v>1380.036548</v>
      </c>
      <c r="F24" s="978">
        <f>+landbouw!E8</f>
        <v>35.46718759016845</v>
      </c>
      <c r="G24" s="978">
        <f>+landbouw!F8</f>
        <v>5027.4768638715086</v>
      </c>
      <c r="H24" s="978">
        <f>+landbouw!G8</f>
        <v>0</v>
      </c>
      <c r="I24" s="978">
        <f>+landbouw!H8</f>
        <v>0</v>
      </c>
      <c r="J24" s="978">
        <f>+landbouw!I8</f>
        <v>0</v>
      </c>
      <c r="K24" s="978">
        <f>+landbouw!J8</f>
        <v>198.01204234432728</v>
      </c>
      <c r="L24" s="978">
        <f>+landbouw!K8</f>
        <v>0</v>
      </c>
      <c r="M24" s="978">
        <f>+landbouw!L8</f>
        <v>0</v>
      </c>
      <c r="N24" s="978">
        <f>+landbouw!M8</f>
        <v>0</v>
      </c>
      <c r="O24" s="978">
        <f>+landbouw!N8</f>
        <v>0</v>
      </c>
      <c r="P24" s="978">
        <f>+landbouw!O8</f>
        <v>0</v>
      </c>
      <c r="Q24" s="979">
        <f>+landbouw!P8</f>
        <v>0</v>
      </c>
      <c r="R24" s="674">
        <f>SUM(C24:Q24)</f>
        <v>8016.4276418060053</v>
      </c>
      <c r="S24" s="67"/>
    </row>
    <row r="25" spans="1:19" s="447" customFormat="1" ht="15" thickBot="1">
      <c r="A25" s="805" t="s">
        <v>834</v>
      </c>
      <c r="B25" s="981"/>
      <c r="C25" s="982">
        <f>IF(Onbekend_ele_kWh="---",0,Onbekend_ele_kWh)/1000+IF(REST_rest_ele_kWh="---",0,REST_rest_ele_kWh)/1000</f>
        <v>1451.577</v>
      </c>
      <c r="D25" s="982"/>
      <c r="E25" s="982">
        <f>IF(onbekend_gas_kWh="---",0,onbekend_gas_kWh)/1000+IF(REST_rest_gas_kWh="---",0,REST_rest_gas_kWh)/1000</f>
        <v>1464.9190000000001</v>
      </c>
      <c r="F25" s="982"/>
      <c r="G25" s="982"/>
      <c r="H25" s="982"/>
      <c r="I25" s="982"/>
      <c r="J25" s="982"/>
      <c r="K25" s="982"/>
      <c r="L25" s="982"/>
      <c r="M25" s="982"/>
      <c r="N25" s="982"/>
      <c r="O25" s="982"/>
      <c r="P25" s="982"/>
      <c r="Q25" s="983"/>
      <c r="R25" s="674">
        <f>SUM(C25:Q25)</f>
        <v>2916.4960000000001</v>
      </c>
      <c r="S25" s="67"/>
    </row>
    <row r="26" spans="1:19" s="447" customFormat="1" ht="15.75" thickBot="1">
      <c r="A26" s="679" t="s">
        <v>835</v>
      </c>
      <c r="B26" s="791"/>
      <c r="C26" s="786">
        <f>SUM(C24:C25)</f>
        <v>2827.0119999999997</v>
      </c>
      <c r="D26" s="786">
        <f t="shared" ref="D26:R26" si="2">SUM(D24:D25)</f>
        <v>0</v>
      </c>
      <c r="E26" s="786">
        <f t="shared" si="2"/>
        <v>2844.9555479999999</v>
      </c>
      <c r="F26" s="786">
        <f t="shared" si="2"/>
        <v>35.46718759016845</v>
      </c>
      <c r="G26" s="786">
        <f t="shared" si="2"/>
        <v>5027.4768638715086</v>
      </c>
      <c r="H26" s="786">
        <f t="shared" si="2"/>
        <v>0</v>
      </c>
      <c r="I26" s="786">
        <f t="shared" si="2"/>
        <v>0</v>
      </c>
      <c r="J26" s="786">
        <f t="shared" si="2"/>
        <v>0</v>
      </c>
      <c r="K26" s="786">
        <f t="shared" si="2"/>
        <v>198.01204234432728</v>
      </c>
      <c r="L26" s="786">
        <f t="shared" si="2"/>
        <v>0</v>
      </c>
      <c r="M26" s="786">
        <f t="shared" si="2"/>
        <v>0</v>
      </c>
      <c r="N26" s="786">
        <f t="shared" si="2"/>
        <v>0</v>
      </c>
      <c r="O26" s="786">
        <f t="shared" si="2"/>
        <v>0</v>
      </c>
      <c r="P26" s="786">
        <f t="shared" si="2"/>
        <v>0</v>
      </c>
      <c r="Q26" s="786">
        <f t="shared" si="2"/>
        <v>0</v>
      </c>
      <c r="R26" s="786">
        <f t="shared" si="2"/>
        <v>10932.923641806006</v>
      </c>
      <c r="S26" s="67"/>
    </row>
    <row r="27" spans="1:19" s="447" customFormat="1" ht="17.25" thickTop="1" thickBot="1">
      <c r="A27" s="680" t="s">
        <v>115</v>
      </c>
      <c r="B27" s="779"/>
      <c r="C27" s="681">
        <f ca="1">C22+C16+C26</f>
        <v>113644.93884777714</v>
      </c>
      <c r="D27" s="681">
        <f t="shared" ref="D27:R27" ca="1" si="3">D22+D16+D26</f>
        <v>6942.8571428571431</v>
      </c>
      <c r="E27" s="681">
        <f t="shared" ca="1" si="3"/>
        <v>221491.24440391691</v>
      </c>
      <c r="F27" s="681">
        <f t="shared" si="3"/>
        <v>18994.203908382227</v>
      </c>
      <c r="G27" s="681">
        <f t="shared" ca="1" si="3"/>
        <v>102371.5491128406</v>
      </c>
      <c r="H27" s="681">
        <f t="shared" si="3"/>
        <v>169772.47000520086</v>
      </c>
      <c r="I27" s="681">
        <f t="shared" si="3"/>
        <v>32819.642918452766</v>
      </c>
      <c r="J27" s="681">
        <f t="shared" si="3"/>
        <v>0</v>
      </c>
      <c r="K27" s="681">
        <f t="shared" si="3"/>
        <v>255.16057710846445</v>
      </c>
      <c r="L27" s="681">
        <f t="shared" si="3"/>
        <v>0</v>
      </c>
      <c r="M27" s="681">
        <f t="shared" ca="1" si="3"/>
        <v>0</v>
      </c>
      <c r="N27" s="681">
        <f t="shared" si="3"/>
        <v>6323.2932838326524</v>
      </c>
      <c r="O27" s="681">
        <f t="shared" ca="1" si="3"/>
        <v>32227.87807820944</v>
      </c>
      <c r="P27" s="681">
        <f t="shared" si="3"/>
        <v>640.9666666666667</v>
      </c>
      <c r="Q27" s="681">
        <f t="shared" si="3"/>
        <v>1792.2666666666667</v>
      </c>
      <c r="R27" s="681">
        <f t="shared" ca="1" si="3"/>
        <v>707276.47161191155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6005.5800907795783</v>
      </c>
      <c r="D40" s="978">
        <f ca="1">tertiair!C20</f>
        <v>76.386554621848745</v>
      </c>
      <c r="E40" s="978">
        <f ca="1">tertiair!D20</f>
        <v>5336.9585120148586</v>
      </c>
      <c r="F40" s="978">
        <f>tertiair!E20</f>
        <v>128.31960720162783</v>
      </c>
      <c r="G40" s="978">
        <f ca="1">tertiair!F20</f>
        <v>2068.4995330740103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13615.744297691923</v>
      </c>
    </row>
    <row r="41" spans="1:18">
      <c r="A41" s="796" t="s">
        <v>224</v>
      </c>
      <c r="B41" s="803"/>
      <c r="C41" s="978">
        <f ca="1">huishoudens!B12</f>
        <v>9846.702878294971</v>
      </c>
      <c r="D41" s="978">
        <f ca="1">huishoudens!C12</f>
        <v>0</v>
      </c>
      <c r="E41" s="978">
        <f>huishoudens!D12</f>
        <v>16699.356270696</v>
      </c>
      <c r="F41" s="978">
        <f>huishoudens!E12</f>
        <v>3388.0406578092911</v>
      </c>
      <c r="G41" s="978">
        <f>huishoudens!F12</f>
        <v>20941.363422677212</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50875.463229477478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4534.4277293555224</v>
      </c>
      <c r="D43" s="978">
        <f ca="1">industrie!C22</f>
        <v>1573.5630252100841</v>
      </c>
      <c r="E43" s="978">
        <f>industrie!D22</f>
        <v>22110.926433122859</v>
      </c>
      <c r="F43" s="978">
        <f>industrie!E22</f>
        <v>686.09756930940978</v>
      </c>
      <c r="G43" s="978">
        <f>industrie!F22</f>
        <v>2981.0043347235255</v>
      </c>
      <c r="H43" s="978">
        <f>industrie!G22</f>
        <v>0</v>
      </c>
      <c r="I43" s="978">
        <f>industrie!H22</f>
        <v>0</v>
      </c>
      <c r="J43" s="978">
        <f>industrie!I22</f>
        <v>0</v>
      </c>
      <c r="K43" s="978">
        <f>industrie!J22</f>
        <v>20.230581306504551</v>
      </c>
      <c r="L43" s="978">
        <f>industrie!K22</f>
        <v>0</v>
      </c>
      <c r="M43" s="978">
        <f>industrie!L22</f>
        <v>0</v>
      </c>
      <c r="N43" s="978">
        <f>industrie!M22</f>
        <v>0</v>
      </c>
      <c r="O43" s="978">
        <f>industrie!N22</f>
        <v>0</v>
      </c>
      <c r="P43" s="978">
        <f>industrie!O22</f>
        <v>0</v>
      </c>
      <c r="Q43" s="748">
        <f>industrie!P22</f>
        <v>0</v>
      </c>
      <c r="R43" s="823">
        <f t="shared" ca="1" si="4"/>
        <v>31906.249673027905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20386.71069843007</v>
      </c>
      <c r="D46" s="706">
        <f t="shared" ref="D46:Q46" ca="1" si="5">SUM(D39:D45)</f>
        <v>1649.9495798319329</v>
      </c>
      <c r="E46" s="706">
        <f t="shared" ca="1" si="5"/>
        <v>44147.241215833717</v>
      </c>
      <c r="F46" s="706">
        <f t="shared" si="5"/>
        <v>4202.4578343203284</v>
      </c>
      <c r="G46" s="706">
        <f t="shared" ca="1" si="5"/>
        <v>25990.867290474747</v>
      </c>
      <c r="H46" s="706">
        <f t="shared" si="5"/>
        <v>0</v>
      </c>
      <c r="I46" s="706">
        <f t="shared" si="5"/>
        <v>0</v>
      </c>
      <c r="J46" s="706">
        <f t="shared" si="5"/>
        <v>0</v>
      </c>
      <c r="K46" s="706">
        <f t="shared" si="5"/>
        <v>20.230581306504551</v>
      </c>
      <c r="L46" s="706">
        <f t="shared" si="5"/>
        <v>0</v>
      </c>
      <c r="M46" s="706">
        <f t="shared" ca="1" si="5"/>
        <v>0</v>
      </c>
      <c r="N46" s="706">
        <f t="shared" si="5"/>
        <v>0</v>
      </c>
      <c r="O46" s="706">
        <f t="shared" ca="1" si="5"/>
        <v>0</v>
      </c>
      <c r="P46" s="706">
        <f t="shared" si="5"/>
        <v>0</v>
      </c>
      <c r="Q46" s="706">
        <f t="shared" si="5"/>
        <v>0</v>
      </c>
      <c r="R46" s="706">
        <f ca="1">SUM(R39:R45)</f>
        <v>96397.457200197314</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745.58696673573138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745.58696673573138</v>
      </c>
    </row>
    <row r="50" spans="1:18">
      <c r="A50" s="799" t="s">
        <v>306</v>
      </c>
      <c r="B50" s="809"/>
      <c r="C50" s="677">
        <f ca="1">transport!B18</f>
        <v>8.4770209545413717</v>
      </c>
      <c r="D50" s="677">
        <f>transport!C18</f>
        <v>0</v>
      </c>
      <c r="E50" s="677">
        <f>transport!D18</f>
        <v>19.309133061497647</v>
      </c>
      <c r="F50" s="677">
        <f>transport!E18</f>
        <v>101.17540129946909</v>
      </c>
      <c r="G50" s="677">
        <f>transport!F18</f>
        <v>0</v>
      </c>
      <c r="H50" s="677">
        <f>transport!G18</f>
        <v>44583.6625246529</v>
      </c>
      <c r="I50" s="677">
        <f>transport!H18</f>
        <v>8172.0910866947388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52884.715166663147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8.4770209545413717</v>
      </c>
      <c r="D52" s="706">
        <f t="shared" ref="D52:Q52" ca="1" si="6">SUM(D48:D51)</f>
        <v>0</v>
      </c>
      <c r="E52" s="706">
        <f t="shared" si="6"/>
        <v>19.309133061497647</v>
      </c>
      <c r="F52" s="706">
        <f t="shared" si="6"/>
        <v>101.17540129946909</v>
      </c>
      <c r="G52" s="706">
        <f t="shared" si="6"/>
        <v>0</v>
      </c>
      <c r="H52" s="706">
        <f t="shared" si="6"/>
        <v>45329.249491388633</v>
      </c>
      <c r="I52" s="706">
        <f t="shared" si="6"/>
        <v>8172.0910866947388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53630.30213339888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253.13824052443431</v>
      </c>
      <c r="D54" s="677">
        <f ca="1">+landbouw!C12</f>
        <v>0</v>
      </c>
      <c r="E54" s="677">
        <f>+landbouw!D12</f>
        <v>278.76738269600003</v>
      </c>
      <c r="F54" s="677">
        <f>+landbouw!E12</f>
        <v>8.0510515829682383</v>
      </c>
      <c r="G54" s="677">
        <f>+landbouw!F12</f>
        <v>1342.3363226536928</v>
      </c>
      <c r="H54" s="677">
        <f>+landbouw!G12</f>
        <v>0</v>
      </c>
      <c r="I54" s="677">
        <f>+landbouw!H12</f>
        <v>0</v>
      </c>
      <c r="J54" s="677">
        <f>+landbouw!I12</f>
        <v>0</v>
      </c>
      <c r="K54" s="677">
        <f>+landbouw!J12</f>
        <v>70.096262989891855</v>
      </c>
      <c r="L54" s="677">
        <f>+landbouw!K12</f>
        <v>0</v>
      </c>
      <c r="M54" s="677">
        <f>+landbouw!L12</f>
        <v>0</v>
      </c>
      <c r="N54" s="677">
        <f>+landbouw!M12</f>
        <v>0</v>
      </c>
      <c r="O54" s="677">
        <f>+landbouw!N12</f>
        <v>0</v>
      </c>
      <c r="P54" s="677">
        <f>+landbouw!O12</f>
        <v>0</v>
      </c>
      <c r="Q54" s="678">
        <f>+landbouw!P12</f>
        <v>0</v>
      </c>
      <c r="R54" s="705">
        <f ca="1">SUM(C54:Q54)</f>
        <v>1952.3892604469872</v>
      </c>
    </row>
    <row r="55" spans="1:18" ht="15" thickBot="1">
      <c r="A55" s="799" t="s">
        <v>834</v>
      </c>
      <c r="B55" s="809"/>
      <c r="C55" s="677">
        <f ca="1">C25*'EF ele_warmte'!B12</f>
        <v>267.15159041738559</v>
      </c>
      <c r="D55" s="677"/>
      <c r="E55" s="677">
        <f>E25*EF_CO2_aardgas</f>
        <v>295.91363800000005</v>
      </c>
      <c r="F55" s="677"/>
      <c r="G55" s="677"/>
      <c r="H55" s="677"/>
      <c r="I55" s="677"/>
      <c r="J55" s="677"/>
      <c r="K55" s="677"/>
      <c r="L55" s="677"/>
      <c r="M55" s="677"/>
      <c r="N55" s="677"/>
      <c r="O55" s="677"/>
      <c r="P55" s="677"/>
      <c r="Q55" s="678"/>
      <c r="R55" s="705">
        <f ca="1">SUM(C55:Q55)</f>
        <v>563.0652284173857</v>
      </c>
    </row>
    <row r="56" spans="1:18" ht="15.75" thickBot="1">
      <c r="A56" s="797" t="s">
        <v>835</v>
      </c>
      <c r="B56" s="810"/>
      <c r="C56" s="706">
        <f ca="1">SUM(C54:C55)</f>
        <v>520.2898309418199</v>
      </c>
      <c r="D56" s="706">
        <f t="shared" ref="D56:Q56" ca="1" si="7">SUM(D54:D55)</f>
        <v>0</v>
      </c>
      <c r="E56" s="706">
        <f t="shared" si="7"/>
        <v>574.68102069600013</v>
      </c>
      <c r="F56" s="706">
        <f t="shared" si="7"/>
        <v>8.0510515829682383</v>
      </c>
      <c r="G56" s="706">
        <f t="shared" si="7"/>
        <v>1342.3363226536928</v>
      </c>
      <c r="H56" s="706">
        <f t="shared" si="7"/>
        <v>0</v>
      </c>
      <c r="I56" s="706">
        <f t="shared" si="7"/>
        <v>0</v>
      </c>
      <c r="J56" s="706">
        <f t="shared" si="7"/>
        <v>0</v>
      </c>
      <c r="K56" s="706">
        <f t="shared" si="7"/>
        <v>70.096262989891855</v>
      </c>
      <c r="L56" s="706">
        <f t="shared" si="7"/>
        <v>0</v>
      </c>
      <c r="M56" s="706">
        <f t="shared" si="7"/>
        <v>0</v>
      </c>
      <c r="N56" s="706">
        <f t="shared" si="7"/>
        <v>0</v>
      </c>
      <c r="O56" s="706">
        <f t="shared" si="7"/>
        <v>0</v>
      </c>
      <c r="P56" s="706">
        <f t="shared" si="7"/>
        <v>0</v>
      </c>
      <c r="Q56" s="707">
        <f t="shared" si="7"/>
        <v>0</v>
      </c>
      <c r="R56" s="708">
        <f ca="1">SUM(R54:R55)</f>
        <v>2515.4544888643732</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20915.477550326432</v>
      </c>
      <c r="D61" s="714">
        <f t="shared" ref="D61:Q61" ca="1" si="8">D46+D52+D56</f>
        <v>1649.9495798319329</v>
      </c>
      <c r="E61" s="714">
        <f t="shared" ca="1" si="8"/>
        <v>44741.231369591216</v>
      </c>
      <c r="F61" s="714">
        <f t="shared" si="8"/>
        <v>4311.6842872027655</v>
      </c>
      <c r="G61" s="714">
        <f t="shared" ca="1" si="8"/>
        <v>27333.20361312844</v>
      </c>
      <c r="H61" s="714">
        <f t="shared" si="8"/>
        <v>45329.249491388633</v>
      </c>
      <c r="I61" s="714">
        <f t="shared" si="8"/>
        <v>8172.0910866947388</v>
      </c>
      <c r="J61" s="714">
        <f t="shared" si="8"/>
        <v>0</v>
      </c>
      <c r="K61" s="714">
        <f t="shared" si="8"/>
        <v>90.326844296396402</v>
      </c>
      <c r="L61" s="714">
        <f t="shared" si="8"/>
        <v>0</v>
      </c>
      <c r="M61" s="714">
        <f t="shared" ca="1" si="8"/>
        <v>0</v>
      </c>
      <c r="N61" s="714">
        <f t="shared" si="8"/>
        <v>0</v>
      </c>
      <c r="O61" s="714">
        <f t="shared" ca="1" si="8"/>
        <v>0</v>
      </c>
      <c r="P61" s="714">
        <f t="shared" si="8"/>
        <v>0</v>
      </c>
      <c r="Q61" s="714">
        <f t="shared" si="8"/>
        <v>0</v>
      </c>
      <c r="R61" s="714">
        <f ca="1">R46+R52+R56</f>
        <v>152543.21382246056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0.1840423142674385</v>
      </c>
      <c r="D63" s="755">
        <f t="shared" ca="1" si="9"/>
        <v>0.23764705882352941</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4056.8579785513411</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15313.995600248065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4860</v>
      </c>
      <c r="D76" s="999">
        <f>'lokale energieproductie'!C8</f>
        <v>5717.6470588235297</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1154.964705882353</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19370.853578799404</v>
      </c>
      <c r="C78" s="729">
        <f>SUM(C72:C77)</f>
        <v>4860</v>
      </c>
      <c r="D78" s="730">
        <f t="shared" ref="D78:H78" si="10">SUM(D76:D77)</f>
        <v>5717.6470588235297</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1154.964705882353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6942.8571428571431</v>
      </c>
      <c r="D87" s="751">
        <f>'lokale energieproductie'!C17</f>
        <v>8168.0672268907565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1649.9495798319329</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6942.8571428571431</v>
      </c>
      <c r="D90" s="729">
        <f t="shared" ref="D90:H90" si="12">SUM(D87:D89)</f>
        <v>8168.0672268907565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1649.9495798319329</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4056.8579785513411</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15313.995600248065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4860</v>
      </c>
      <c r="C8" s="544">
        <f>B49</f>
        <v>5717.6470588235297</v>
      </c>
      <c r="D8" s="1009"/>
      <c r="E8" s="1009">
        <f>E49</f>
        <v>0</v>
      </c>
      <c r="F8" s="1010"/>
      <c r="G8" s="545"/>
      <c r="H8" s="1009">
        <f>I49</f>
        <v>0</v>
      </c>
      <c r="I8" s="1009">
        <f>G49+F49</f>
        <v>0</v>
      </c>
      <c r="J8" s="1009">
        <f>H49+D49+C49</f>
        <v>0</v>
      </c>
      <c r="K8" s="1009"/>
      <c r="L8" s="1009"/>
      <c r="M8" s="1009"/>
      <c r="N8" s="546"/>
      <c r="O8" s="547">
        <f>C8*$C$12+D8*$D$12+E8*$E$12+F8*$F$12+G8*$G$12+H8*$H$12+I8*$I$12+J8*$J$12</f>
        <v>1154.964705882353</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24230.853578799404</v>
      </c>
      <c r="C10" s="557">
        <f t="shared" ref="C10:L10" si="0">SUM(C8:C9)</f>
        <v>5717.6470588235297</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1154.964705882353</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6942.8571428571431</v>
      </c>
      <c r="C17" s="569">
        <f>B50</f>
        <v>8168.0672268907565</v>
      </c>
      <c r="D17" s="570"/>
      <c r="E17" s="570">
        <f>E50</f>
        <v>0</v>
      </c>
      <c r="F17" s="1015"/>
      <c r="G17" s="571"/>
      <c r="H17" s="569">
        <f>I50</f>
        <v>0</v>
      </c>
      <c r="I17" s="570">
        <f>G50+F50</f>
        <v>0</v>
      </c>
      <c r="J17" s="570">
        <f>H50+D50+C50</f>
        <v>0</v>
      </c>
      <c r="K17" s="570"/>
      <c r="L17" s="570"/>
      <c r="M17" s="570"/>
      <c r="N17" s="1016"/>
      <c r="O17" s="572">
        <f>C17*$C$22+E17*$E$22+H17*$H$22+I17*$I$22+J17*$J$22+D17*$D$22+F17*$F$22+G17*$G$22+K17*$K$22+L17*$L$22</f>
        <v>1649.9495798319329</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6942.8571428571431</v>
      </c>
      <c r="C20" s="556">
        <f>SUM(C17:C19)</f>
        <v>8168.0672268907565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1649.9495798319329</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51">
      <c r="A28" s="579"/>
      <c r="B28" s="770">
        <v>73006</v>
      </c>
      <c r="C28" s="770">
        <v>3740</v>
      </c>
      <c r="D28" s="627" t="s">
        <v>896</v>
      </c>
      <c r="E28" s="626" t="s">
        <v>897</v>
      </c>
      <c r="F28" s="626" t="s">
        <v>898</v>
      </c>
      <c r="G28" s="626" t="s">
        <v>899</v>
      </c>
      <c r="H28" s="626" t="s">
        <v>900</v>
      </c>
      <c r="I28" s="626" t="s">
        <v>897</v>
      </c>
      <c r="J28" s="769">
        <v>39794</v>
      </c>
      <c r="K28" s="769">
        <v>39794</v>
      </c>
      <c r="L28" s="626" t="s">
        <v>901</v>
      </c>
      <c r="M28" s="626">
        <v>1030</v>
      </c>
      <c r="N28" s="626">
        <v>4635</v>
      </c>
      <c r="O28" s="626">
        <v>6621.4285714285716</v>
      </c>
      <c r="P28" s="626">
        <v>13242.857142857143</v>
      </c>
      <c r="Q28" s="626">
        <v>0</v>
      </c>
      <c r="R28" s="626">
        <v>0</v>
      </c>
      <c r="S28" s="626">
        <v>0</v>
      </c>
      <c r="T28" s="626">
        <v>0</v>
      </c>
      <c r="U28" s="626">
        <v>0</v>
      </c>
      <c r="V28" s="626">
        <v>0</v>
      </c>
      <c r="W28" s="626">
        <v>0</v>
      </c>
      <c r="X28" s="626">
        <v>400</v>
      </c>
      <c r="Y28" s="626" t="s">
        <v>36</v>
      </c>
      <c r="Z28" s="628" t="s">
        <v>388</v>
      </c>
    </row>
    <row r="29" spans="1:26" s="580" customFormat="1" ht="51">
      <c r="A29" s="579"/>
      <c r="B29" s="770">
        <v>73006</v>
      </c>
      <c r="C29" s="770">
        <v>3740</v>
      </c>
      <c r="D29" s="627"/>
      <c r="E29" s="626"/>
      <c r="F29" s="626" t="s">
        <v>902</v>
      </c>
      <c r="G29" s="626" t="s">
        <v>899</v>
      </c>
      <c r="H29" s="626" t="s">
        <v>900</v>
      </c>
      <c r="I29" s="626" t="s">
        <v>903</v>
      </c>
      <c r="J29" s="769">
        <v>41879</v>
      </c>
      <c r="K29" s="769">
        <v>41807</v>
      </c>
      <c r="L29" s="626" t="s">
        <v>901</v>
      </c>
      <c r="M29" s="626">
        <v>50</v>
      </c>
      <c r="N29" s="626">
        <v>225</v>
      </c>
      <c r="O29" s="626">
        <v>321.42857142857144</v>
      </c>
      <c r="P29" s="626">
        <v>642.85714285714289</v>
      </c>
      <c r="Q29" s="626">
        <v>0</v>
      </c>
      <c r="R29" s="626">
        <v>0</v>
      </c>
      <c r="S29" s="626">
        <v>0</v>
      </c>
      <c r="T29" s="626">
        <v>0</v>
      </c>
      <c r="U29" s="626">
        <v>0</v>
      </c>
      <c r="V29" s="626">
        <v>0</v>
      </c>
      <c r="W29" s="626">
        <v>0</v>
      </c>
      <c r="X29" s="626">
        <v>1501</v>
      </c>
      <c r="Y29" s="626" t="s">
        <v>50</v>
      </c>
      <c r="Z29" s="628" t="s">
        <v>155</v>
      </c>
    </row>
    <row r="30" spans="1:26" s="564" customFormat="1">
      <c r="A30" s="582" t="s">
        <v>279</v>
      </c>
      <c r="B30" s="583"/>
      <c r="C30" s="583"/>
      <c r="D30" s="583"/>
      <c r="E30" s="583"/>
      <c r="F30" s="583"/>
      <c r="G30" s="583"/>
      <c r="H30" s="583"/>
      <c r="I30" s="583"/>
      <c r="J30" s="583"/>
      <c r="K30" s="583"/>
      <c r="L30" s="584"/>
      <c r="M30" s="584">
        <f>SUM(M28:M29)</f>
        <v>1080</v>
      </c>
      <c r="N30" s="584">
        <f>SUM(N28:N29)</f>
        <v>4860</v>
      </c>
      <c r="O30" s="584">
        <f>SUM(O28:O29)</f>
        <v>6942.8571428571431</v>
      </c>
      <c r="P30" s="584">
        <f>SUM(P28:P29)</f>
        <v>13885.714285714286</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1030</v>
      </c>
      <c r="N31" s="584">
        <f>SUMIF($Z$28:$Z$29,"industrie",N28:N29)</f>
        <v>4635</v>
      </c>
      <c r="O31" s="584">
        <f>SUMIF($Z$28:$Z$29,"industrie",O28:O29)</f>
        <v>6621.4285714285716</v>
      </c>
      <c r="P31" s="584">
        <f>SUMIF($Z$28:$Z$29,"industrie",P28:P29)</f>
        <v>13242.857142857143</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50</v>
      </c>
      <c r="N32" s="584">
        <f ca="1">SUMIF($Z$28:AD29,"tertiair",N28:N29)</f>
        <v>225</v>
      </c>
      <c r="O32" s="584">
        <f ca="1">SUMIF($Z$28:AE29,"tertiair",O28:O29)</f>
        <v>321.42857142857144</v>
      </c>
      <c r="P32" s="584">
        <f ca="1">SUMIF($Z$28:AF29,"tertiair",P28:P29)</f>
        <v>642.85714285714289</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0</v>
      </c>
      <c r="N33" s="589">
        <f>SUMIF($Z$28:$Z$29,"landbouw",N28:N29)</f>
        <v>0</v>
      </c>
      <c r="O33" s="589">
        <f>SUMIF($Z$28:$Z$29,"landbouw",O28:O29)</f>
        <v>0</v>
      </c>
      <c r="P33" s="589">
        <f>SUMIF($Z$28:$Z$29,"landbouw",P28:P29)</f>
        <v>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0.58823529411764708</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5717.6470588235297</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8168.0672268907565</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53502.385674124766</v>
      </c>
      <c r="C4" s="451">
        <f>huishoudens!C8</f>
        <v>0</v>
      </c>
      <c r="D4" s="451">
        <f>huishoudens!D8</f>
        <v>82670.080547999998</v>
      </c>
      <c r="E4" s="451">
        <f>huishoudens!E8</f>
        <v>14925.28924145062</v>
      </c>
      <c r="F4" s="451">
        <f>huishoudens!F8</f>
        <v>78432.072744109406</v>
      </c>
      <c r="G4" s="451">
        <f>huishoudens!G8</f>
        <v>0</v>
      </c>
      <c r="H4" s="451">
        <f>huishoudens!H8</f>
        <v>0</v>
      </c>
      <c r="I4" s="451">
        <f>huishoudens!I8</f>
        <v>0</v>
      </c>
      <c r="J4" s="451">
        <f>huishoudens!J8</f>
        <v>0</v>
      </c>
      <c r="K4" s="451">
        <f>huishoudens!K8</f>
        <v>0</v>
      </c>
      <c r="L4" s="451">
        <f>huishoudens!L8</f>
        <v>0</v>
      </c>
      <c r="M4" s="451">
        <f>huishoudens!M8</f>
        <v>0</v>
      </c>
      <c r="N4" s="451">
        <f>huishoudens!N8</f>
        <v>26447.653428117042</v>
      </c>
      <c r="O4" s="451">
        <f>huishoudens!O8</f>
        <v>637.84</v>
      </c>
      <c r="P4" s="452">
        <f>huishoudens!P8</f>
        <v>1773.2</v>
      </c>
      <c r="Q4" s="453">
        <f>SUM(B4:P4)</f>
        <v>258388.52163580182</v>
      </c>
    </row>
    <row r="5" spans="1:17">
      <c r="A5" s="450" t="s">
        <v>155</v>
      </c>
      <c r="B5" s="451">
        <f ca="1">tertiair!B16</f>
        <v>30874.881000000005</v>
      </c>
      <c r="C5" s="451">
        <f ca="1">tertiair!C16</f>
        <v>321.42857142857144</v>
      </c>
      <c r="D5" s="451">
        <f ca="1">tertiair!D16</f>
        <v>26420.586693142861</v>
      </c>
      <c r="E5" s="451">
        <f>tertiair!E16</f>
        <v>565.28461322303008</v>
      </c>
      <c r="F5" s="451">
        <f ca="1">tertiair!F16</f>
        <v>7747.1892624494758</v>
      </c>
      <c r="G5" s="451">
        <f>tertiair!G16</f>
        <v>0</v>
      </c>
      <c r="H5" s="451">
        <f>tertiair!H16</f>
        <v>0</v>
      </c>
      <c r="I5" s="451">
        <f>tertiair!I16</f>
        <v>0</v>
      </c>
      <c r="J5" s="451">
        <f>tertiair!J16</f>
        <v>0</v>
      </c>
      <c r="K5" s="451">
        <f>tertiair!K16</f>
        <v>0</v>
      </c>
      <c r="L5" s="451">
        <f ca="1">tertiair!L16</f>
        <v>0</v>
      </c>
      <c r="M5" s="451">
        <f>tertiair!M16</f>
        <v>0</v>
      </c>
      <c r="N5" s="451">
        <f ca="1">tertiair!N16</f>
        <v>4208.6489043433303</v>
      </c>
      <c r="O5" s="451">
        <f>tertiair!O16</f>
        <v>3.1266666666666669</v>
      </c>
      <c r="P5" s="452">
        <f>tertiair!P16</f>
        <v>19.066666666666666</v>
      </c>
      <c r="Q5" s="450">
        <f t="shared" ref="Q5:Q14" ca="1" si="0">SUM(B5:P5)</f>
        <v>70160.212377920601</v>
      </c>
    </row>
    <row r="6" spans="1:17">
      <c r="A6" s="450" t="s">
        <v>193</v>
      </c>
      <c r="B6" s="451">
        <f>'openbare verlichting'!B8</f>
        <v>1756.6369999999999</v>
      </c>
      <c r="C6" s="451"/>
      <c r="D6" s="451"/>
      <c r="E6" s="451"/>
      <c r="F6" s="451"/>
      <c r="G6" s="451"/>
      <c r="H6" s="451"/>
      <c r="I6" s="451"/>
      <c r="J6" s="451"/>
      <c r="K6" s="451"/>
      <c r="L6" s="451"/>
      <c r="M6" s="451"/>
      <c r="N6" s="451"/>
      <c r="O6" s="451"/>
      <c r="P6" s="452"/>
      <c r="Q6" s="450">
        <f t="shared" si="0"/>
        <v>1756.6369999999999</v>
      </c>
    </row>
    <row r="7" spans="1:17">
      <c r="A7" s="450" t="s">
        <v>111</v>
      </c>
      <c r="B7" s="451">
        <f>landbouw!B8</f>
        <v>1375.4349999999999</v>
      </c>
      <c r="C7" s="451">
        <f>landbouw!C8</f>
        <v>0</v>
      </c>
      <c r="D7" s="451">
        <f>landbouw!D8</f>
        <v>1380.036548</v>
      </c>
      <c r="E7" s="451">
        <f>landbouw!E8</f>
        <v>35.46718759016845</v>
      </c>
      <c r="F7" s="451">
        <f>landbouw!F8</f>
        <v>5027.4768638715086</v>
      </c>
      <c r="G7" s="451">
        <f>landbouw!G8</f>
        <v>0</v>
      </c>
      <c r="H7" s="451">
        <f>landbouw!H8</f>
        <v>0</v>
      </c>
      <c r="I7" s="451">
        <f>landbouw!I8</f>
        <v>0</v>
      </c>
      <c r="J7" s="451">
        <f>landbouw!J8</f>
        <v>198.01204234432728</v>
      </c>
      <c r="K7" s="451">
        <f>landbouw!K8</f>
        <v>0</v>
      </c>
      <c r="L7" s="451">
        <f>landbouw!L8</f>
        <v>0</v>
      </c>
      <c r="M7" s="451">
        <f>landbouw!M8</f>
        <v>0</v>
      </c>
      <c r="N7" s="451">
        <f>landbouw!N8</f>
        <v>0</v>
      </c>
      <c r="O7" s="451">
        <f>landbouw!O8</f>
        <v>0</v>
      </c>
      <c r="P7" s="452">
        <f>landbouw!P8</f>
        <v>0</v>
      </c>
      <c r="Q7" s="450">
        <f t="shared" si="0"/>
        <v>8016.4276418060053</v>
      </c>
    </row>
    <row r="8" spans="1:17">
      <c r="A8" s="450" t="s">
        <v>637</v>
      </c>
      <c r="B8" s="451">
        <f>industrie!B18</f>
        <v>24637.963</v>
      </c>
      <c r="C8" s="451">
        <f>industrie!C18</f>
        <v>6621.4285714285716</v>
      </c>
      <c r="D8" s="451">
        <f>industrie!D18</f>
        <v>109460.03184714286</v>
      </c>
      <c r="E8" s="451">
        <f>industrie!E18</f>
        <v>3022.4562524643602</v>
      </c>
      <c r="F8" s="451">
        <f>industrie!F18</f>
        <v>11164.810242410207</v>
      </c>
      <c r="G8" s="451">
        <f>industrie!G18</f>
        <v>0</v>
      </c>
      <c r="H8" s="451">
        <f>industrie!H18</f>
        <v>0</v>
      </c>
      <c r="I8" s="451">
        <f>industrie!I18</f>
        <v>0</v>
      </c>
      <c r="J8" s="451">
        <f>industrie!J18</f>
        <v>57.148534764137153</v>
      </c>
      <c r="K8" s="451">
        <f>industrie!K18</f>
        <v>0</v>
      </c>
      <c r="L8" s="451">
        <f>industrie!L18</f>
        <v>0</v>
      </c>
      <c r="M8" s="451">
        <f>industrie!M18</f>
        <v>0</v>
      </c>
      <c r="N8" s="451">
        <f>industrie!N18</f>
        <v>1571.5757457490708</v>
      </c>
      <c r="O8" s="451">
        <f>industrie!O18</f>
        <v>0</v>
      </c>
      <c r="P8" s="452">
        <f>industrie!P18</f>
        <v>0</v>
      </c>
      <c r="Q8" s="450">
        <f t="shared" si="0"/>
        <v>156535.41419395921</v>
      </c>
    </row>
    <row r="9" spans="1:17" s="456" customFormat="1">
      <c r="A9" s="454" t="s">
        <v>563</v>
      </c>
      <c r="B9" s="455">
        <f>transport!B14</f>
        <v>46.060173652365108</v>
      </c>
      <c r="C9" s="455">
        <f>transport!C14</f>
        <v>0</v>
      </c>
      <c r="D9" s="455">
        <f>transport!D14</f>
        <v>95.589767631176471</v>
      </c>
      <c r="E9" s="455">
        <f>transport!E14</f>
        <v>445.70661365404885</v>
      </c>
      <c r="F9" s="455">
        <f>transport!F14</f>
        <v>0</v>
      </c>
      <c r="G9" s="455">
        <f>transport!G14</f>
        <v>166980.00945562884</v>
      </c>
      <c r="H9" s="455">
        <f>transport!H14</f>
        <v>32819.642918452766</v>
      </c>
      <c r="I9" s="455">
        <f>transport!I14</f>
        <v>0</v>
      </c>
      <c r="J9" s="455">
        <f>transport!J14</f>
        <v>0</v>
      </c>
      <c r="K9" s="455">
        <f>transport!K14</f>
        <v>0</v>
      </c>
      <c r="L9" s="455">
        <f>transport!L14</f>
        <v>0</v>
      </c>
      <c r="M9" s="455">
        <f>transport!M14</f>
        <v>6236.7867458345108</v>
      </c>
      <c r="N9" s="455">
        <f>transport!N14</f>
        <v>0</v>
      </c>
      <c r="O9" s="455">
        <f>transport!O14</f>
        <v>0</v>
      </c>
      <c r="P9" s="455">
        <f>transport!P14</f>
        <v>0</v>
      </c>
      <c r="Q9" s="454">
        <f>SUM(B9:P9)</f>
        <v>206623.7956748537</v>
      </c>
    </row>
    <row r="10" spans="1:17">
      <c r="A10" s="450" t="s">
        <v>553</v>
      </c>
      <c r="B10" s="451">
        <f>transport!B54</f>
        <v>0</v>
      </c>
      <c r="C10" s="451">
        <f>transport!C54</f>
        <v>0</v>
      </c>
      <c r="D10" s="451">
        <f>transport!D54</f>
        <v>0</v>
      </c>
      <c r="E10" s="451">
        <f>transport!E54</f>
        <v>0</v>
      </c>
      <c r="F10" s="451">
        <f>transport!F54</f>
        <v>0</v>
      </c>
      <c r="G10" s="451">
        <f>transport!G54</f>
        <v>2792.4605495720275</v>
      </c>
      <c r="H10" s="451">
        <f>transport!H54</f>
        <v>0</v>
      </c>
      <c r="I10" s="451">
        <f>transport!I54</f>
        <v>0</v>
      </c>
      <c r="J10" s="451">
        <f>transport!J54</f>
        <v>0</v>
      </c>
      <c r="K10" s="451">
        <f>transport!K54</f>
        <v>0</v>
      </c>
      <c r="L10" s="451">
        <f>transport!L54</f>
        <v>0</v>
      </c>
      <c r="M10" s="451">
        <f>transport!M54</f>
        <v>86.506537998141511</v>
      </c>
      <c r="N10" s="451">
        <f>transport!N54</f>
        <v>0</v>
      </c>
      <c r="O10" s="451">
        <f>transport!O54</f>
        <v>0</v>
      </c>
      <c r="P10" s="452">
        <f>transport!P54</f>
        <v>0</v>
      </c>
      <c r="Q10" s="450">
        <f t="shared" si="0"/>
        <v>2878.967087570169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1451.577</v>
      </c>
      <c r="C14" s="458"/>
      <c r="D14" s="458">
        <f>'SEAP template'!E25</f>
        <v>1464.9190000000001</v>
      </c>
      <c r="E14" s="458"/>
      <c r="F14" s="458"/>
      <c r="G14" s="458"/>
      <c r="H14" s="458"/>
      <c r="I14" s="458"/>
      <c r="J14" s="458"/>
      <c r="K14" s="458"/>
      <c r="L14" s="458"/>
      <c r="M14" s="458"/>
      <c r="N14" s="458"/>
      <c r="O14" s="458"/>
      <c r="P14" s="459"/>
      <c r="Q14" s="450">
        <f t="shared" si="0"/>
        <v>2916.4960000000001</v>
      </c>
    </row>
    <row r="15" spans="1:17" s="460" customFormat="1">
      <c r="A15" s="1004" t="s">
        <v>557</v>
      </c>
      <c r="B15" s="944">
        <f ca="1">SUM(B4:B14)</f>
        <v>113644.93884777714</v>
      </c>
      <c r="C15" s="944">
        <f t="shared" ref="C15:Q15" ca="1" si="1">SUM(C4:C14)</f>
        <v>6942.8571428571431</v>
      </c>
      <c r="D15" s="944">
        <f t="shared" ca="1" si="1"/>
        <v>221491.24440391691</v>
      </c>
      <c r="E15" s="944">
        <f t="shared" si="1"/>
        <v>18994.203908382227</v>
      </c>
      <c r="F15" s="944">
        <f t="shared" ca="1" si="1"/>
        <v>102371.5491128406</v>
      </c>
      <c r="G15" s="944">
        <f t="shared" si="1"/>
        <v>169772.47000520086</v>
      </c>
      <c r="H15" s="944">
        <f t="shared" si="1"/>
        <v>32819.642918452766</v>
      </c>
      <c r="I15" s="944">
        <f t="shared" si="1"/>
        <v>0</v>
      </c>
      <c r="J15" s="944">
        <f t="shared" si="1"/>
        <v>255.16057710846445</v>
      </c>
      <c r="K15" s="944">
        <f t="shared" si="1"/>
        <v>0</v>
      </c>
      <c r="L15" s="944">
        <f t="shared" ca="1" si="1"/>
        <v>0</v>
      </c>
      <c r="M15" s="944">
        <f t="shared" si="1"/>
        <v>6323.2932838326524</v>
      </c>
      <c r="N15" s="944">
        <f t="shared" ca="1" si="1"/>
        <v>32227.87807820944</v>
      </c>
      <c r="O15" s="944">
        <f t="shared" si="1"/>
        <v>640.9666666666667</v>
      </c>
      <c r="P15" s="944">
        <f t="shared" si="1"/>
        <v>1792.2666666666667</v>
      </c>
      <c r="Q15" s="944">
        <f t="shared" ca="1" si="1"/>
        <v>707276.47161191143</v>
      </c>
    </row>
    <row r="17" spans="1:17">
      <c r="A17" s="461" t="s">
        <v>558</v>
      </c>
      <c r="B17" s="760">
        <f ca="1">huishoudens!B10</f>
        <v>0.18404231426743853</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9846.702878294971</v>
      </c>
      <c r="C22" s="451">
        <f t="shared" ref="C22:C32" ca="1" si="3">C4*$C$17</f>
        <v>0</v>
      </c>
      <c r="D22" s="451">
        <f t="shared" ref="D22:D32" si="4">D4*$D$17</f>
        <v>16699.356270696</v>
      </c>
      <c r="E22" s="451">
        <f t="shared" ref="E22:E32" si="5">E4*$E$17</f>
        <v>3388.0406578092911</v>
      </c>
      <c r="F22" s="451">
        <f t="shared" ref="F22:F32" si="6">F4*$F$17</f>
        <v>20941.363422677212</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50875.463229477478</v>
      </c>
    </row>
    <row r="23" spans="1:17">
      <c r="A23" s="450" t="s">
        <v>155</v>
      </c>
      <c r="B23" s="451">
        <f t="shared" ca="1" si="2"/>
        <v>5682.2845519717675</v>
      </c>
      <c r="C23" s="451">
        <f t="shared" ca="1" si="3"/>
        <v>76.386554621848745</v>
      </c>
      <c r="D23" s="451">
        <f t="shared" ca="1" si="4"/>
        <v>5336.9585120148586</v>
      </c>
      <c r="E23" s="451">
        <f t="shared" si="5"/>
        <v>128.31960720162783</v>
      </c>
      <c r="F23" s="451">
        <f t="shared" ca="1" si="6"/>
        <v>2068.4995330740103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13292.448758884111</v>
      </c>
    </row>
    <row r="24" spans="1:17">
      <c r="A24" s="450" t="s">
        <v>193</v>
      </c>
      <c r="B24" s="451">
        <f t="shared" ca="1" si="2"/>
        <v>323.29553880781043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323.29553880781043</v>
      </c>
    </row>
    <row r="25" spans="1:17">
      <c r="A25" s="450" t="s">
        <v>111</v>
      </c>
      <c r="B25" s="451">
        <f t="shared" ca="1" si="2"/>
        <v>253.13824052443431</v>
      </c>
      <c r="C25" s="451">
        <f t="shared" ca="1" si="3"/>
        <v>0</v>
      </c>
      <c r="D25" s="451">
        <f t="shared" si="4"/>
        <v>278.76738269600003</v>
      </c>
      <c r="E25" s="451">
        <f t="shared" si="5"/>
        <v>8.0510515829682383</v>
      </c>
      <c r="F25" s="451">
        <f t="shared" si="6"/>
        <v>1342.3363226536928</v>
      </c>
      <c r="G25" s="451">
        <f t="shared" si="7"/>
        <v>0</v>
      </c>
      <c r="H25" s="451">
        <f t="shared" si="8"/>
        <v>0</v>
      </c>
      <c r="I25" s="451">
        <f t="shared" si="9"/>
        <v>0</v>
      </c>
      <c r="J25" s="451">
        <f t="shared" si="10"/>
        <v>70.096262989891855</v>
      </c>
      <c r="K25" s="451">
        <f t="shared" si="11"/>
        <v>0</v>
      </c>
      <c r="L25" s="451">
        <f t="shared" si="12"/>
        <v>0</v>
      </c>
      <c r="M25" s="451">
        <f t="shared" si="13"/>
        <v>0</v>
      </c>
      <c r="N25" s="451">
        <f t="shared" si="14"/>
        <v>0</v>
      </c>
      <c r="O25" s="451">
        <f t="shared" si="15"/>
        <v>0</v>
      </c>
      <c r="P25" s="452">
        <f t="shared" si="16"/>
        <v>0</v>
      </c>
      <c r="Q25" s="450">
        <f t="shared" ca="1" si="17"/>
        <v>1952.3892604469872</v>
      </c>
    </row>
    <row r="26" spans="1:17">
      <c r="A26" s="450" t="s">
        <v>637</v>
      </c>
      <c r="B26" s="451">
        <f t="shared" ca="1" si="2"/>
        <v>4534.4277293555224</v>
      </c>
      <c r="C26" s="451">
        <f t="shared" ca="1" si="3"/>
        <v>1573.5630252100841</v>
      </c>
      <c r="D26" s="451">
        <f t="shared" si="4"/>
        <v>22110.926433122859</v>
      </c>
      <c r="E26" s="451">
        <f t="shared" si="5"/>
        <v>686.09756930940978</v>
      </c>
      <c r="F26" s="451">
        <f t="shared" si="6"/>
        <v>2981.0043347235255</v>
      </c>
      <c r="G26" s="451">
        <f t="shared" si="7"/>
        <v>0</v>
      </c>
      <c r="H26" s="451">
        <f t="shared" si="8"/>
        <v>0</v>
      </c>
      <c r="I26" s="451">
        <f t="shared" si="9"/>
        <v>0</v>
      </c>
      <c r="J26" s="451">
        <f t="shared" si="10"/>
        <v>20.230581306504551</v>
      </c>
      <c r="K26" s="451">
        <f t="shared" si="11"/>
        <v>0</v>
      </c>
      <c r="L26" s="451">
        <f t="shared" si="12"/>
        <v>0</v>
      </c>
      <c r="M26" s="451">
        <f t="shared" si="13"/>
        <v>0</v>
      </c>
      <c r="N26" s="451">
        <f t="shared" si="14"/>
        <v>0</v>
      </c>
      <c r="O26" s="451">
        <f t="shared" si="15"/>
        <v>0</v>
      </c>
      <c r="P26" s="452">
        <f t="shared" si="16"/>
        <v>0</v>
      </c>
      <c r="Q26" s="450">
        <f t="shared" ca="1" si="17"/>
        <v>31906.249673027905</v>
      </c>
    </row>
    <row r="27" spans="1:17" s="456" customFormat="1">
      <c r="A27" s="454" t="s">
        <v>563</v>
      </c>
      <c r="B27" s="754">
        <f t="shared" ca="1" si="2"/>
        <v>8.4770209545413717</v>
      </c>
      <c r="C27" s="455">
        <f t="shared" ca="1" si="3"/>
        <v>0</v>
      </c>
      <c r="D27" s="455">
        <f t="shared" si="4"/>
        <v>19.309133061497647</v>
      </c>
      <c r="E27" s="455">
        <f t="shared" si="5"/>
        <v>101.17540129946909</v>
      </c>
      <c r="F27" s="455">
        <f t="shared" si="6"/>
        <v>0</v>
      </c>
      <c r="G27" s="455">
        <f t="shared" si="7"/>
        <v>44583.6625246529</v>
      </c>
      <c r="H27" s="455">
        <f t="shared" si="8"/>
        <v>8172.0910866947388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52884.715166663147</v>
      </c>
    </row>
    <row r="28" spans="1:17">
      <c r="A28" s="450" t="s">
        <v>553</v>
      </c>
      <c r="B28" s="451">
        <f t="shared" ca="1" si="2"/>
        <v>0</v>
      </c>
      <c r="C28" s="451">
        <f t="shared" ca="1" si="3"/>
        <v>0</v>
      </c>
      <c r="D28" s="451">
        <f t="shared" si="4"/>
        <v>0</v>
      </c>
      <c r="E28" s="451">
        <f t="shared" si="5"/>
        <v>0</v>
      </c>
      <c r="F28" s="451">
        <f t="shared" si="6"/>
        <v>0</v>
      </c>
      <c r="G28" s="451">
        <f t="shared" si="7"/>
        <v>745.58696673573138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745.58696673573138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267.15159041738559</v>
      </c>
      <c r="C32" s="451">
        <f t="shared" ca="1" si="3"/>
        <v>0</v>
      </c>
      <c r="D32" s="451">
        <f t="shared" si="4"/>
        <v>295.91363800000005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563.0652284173857</v>
      </c>
    </row>
    <row r="33" spans="1:17" s="460" customFormat="1">
      <c r="A33" s="1004" t="s">
        <v>557</v>
      </c>
      <c r="B33" s="944">
        <f ca="1">SUM(B22:B32)</f>
        <v>20915.477550326435</v>
      </c>
      <c r="C33" s="944">
        <f t="shared" ref="C33:Q33" ca="1" si="18">SUM(C22:C32)</f>
        <v>1649.9495798319329</v>
      </c>
      <c r="D33" s="944">
        <f t="shared" ca="1" si="18"/>
        <v>44741.231369591216</v>
      </c>
      <c r="E33" s="944">
        <f t="shared" si="18"/>
        <v>4311.6842872027655</v>
      </c>
      <c r="F33" s="944">
        <f t="shared" ca="1" si="18"/>
        <v>27333.20361312844</v>
      </c>
      <c r="G33" s="944">
        <f t="shared" si="18"/>
        <v>45329.249491388633</v>
      </c>
      <c r="H33" s="944">
        <f t="shared" si="18"/>
        <v>8172.0910866947388</v>
      </c>
      <c r="I33" s="944">
        <f t="shared" si="18"/>
        <v>0</v>
      </c>
      <c r="J33" s="944">
        <f t="shared" si="18"/>
        <v>90.326844296396402</v>
      </c>
      <c r="K33" s="944">
        <f t="shared" si="18"/>
        <v>0</v>
      </c>
      <c r="L33" s="944">
        <f t="shared" ca="1" si="18"/>
        <v>0</v>
      </c>
      <c r="M33" s="944">
        <f t="shared" si="18"/>
        <v>0</v>
      </c>
      <c r="N33" s="944">
        <f t="shared" ca="1" si="18"/>
        <v>0</v>
      </c>
      <c r="O33" s="944">
        <f t="shared" si="18"/>
        <v>0</v>
      </c>
      <c r="P33" s="944">
        <f t="shared" si="18"/>
        <v>0</v>
      </c>
      <c r="Q33" s="944">
        <f t="shared" ca="1" si="18"/>
        <v>152543.21382246056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4056.8579785513411</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15313.995600248065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4860</v>
      </c>
      <c r="D8" s="1021">
        <f>'SEAP template'!D76</f>
        <v>5717.6470588235297</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1154.964705882353</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19370.853578799404</v>
      </c>
      <c r="C10" s="1025">
        <f>SUM(C4:C9)</f>
        <v>4860</v>
      </c>
      <c r="D10" s="1025">
        <f t="shared" ref="D10:H10" si="0">SUM(D8:D9)</f>
        <v>5717.6470588235297</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1154.964705882353</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0.18404231426743853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6942.8571428571431</v>
      </c>
      <c r="D17" s="1022">
        <f>'SEAP template'!D87</f>
        <v>8168.0672268907565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1649.9495798319329</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6942.8571428571431</v>
      </c>
      <c r="D20" s="1025">
        <f t="shared" ref="D20:H20" si="2">SUM(D17:D19)</f>
        <v>8168.0672268907565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1649.9495798319329</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0.18404231426743853</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2020-06-20T16:00:25Z</dcterms:modified>
</cp:coreProperties>
</file>