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D6" i="17" s="1"/>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6" i="18"/>
  <c r="D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D49" i="18"/>
  <c r="B49" i="18"/>
  <c r="C8" i="18" s="1"/>
  <c r="D76" i="14" s="1"/>
  <c r="D8" i="59" s="1"/>
  <c r="D10" i="59" s="1"/>
  <c r="I50" i="18"/>
  <c r="H17" i="18" s="1"/>
  <c r="H20" i="18" s="1"/>
  <c r="F50" i="18"/>
  <c r="C50" i="18"/>
  <c r="J17" i="18" s="1"/>
  <c r="G50" i="18"/>
  <c r="I17" i="18"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C10" i="18"/>
  <c r="J8" i="18"/>
  <c r="F87" i="14"/>
  <c r="E20" i="18"/>
  <c r="E10" i="18"/>
  <c r="M76" i="14"/>
  <c r="H10" i="18"/>
  <c r="K33" i="48"/>
  <c r="H14" i="15"/>
  <c r="H16" i="15" s="1"/>
  <c r="G14" i="15"/>
  <c r="G16" i="15" s="1"/>
  <c r="I8" i="18" l="1"/>
  <c r="M87" i="14"/>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63" i="14" s="1"/>
  <c r="J8" i="48"/>
  <c r="K13" i="14"/>
  <c r="K16" i="14" s="1"/>
  <c r="K27" i="14" s="1"/>
  <c r="E23" i="48"/>
  <c r="E33" i="48" s="1"/>
  <c r="F13" i="14"/>
  <c r="F16" i="14" s="1"/>
  <c r="F27" i="14" s="1"/>
  <c r="E8" i="48"/>
  <c r="E26" i="48" s="1"/>
  <c r="E22" i="16"/>
  <c r="F43" i="14" s="1"/>
  <c r="F46" i="14" s="1"/>
  <c r="F61" i="14" s="1"/>
  <c r="F63" i="14" s="1"/>
  <c r="G33" i="48"/>
  <c r="N8" i="48"/>
  <c r="N26" i="48" s="1"/>
  <c r="O13" i="14"/>
  <c r="N22" i="16"/>
  <c r="O43" i="14" s="1"/>
  <c r="G13" i="14"/>
  <c r="F8" i="48"/>
  <c r="J26" i="48" l="1"/>
  <c r="J33" i="48" s="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<sst xmlns="http://schemas.openxmlformats.org/spreadsheetml/2006/main" count="2434" uniqueCount="911">
  <si>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</si>
  <si>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</si>
  <si>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</si>
  <si>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</si>
  <si>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</si>
  <si>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</si>
  <si>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</si>
  <si>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</si>
  <si>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</si>
  <si>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</si>
  <si>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</si>
  <si>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</si>
  <si>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</si>
  <si>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</si>
  <si>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</si>
  <si>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</si>
  <si>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</si>
  <si>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</si>
  <si>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</si>
  <si>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</si>
  <si>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</si>
  <si>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</si>
  <si>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</si>
  <si>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</si>
  <si>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</si>
  <si>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</si>
  <si>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</si>
  <si>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</si>
  <si>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</si>
  <si>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</si>
  <si>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</si>
  <si>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</si>
  <si>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</si>
  <si>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</si>
  <si>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</si>
  <si>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</si>
  <si>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</si>
  <si>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</si>
  <si>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</si>
  <si>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</si>
  <si>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</si>
  <si>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</si>
  <si>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</si>
  <si>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</si>
  <si>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</si>
  <si>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</si>
  <si>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</si>
  <si>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</si>
  <si>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</si>
  <si>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</si>
  <si>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</si>
  <si>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</si>
  <si>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</si>
  <si>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</si>
  <si>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</si>
  <si>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</si>
  <si>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</si>
  <si>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</si>
  <si>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</si>
  <si>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</si>
  <si>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</si>
  <si>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</si>
  <si>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</si>
  <si>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</si>
  <si>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</si>
  <si>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</si>
  <si>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</si>
  <si>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</si>
  <si>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</si>
  <si>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</si>
  <si>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</si>
  <si>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</si>
  <si>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</si>
  <si>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</si>
  <si>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</si>
  <si>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</si>
  <si>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</si>
  <si>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</si>
  <si>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</si>
  <si>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</si>
  <si>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</si>
  <si>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</si>
  <si>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</si>
  <si>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</si>
  <si>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</si>
  <si>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</si>
  <si>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</si>
  <si>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</si>
  <si>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</si>
  <si>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</si>
  <si>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</si>
  <si>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</si>
  <si>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</si>
  <si>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</si>
  <si>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</si>
  <si>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</si>
  <si>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</si>
  <si>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</si>
  <si>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</si>
  <si>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</si>
  <si>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</si>
  <si>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</si>
  <si>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</si>
  <si>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</si>
  <si>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</si>
  <si>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</si>
  <si>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</si>
  <si>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</si>
  <si>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</si>
  <si>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</si>
  <si>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</si>
  <si>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</si>
  <si>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</si>
  <si>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</si>
  <si>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</si>
  <si>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</si>
  <si>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</si>
  <si>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</si>
  <si>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</si>
  <si>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</si>
  <si>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</si>
  <si>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</si>
  <si>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</si>
  <si>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</si>
  <si>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</si>
  <si>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</si>
  <si>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</si>
  <si>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</si>
  <si>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</si>
  <si>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</si>
  <si>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</si>
  <si>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</si>
  <si>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</si>
  <si>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</si>
  <si>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</si>
  <si>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</si>
  <si>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</si>
  <si>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</si>
  <si>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</si>
  <si>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</si>
  <si>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</si>
  <si>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</si>
  <si>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</si>
  <si>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</si>
  <si>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</si>
  <si>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</si>
  <si>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</si>
  <si>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</si>
  <si>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</si>
  <si>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</si>
  <si>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</si>
  <si>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</si>
  <si>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</si>
  <si>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</si>
  <si>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</si>
  <si>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</si>
  <si>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</si>
  <si>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</si>
  <si>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</si>
  <si>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</si>
  <si>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</si>
  <si>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</si>
  <si>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</si>
  <si>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</si>
  <si>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</si>
  <si>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</si>
  <si>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</si>
  <si>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</si>
  <si>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</si>
  <si>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</si>
  <si>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</si>
  <si>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</si>
  <si>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</si>
  <si>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</si>
  <si>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</si>
  <si>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</si>
  <si>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</si>
  <si>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</si>
  <si>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</si>
  <si>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</si>
  <si>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</si>
  <si>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</si>
  <si>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</si>
  <si>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</si>
  <si>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</si>
  <si>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</si>
  <si>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</si>
  <si>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</si>
  <si>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</si>
  <si>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</si>
  <si>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</si>
  <si>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</si>
  <si>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</si>
  <si>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</si>
  <si>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</si>
  <si>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</si>
  <si>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</si>
  <si>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</si>
  <si>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</si>
  <si>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</si>
  <si>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</si>
  <si>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</si>
  <si>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</si>
  <si>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</si>
  <si>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</si>
  <si>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</si>
  <si>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</si>
  <si>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</si>
  <si>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</si>
  <si>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</si>
  <si>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</si>
  <si>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</si>
  <si>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</si>
  <si>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</si>
  <si>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</si>
  <si>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</si>
  <si>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</si>
  <si>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</si>
  <si>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</si>
  <si>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</si>
  <si>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</si>
  <si>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</si>
  <si>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</si>
  <si>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</si>
  <si>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</si>
  <si>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</si>
  <si>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</si>
  <si>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</si>
  <si>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</si>
  <si>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</si>
  <si>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</si>
  <si>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</si>
  <si>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</si>
  <si>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</si>
  <si>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</si>
  <si>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</si>
  <si>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</si>
  <si>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</si>
  <si>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</si>
  <si>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</si>
  <si>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</si>
  <si>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</si>
  <si>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</si>
  <si>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</si>
  <si>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</si>
  <si>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</si>
  <si>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</si>
  <si>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</si>
  <si>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</si>
  <si>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</si>
  <si>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</si>
  <si>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</si>
  <si>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</si>
  <si>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</si>
  <si>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</si>
  <si>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</si>
  <si>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</si>
  <si>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</si>
  <si>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</si>
  <si>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</si>
  <si>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</si>
  <si>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</si>
  <si>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</si>
  <si>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</si>
  <si>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</si>
  <si>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</si>
  <si>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</si>
  <si>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</si>
  <si>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</si>
  <si>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</si>
  <si>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</si>
  <si>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</si>
  <si>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</si>
  <si>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</si>
  <si>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</si>
  <si>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</si>
  <si>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</si>
  <si>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</si>
  <si>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</si>
  <si>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</si>
  <si>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</si>
  <si>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</si>
  <si>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</si>
  <si>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</si>
  <si>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</si>
  <si>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</si>
  <si>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</si>
  <si>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</si>
  <si>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</si>
  <si>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</si>
  <si>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</si>
  <si>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</si>
  <si>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</si>
  <si>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</si>
  <si>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</si>
  <si>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</si>
  <si>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</si>
  <si>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</si>
  <si>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</si>
  <si>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</si>
  <si>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</si>
  <si>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</si>
  <si>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</si>
  <si>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</si>
  <si>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</si>
  <si>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</si>
  <si>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</si>
  <si>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</si>
  <si>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</si>
  <si>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</si>
  <si>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</si>
  <si>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</si>
  <si>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</si>
  <si>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</si>
  <si>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</si>
  <si>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</si>
  <si>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</si>
  <si>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</si>
  <si>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</si>
  <si>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</si>
  <si>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</si>
  <si>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</si>
  <si>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</si>
  <si>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</si>
  <si>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</si>
  <si>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</si>
  <si>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</si>
  <si>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</si>
  <si>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</si>
  <si>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</si>
  <si>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</si>
  <si>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</si>
  <si>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</si>
  <si>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</si>
  <si>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</si>
  <si>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</si>
  <si>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</si>
  <si>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</si>
  <si>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</si>
  <si>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</si>
  <si>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</si>
  <si>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</si>
  <si>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</si>
  <si>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</si>
  <si>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</si>
  <si>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</si>
  <si>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</si>
  <si>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</si>
  <si>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</si>
  <si>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</si>
  <si>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</si>
  <si>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</si>
  <si>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</si>
  <si>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</si>
  <si>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</si>
  <si>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</si>
  <si>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</si>
  <si>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</si>
  <si>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</si>
  <si>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</si>
  <si>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</si>
  <si>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</si>
  <si>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</si>
  <si>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</si>
  <si>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</si>
  <si>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</si>
  <si>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</si>
  <si>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</si>
  <si>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</si>
  <si>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</si>
  <si>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</si>
  <si>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</si>
  <si>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</si>
  <si>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</si>
  <si>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</si>
  <si>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</si>
  <si>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</si>
  <si>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</si>
  <si>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</si>
  <si>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</si>
  <si>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</si>
  <si>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</si>
  <si>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</si>
  <si>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</si>
  <si>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</si>
  <si>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</si>
  <si>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</si>
  <si>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</si>
  <si>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</si>
  <si>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</si>
  <si>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</si>
  <si>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</si>
  <si>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</si>
  <si>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</si>
  <si>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</si>
  <si>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</si>
  <si>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</si>
  <si>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</si>
  <si>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</si>
  <si>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</si>
  <si>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</si>
  <si>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</si>
  <si>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</si>
  <si>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</si>
  <si>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</si>
  <si>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</si>
  <si>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</si>
  <si>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</si>
  <si>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</si>
  <si>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</si>
  <si>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</si>
  <si>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</si>
  <si>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</si>
  <si>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</si>
  <si>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</si>
  <si>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</si>
  <si>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</si>
  <si>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</si>
  <si>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</si>
  <si>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</si>
  <si>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</si>
  <si>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</si>
  <si>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</si>
  <si>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</si>
  <si>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</si>
  <si>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</si>
  <si>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</si>
  <si>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</si>
  <si>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</si>
  <si>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</si>
  <si>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</si>
  <si>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</si>
  <si>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</si>
  <si>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</si>
  <si>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</si>
  <si>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</si>
  <si>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</si>
  <si>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</si>
  <si>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</si>
  <si>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</si>
  <si>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</si>
  <si>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</si>
  <si>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</si>
  <si>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</si>
  <si>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</si>
  <si>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</si>
  <si>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</si>
  <si>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</si>
  <si>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</si>
  <si>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</si>
  <si>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</si>
  <si>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</si>
  <si>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</si>
  <si>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</si>
  <si>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</si>
  <si>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</si>
  <si>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</si>
  <si>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</si>
  <si>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</si>
  <si>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</si>
  <si>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</si>
  <si>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</si>
  <si>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</si>
  <si>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</si>
  <si>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</si>
  <si>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</si>
  <si>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</si>
  <si>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</si>
  <si>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</si>
  <si>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</si>
  <si>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</si>
  <si>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</si>
  <si>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</si>
  <si>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</si>
  <si>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</si>
  <si>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</si>
  <si>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</si>
  <si>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</si>
  <si>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</si>
  <si>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</si>
  <si>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</si>
  <si>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</si>
  <si>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</si>
  <si>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</si>
  <si>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</si>
  <si>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</si>
  <si>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</si>
  <si>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</si>
  <si>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</si>
  <si>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</si>
  <si>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</si>
  <si>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</si>
  <si>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</si>
  <si>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</si>
  <si>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</si>
  <si>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</si>
  <si>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</si>
  <si>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</si>
  <si>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</si>
  <si>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</si>
  <si>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</si>
  <si>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</si>
  <si>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</si>
  <si>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</si>
  <si>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</si>
  <si>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</si>
  <si>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</si>
  <si>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</si>
  <si>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</si>
  <si>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</si>
  <si>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</si>
  <si>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</si>
  <si>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</si>
  <si>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</si>
  <si>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</si>
  <si>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</si>
  <si>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</si>
  <si>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</si>
  <si>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</si>
  <si>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</si>
  <si>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</si>
  <si>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</si>
  <si>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</si>
  <si>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</si>
  <si>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</si>
  <si>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</si>
  <si>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</si>
  <si>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</si>
  <si>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</si>
  <si>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</si>
  <si>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</si>
  <si>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</si>
  <si>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</si>
  <si>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</si>
  <si>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</si>
  <si>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</si>
  <si>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</si>
  <si>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</si>
  <si>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</si>
  <si>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</si>
  <si>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</si>
  <si>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</si>
  <si>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</si>
  <si>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</si>
  <si>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</si>
  <si>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</si>
  <si>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</si>
  <si>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</si>
  <si>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</si>
  <si>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</si>
  <si>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</si>
  <si>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</si>
  <si>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</si>
  <si>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</si>
  <si>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</si>
  <si>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</si>
  <si>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</si>
  <si>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</si>
  <si>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</si>
  <si>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</si>
  <si>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</si>
  <si>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</si>
  <si>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</si>
  <si>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</si>
  <si>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</si>
  <si>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</si>
  <si>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</si>
  <si>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</si>
  <si>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</si>
  <si>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</si>
  <si>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</si>
  <si>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</si>
  <si>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</si>
  <si>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</si>
  <si>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</si>
  <si>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</si>
  <si>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</si>
  <si>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</si>
  <si>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</si>
  <si>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</si>
  <si>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</si>
  <si>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</si>
  <si>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</si>
  <si>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</si>
  <si>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</si>
  <si>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</si>
  <si>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</si>
  <si>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</si>
  <si>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</si>
  <si>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</si>
  <si>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</si>
  <si>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</si>
  <si>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</si>
  <si>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</si>
  <si>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</si>
  <si>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</si>
  <si>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</si>
  <si>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</si>
  <si>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</si>
  <si>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</si>
  <si>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</si>
  <si>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</si>
  <si>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</si>
  <si>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</si>
  <si>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</si>
  <si>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</si>
  <si>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</si>
  <si>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</si>
  <si>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</si>
  <si>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</si>
  <si>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</si>
  <si>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</si>
  <si>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</si>
  <si>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</si>
  <si>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</si>
  <si>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</si>
  <si>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</si>
  <si>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</si>
  <si>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</si>
  <si>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</si>
  <si>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</si>
  <si>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</si>
  <si>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</si>
  <si>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</si>
  <si>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</si>
  <si>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</si>
  <si>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</si>
  <si>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</si>
  <si>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</si>
  <si>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</si>
  <si>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</si>
  <si>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</si>
  <si>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</si>
  <si>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</si>
  <si>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</si>
  <si>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</si>
  <si>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</si>
  <si>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</si>
  <si>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</si>
  <si>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</si>
  <si>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</si>
  <si>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</si>
  <si>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</si>
  <si>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</si>
  <si>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</si>
  <si>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</si>
  <si>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</si>
  <si>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</si>
  <si>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</si>
  <si>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</si>
  <si>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</si>
  <si>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</si>
  <si>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</si>
  <si>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</si>
  <si>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</si>
  <si>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</si>
  <si>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</si>
  <si>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</si>
  <si>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</si>
  <si>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</si>
  <si>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</si>
  <si>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</si>
  <si>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</si>
  <si>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</si>
  <si>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</si>
  <si>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</si>
  <si>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</si>
  <si>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</si>
  <si>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</si>
  <si>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</si>
  <si>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</si>
  <si>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</si>
  <si>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</si>
  <si>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</si>
  <si>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</si>
  <si>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</si>
  <si>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</si>
  <si>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</si>
  <si>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</si>
  <si>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</si>
  <si>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</si>
  <si>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</si>
  <si>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</si>
  <si>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</si>
  <si>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</si>
  <si>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</si>
  <si>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</si>
  <si>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</si>
  <si>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</si>
  <si>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</si>
  <si>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</si>
  <si>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</si>
  <si>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</si>
  <si>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</si>
  <si>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</si>
  <si>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</si>
  <si>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</si>
  <si>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</si>
  <si>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</si>
  <si>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</si>
  <si>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</si>
  <si>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</si>
  <si>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</si>
  <si>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</si>
  <si>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</si>
  <si>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</si>
  <si>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</si>
  <si>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</si>
  <si>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</si>
  <si>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</si>
  <si>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</si>
  <si>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</si>
  <si>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</si>
  <si>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</si>
  <si>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</si>
  <si>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</si>
  <si>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</si>
  <si>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</si>
  <si>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</si>
  <si>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</si>
  <si>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</si>
  <si>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</si>
  <si>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</si>
  <si>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</si>
  <si>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</si>
  <si>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</si>
  <si>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</si>
  <si>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</si>
  <si>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</si>
  <si>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</si>
  <si>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</si>
  <si>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</si>
  <si>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</si>
  <si>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</si>
  <si>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</si>
  <si>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</si>
  <si>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</si>
  <si>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</si>
  <si>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</si>
  <si>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</si>
  <si>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</si>
  <si>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</si>
  <si>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</si>
  <si>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</si>
  <si>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</si>
  <si>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</si>
  <si>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</si>
  <si>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</si>
  <si>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</si>
  <si>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</si>
  <si>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</si>
  <si>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</si>
  <si>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</si>
  <si>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</si>
  <si>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</si>
  <si>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</si>
  <si>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</si>
  <si>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</si>
  <si>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</si>
  <si>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</si>
  <si>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</si>
  <si>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</si>
  <si>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</si>
  <si>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</si>
  <si>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</si>
  <si>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</si>
  <si>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</si>
  <si>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</si>
  <si>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</si>
  <si>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</si>
  <si>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</si>
  <si>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</si>
  <si>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</si>
  <si>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</si>
  <si>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</si>
  <si>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</si>
  <si>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</si>
  <si>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</si>
  <si>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</si>
  <si>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</si>
  <si>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</si>
  <si>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</si>
  <si>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</si>
  <si>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</si>
  <si>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</si>
  <si>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</si>
  <si>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</si>
  <si>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</si>
  <si>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</si>
  <si>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</si>
  <si>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</si>
  <si>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</si>
  <si>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</si>
  <si>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</si>
  <si>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</si>
  <si>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</si>
  <si>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</si>
  <si>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</si>
  <si>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</si>
  <si>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</si>
  <si>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</si>
  <si>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</si>
  <si>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</si>
  <si>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</si>
  <si>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</si>
  <si>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</si>
  <si>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</si>
  <si>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</si>
  <si>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</si>
  <si>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</si>
  <si>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</si>
  <si>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</si>
  <si>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</si>
  <si>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</si>
  <si>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</si>
  <si>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</si>
  <si>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</si>
  <si>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</si>
  <si>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</si>
  <si>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</si>
  <si>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</si>
  <si>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</si>
  <si>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</si>
  <si>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</si>
  <si>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</si>
  <si>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</si>
  <si>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</si>
  <si>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</si>
  <si>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</si>
  <si>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</si>
  <si>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</si>
  <si>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</si>
  <si>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</si>
  <si>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</si>
  <si>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</si>
  <si>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</si>
  <si>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</si>
  <si>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</si>
  <si>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</si>
  <si>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</si>
  <si>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</si>
  <si>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</si>
  <si>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</si>
  <si>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</si>
  <si>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</si>
  <si>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</si>
  <si>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</si>
  <si>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</si>
  <si>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</si>
  <si>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</si>
  <si>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</si>
  <si>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</si>
  <si>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</si>
  <si>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</si>
  <si>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</si>
  <si>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</si>
  <si>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</si>
  <si>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</si>
  <si>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</si>
  <si>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</si>
  <si>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</si>
  <si>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</si>
  <si>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</si>
  <si>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</si>
  <si>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</si>
  <si>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</si>
  <si>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</si>
  <si>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</si>
  <si>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</si>
  <si>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</si>
  <si>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</si>
  <si>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</si>
  <si>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</si>
  <si>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</si>
  <si>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</si>
  <si>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</si>
  <si>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</si>
  <si>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</si>
  <si>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</si>
  <si>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</si>
  <si>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</si>
  <si>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</si>
  <si>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</si>
  <si>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</si>
  <si>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</si>
  <si>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</si>
  <si>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</si>
  <si>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</si>
  <si>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</si>
  <si>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</si>
  <si>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72039</t>
  </si>
  <si>
    <t>HOUTHALEN-HELCHTEREN</t>
  </si>
  <si>
    <t>Paarden&amp;pony's 200 - 600 kg</t>
  </si>
  <si>
    <t>Paarden&amp;pony's &lt; 200 kg</t>
  </si>
  <si>
    <t>Fluvius</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</si>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</sst>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247037.05893084724</c:v>
                </c:pt>
                <c:pt idx="1">
                  <c:v>121338.05112779446</c:v>
                </c:pt>
                <c:pt idx="2">
                  <c:v>1630.0340000000001</c:v>
                </c:pt>
                <c:pt idx="3">
                  <c:v>21512.649071419561</c:v>
                </c:pt>
                <c:pt idx="4">
                  <c:v>70919.184730005698</c:v>
                </c:pt>
                <c:pt idx="5">
                  <c:v>222520.25799120287</c:v>
                </c:pt>
                <c:pt idx="6">
                  <c:v>4025.0591169504346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247037.05893084724</c:v>
                </c:pt>
                <c:pt idx="1">
                  <c:v>121338.05112779446</c:v>
                </c:pt>
                <c:pt idx="2">
                  <c:v>1630.0340000000001</c:v>
                </c:pt>
                <c:pt idx="3">
                  <c:v>21512.649071419561</c:v>
                </c:pt>
                <c:pt idx="4">
                  <c:v>70919.184730005698</c:v>
                </c:pt>
                <c:pt idx="5">
                  <c:v>222520.25799120287</c:v>
                </c:pt>
                <c:pt idx="6">
                  <c:v>4025.0591169504346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46664.093666276298</c:v>
                </c:pt>
                <c:pt idx="2">
                  <c:v>22235.3814758718</c:v>
                </c:pt>
                <c:pt idx="3">
                  <c:v>249.69415827325716</c:v>
                </c:pt>
                <c:pt idx="4">
                  <c:v>747.64849833893913</c:v>
                </c:pt>
                <c:pt idx="5">
                  <c:v>13197.340252794378</c:v>
                </c:pt>
                <c:pt idx="6">
                  <c:v>56953.071657901601</c:v>
                </c:pt>
                <c:pt idx="7">
                  <c:v>1042.3987237978217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46664.093666276298</c:v>
                </c:pt>
                <c:pt idx="2">
                  <c:v>22235.3814758718</c:v>
                </c:pt>
                <c:pt idx="3">
                  <c:v>249.69415827325716</c:v>
                </c:pt>
                <c:pt idx="4">
                  <c:v>747.64849833893913</c:v>
                </c:pt>
                <c:pt idx="5">
                  <c:v>13197.340252794378</c:v>
                </c:pt>
                <c:pt idx="6">
                  <c:v>56953.071657901601</c:v>
                </c:pt>
                <c:pt idx="7">
                  <c:v>1042.3987237978217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72039</v>
      </c>
      <c r="B6" s="390"/>
      <c r="C6" s="391"/>
    </row>
    <row r="7" spans="1:7" s="388" customFormat="1" ht="15.75" customHeight="1">
      <c r="A7" s="392" t="str">
        <f>txtMunicipality</f>
        <v>HOUTHALEN-HELCHTEREN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64370.463000000003</v>
      </c>
      <c r="D10" s="978">
        <f ca="1">tertiair!C16</f>
        <v>0</v>
      </c>
      <c r="E10" s="978">
        <f ca="1">tertiair!D16</f>
        <v>45704.674642000005</v>
      </c>
      <c r="F10" s="978">
        <f>tertiair!E16</f>
        <v>734.79278923550589</v>
      </c>
      <c r="G10" s="978">
        <f ca="1">tertiair!F16</f>
        <v>12080.32469655895</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1.5633333333333335</v>
      </c>
      <c r="Q10" s="979">
        <f>tertiair!P16</f>
        <v>76.266666666666666</v>
      </c>
      <c r="R10" s="674">
        <f ca="1">SUM(C10:Q10)</f>
        <v>122968.08512779447</v>
      </c>
      <c r="S10" s="67"/>
    </row>
    <row r="11" spans="1:19" s="447" customFormat="1">
      <c r="A11" s="783" t="s">
        <v>224</v>
      </c>
      <c r="B11" s="788"/>
      <c r="C11" s="978">
        <f>huishoudens!B8</f>
        <v>47158.112694612093</v>
      </c>
      <c r="D11" s="978">
        <f>huishoudens!C8</f>
        <v>0</v>
      </c>
      <c r="E11" s="978">
        <f>huishoudens!D8</f>
        <v>82643.925254000002</v>
      </c>
      <c r="F11" s="978">
        <f>huishoudens!E8</f>
        <v>16026.504075848197</v>
      </c>
      <c r="G11" s="978">
        <f>huishoudens!F8</f>
        <v>71566.157554574645</v>
      </c>
      <c r="H11" s="978">
        <f>huishoudens!G8</f>
        <v>0</v>
      </c>
      <c r="I11" s="978">
        <f>huishoudens!H8</f>
        <v>0</v>
      </c>
      <c r="J11" s="978">
        <f>huishoudens!I8</f>
        <v>0</v>
      </c>
      <c r="K11" s="978">
        <f>huishoudens!J8</f>
        <v>0</v>
      </c>
      <c r="L11" s="978">
        <f>huishoudens!K8</f>
        <v>0</v>
      </c>
      <c r="M11" s="978">
        <f>huishoudens!L8</f>
        <v>0</v>
      </c>
      <c r="N11" s="978">
        <f>huishoudens!M8</f>
        <v>0</v>
      </c>
      <c r="O11" s="978">
        <f>huishoudens!N8</f>
        <v>28016.179351812272</v>
      </c>
      <c r="P11" s="978">
        <f>huishoudens!O8</f>
        <v>634.71333333333337</v>
      </c>
      <c r="Q11" s="979">
        <f>huishoudens!P8</f>
        <v>991.4666666666667</v>
      </c>
      <c r="R11" s="674">
        <f>SUM(C11:Q11)</f>
        <v>247037.05893084724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28381.083999999999</v>
      </c>
      <c r="D13" s="978">
        <f>industrie!C18</f>
        <v>900.00000000000023</v>
      </c>
      <c r="E13" s="978">
        <f>industrie!D18</f>
        <v>26467.761763999995</v>
      </c>
      <c r="F13" s="978">
        <f>industrie!E18</f>
        <v>2085.8476666217248</v>
      </c>
      <c r="G13" s="978">
        <f>industrie!F18</f>
        <v>11130.182466396504</v>
      </c>
      <c r="H13" s="978">
        <f>industrie!G18</f>
        <v>0</v>
      </c>
      <c r="I13" s="978">
        <f>industrie!H18</f>
        <v>0</v>
      </c>
      <c r="J13" s="978">
        <f>industrie!I18</f>
        <v>0</v>
      </c>
      <c r="K13" s="978">
        <f>industrie!J18</f>
        <v>137.17231355858755</v>
      </c>
      <c r="L13" s="978">
        <f>industrie!K18</f>
        <v>0</v>
      </c>
      <c r="M13" s="978">
        <f>industrie!L18</f>
        <v>0</v>
      </c>
      <c r="N13" s="978">
        <f>industrie!M18</f>
        <v>0</v>
      </c>
      <c r="O13" s="978">
        <f>industrie!N18</f>
        <v>1817.1365194288751</v>
      </c>
      <c r="P13" s="978">
        <f>industrie!O18</f>
        <v>0</v>
      </c>
      <c r="Q13" s="979">
        <f>industrie!P18</f>
        <v>0</v>
      </c>
      <c r="R13" s="674">
        <f>SUM(C13:Q13)</f>
        <v>70919.184730005698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139909.65969461208</v>
      </c>
      <c r="D16" s="706">
        <f t="shared" ref="D16:R16" ca="1" si="0">SUM(D9:D15)</f>
        <v>900.00000000000023</v>
      </c>
      <c r="E16" s="706">
        <f t="shared" ca="1" si="0"/>
        <v>154816.36166</v>
      </c>
      <c r="F16" s="706">
        <f t="shared" si="0"/>
        <v>18847.144531705428</v>
      </c>
      <c r="G16" s="706">
        <f t="shared" ca="1" si="0"/>
        <v>94776.664717530104</v>
      </c>
      <c r="H16" s="706">
        <f t="shared" si="0"/>
        <v>0</v>
      </c>
      <c r="I16" s="706">
        <f t="shared" si="0"/>
        <v>0</v>
      </c>
      <c r="J16" s="706">
        <f t="shared" si="0"/>
        <v>0</v>
      </c>
      <c r="K16" s="706">
        <f t="shared" si="0"/>
        <v>137.17231355858755</v>
      </c>
      <c r="L16" s="706">
        <f t="shared" si="0"/>
        <v>0</v>
      </c>
      <c r="M16" s="706">
        <f t="shared" ca="1" si="0"/>
        <v>0</v>
      </c>
      <c r="N16" s="706">
        <f t="shared" si="0"/>
        <v>0</v>
      </c>
      <c r="O16" s="706">
        <f t="shared" ca="1" si="0"/>
        <v>29833.315871241146</v>
      </c>
      <c r="P16" s="706">
        <f t="shared" si="0"/>
        <v>636.27666666666676</v>
      </c>
      <c r="Q16" s="706">
        <f t="shared" si="0"/>
        <v>1067.7333333333333</v>
      </c>
      <c r="R16" s="706">
        <f t="shared" ca="1" si="0"/>
        <v>440924.32878864743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3904.1150704038268</v>
      </c>
      <c r="I19" s="978">
        <f>transport!H54</f>
        <v>0</v>
      </c>
      <c r="J19" s="978">
        <f>transport!I54</f>
        <v>0</v>
      </c>
      <c r="K19" s="978">
        <f>transport!J54</f>
        <v>0</v>
      </c>
      <c r="L19" s="978">
        <f>transport!K54</f>
        <v>0</v>
      </c>
      <c r="M19" s="978">
        <f>transport!L54</f>
        <v>0</v>
      </c>
      <c r="N19" s="978">
        <f>transport!M54</f>
        <v>120.94404654660786</v>
      </c>
      <c r="O19" s="978">
        <f>transport!N54</f>
        <v>0</v>
      </c>
      <c r="P19" s="978">
        <f>transport!O54</f>
        <v>0</v>
      </c>
      <c r="Q19" s="979">
        <f>transport!P54</f>
        <v>0</v>
      </c>
      <c r="R19" s="674">
        <f>SUM(C19:Q19)</f>
        <v>4025.0591169504346</v>
      </c>
      <c r="S19" s="67"/>
    </row>
    <row r="20" spans="1:19" s="447" customFormat="1">
      <c r="A20" s="783" t="s">
        <v>306</v>
      </c>
      <c r="B20" s="788"/>
      <c r="C20" s="978">
        <f>transport!B14</f>
        <v>49.68635769530691</v>
      </c>
      <c r="D20" s="978">
        <f>transport!C14</f>
        <v>0</v>
      </c>
      <c r="E20" s="978">
        <f>transport!D14</f>
        <v>102.87387482896811</v>
      </c>
      <c r="F20" s="978">
        <f>transport!E14</f>
        <v>476.56698476361601</v>
      </c>
      <c r="G20" s="978">
        <f>transport!F14</f>
        <v>0</v>
      </c>
      <c r="H20" s="978">
        <f>transport!G14</f>
        <v>179894.03364687943</v>
      </c>
      <c r="I20" s="978">
        <f>transport!H14</f>
        <v>35280.29044368519</v>
      </c>
      <c r="J20" s="978">
        <f>transport!I14</f>
        <v>0</v>
      </c>
      <c r="K20" s="978">
        <f>transport!J14</f>
        <v>0</v>
      </c>
      <c r="L20" s="978">
        <f>transport!K14</f>
        <v>0</v>
      </c>
      <c r="M20" s="978">
        <f>transport!L14</f>
        <v>0</v>
      </c>
      <c r="N20" s="978">
        <f>transport!M14</f>
        <v>6716.8066833503553</v>
      </c>
      <c r="O20" s="978">
        <f>transport!N14</f>
        <v>0</v>
      </c>
      <c r="P20" s="978">
        <f>transport!O14</f>
        <v>0</v>
      </c>
      <c r="Q20" s="979">
        <f>transport!P14</f>
        <v>0</v>
      </c>
      <c r="R20" s="674">
        <f>SUM(C20:Q20)</f>
        <v>222520.25799120287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49.68635769530691</v>
      </c>
      <c r="D22" s="786">
        <f t="shared" ref="D22:R22" si="1">SUM(D18:D21)</f>
        <v>0</v>
      </c>
      <c r="E22" s="786">
        <f t="shared" si="1"/>
        <v>102.87387482896811</v>
      </c>
      <c r="F22" s="786">
        <f t="shared" si="1"/>
        <v>476.56698476361601</v>
      </c>
      <c r="G22" s="786">
        <f t="shared" si="1"/>
        <v>0</v>
      </c>
      <c r="H22" s="786">
        <f t="shared" si="1"/>
        <v>183798.14871728324</v>
      </c>
      <c r="I22" s="786">
        <f t="shared" si="1"/>
        <v>35280.29044368519</v>
      </c>
      <c r="J22" s="786">
        <f t="shared" si="1"/>
        <v>0</v>
      </c>
      <c r="K22" s="786">
        <f t="shared" si="1"/>
        <v>0</v>
      </c>
      <c r="L22" s="786">
        <f t="shared" si="1"/>
        <v>0</v>
      </c>
      <c r="M22" s="786">
        <f t="shared" si="1"/>
        <v>0</v>
      </c>
      <c r="N22" s="786">
        <f t="shared" si="1"/>
        <v>6837.7507298969631</v>
      </c>
      <c r="O22" s="786">
        <f t="shared" si="1"/>
        <v>0</v>
      </c>
      <c r="P22" s="786">
        <f t="shared" si="1"/>
        <v>0</v>
      </c>
      <c r="Q22" s="786">
        <f t="shared" si="1"/>
        <v>0</v>
      </c>
      <c r="R22" s="786">
        <f t="shared" si="1"/>
        <v>226545.31710815331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442.32100000000003</v>
      </c>
      <c r="D24" s="978">
        <f>+landbouw!C8</f>
        <v>19285.714285714286</v>
      </c>
      <c r="E24" s="978">
        <f>+landbouw!D8</f>
        <v>92.762581999999995</v>
      </c>
      <c r="F24" s="978">
        <f>+landbouw!E8</f>
        <v>11.405760273710426</v>
      </c>
      <c r="G24" s="978">
        <f>+landbouw!F8</f>
        <v>1616.7674909425086</v>
      </c>
      <c r="H24" s="978">
        <f>+landbouw!G8</f>
        <v>0</v>
      </c>
      <c r="I24" s="978">
        <f>+landbouw!H8</f>
        <v>0</v>
      </c>
      <c r="J24" s="978">
        <f>+landbouw!I8</f>
        <v>0</v>
      </c>
      <c r="K24" s="978">
        <f>+landbouw!J8</f>
        <v>63.677952489056331</v>
      </c>
      <c r="L24" s="978">
        <f>+landbouw!K8</f>
        <v>0</v>
      </c>
      <c r="M24" s="978">
        <f>+landbouw!L8</f>
        <v>0</v>
      </c>
      <c r="N24" s="978">
        <f>+landbouw!M8</f>
        <v>0</v>
      </c>
      <c r="O24" s="978">
        <f>+landbouw!N8</f>
        <v>0</v>
      </c>
      <c r="P24" s="978">
        <f>+landbouw!O8</f>
        <v>0</v>
      </c>
      <c r="Q24" s="979">
        <f>+landbouw!P8</f>
        <v>0</v>
      </c>
      <c r="R24" s="674">
        <f>SUM(C24:Q24)</f>
        <v>21512.649071419561</v>
      </c>
      <c r="S24" s="67"/>
    </row>
    <row r="25" spans="1:19" s="447" customFormat="1" ht="15" thickBot="1">
      <c r="A25" s="805" t="s">
        <v>834</v>
      </c>
      <c r="B25" s="981"/>
      <c r="C25" s="982">
        <f>IF(Onbekend_ele_kWh="---",0,Onbekend_ele_kWh)/1000+IF(REST_rest_ele_kWh="---",0,REST_rest_ele_kWh)/1000</f>
        <v>887.13499999999999</v>
      </c>
      <c r="D25" s="982"/>
      <c r="E25" s="982">
        <f>IF(onbekend_gas_kWh="---",0,onbekend_gas_kWh)/1000+IF(REST_rest_gas_kWh="---",0,REST_rest_gas_kWh)/1000</f>
        <v>1756.8589999999999</v>
      </c>
      <c r="F25" s="982"/>
      <c r="G25" s="982"/>
      <c r="H25" s="982"/>
      <c r="I25" s="982"/>
      <c r="J25" s="982"/>
      <c r="K25" s="982"/>
      <c r="L25" s="982"/>
      <c r="M25" s="982"/>
      <c r="N25" s="982"/>
      <c r="O25" s="982"/>
      <c r="P25" s="982"/>
      <c r="Q25" s="983"/>
      <c r="R25" s="674">
        <f>SUM(C25:Q25)</f>
        <v>2643.9939999999997</v>
      </c>
      <c r="S25" s="67"/>
    </row>
    <row r="26" spans="1:19" s="447" customFormat="1" ht="15.75" thickBot="1">
      <c r="A26" s="679" t="s">
        <v>835</v>
      </c>
      <c r="B26" s="791"/>
      <c r="C26" s="786">
        <f>SUM(C24:C25)</f>
        <v>1329.4560000000001</v>
      </c>
      <c r="D26" s="786">
        <f t="shared" ref="D26:R26" si="2">SUM(D24:D25)</f>
        <v>19285.714285714286</v>
      </c>
      <c r="E26" s="786">
        <f t="shared" si="2"/>
        <v>1849.621582</v>
      </c>
      <c r="F26" s="786">
        <f t="shared" si="2"/>
        <v>11.405760273710426</v>
      </c>
      <c r="G26" s="786">
        <f t="shared" si="2"/>
        <v>1616.7674909425086</v>
      </c>
      <c r="H26" s="786">
        <f t="shared" si="2"/>
        <v>0</v>
      </c>
      <c r="I26" s="786">
        <f t="shared" si="2"/>
        <v>0</v>
      </c>
      <c r="J26" s="786">
        <f t="shared" si="2"/>
        <v>0</v>
      </c>
      <c r="K26" s="786">
        <f t="shared" si="2"/>
        <v>63.677952489056331</v>
      </c>
      <c r="L26" s="786">
        <f t="shared" si="2"/>
        <v>0</v>
      </c>
      <c r="M26" s="786">
        <f t="shared" si="2"/>
        <v>0</v>
      </c>
      <c r="N26" s="786">
        <f t="shared" si="2"/>
        <v>0</v>
      </c>
      <c r="O26" s="786">
        <f t="shared" si="2"/>
        <v>0</v>
      </c>
      <c r="P26" s="786">
        <f t="shared" si="2"/>
        <v>0</v>
      </c>
      <c r="Q26" s="786">
        <f t="shared" si="2"/>
        <v>0</v>
      </c>
      <c r="R26" s="786">
        <f t="shared" si="2"/>
        <v>24156.643071419559</v>
      </c>
      <c r="S26" s="67"/>
    </row>
    <row r="27" spans="1:19" s="447" customFormat="1" ht="17.25" thickTop="1" thickBot="1">
      <c r="A27" s="680" t="s">
        <v>115</v>
      </c>
      <c r="B27" s="779"/>
      <c r="C27" s="681">
        <f ca="1">C22+C16+C26</f>
        <v>141288.80205230741</v>
      </c>
      <c r="D27" s="681">
        <f t="shared" ref="D27:R27" ca="1" si="3">D22+D16+D26</f>
        <v>20185.714285714286</v>
      </c>
      <c r="E27" s="681">
        <f t="shared" ca="1" si="3"/>
        <v>156768.85711682896</v>
      </c>
      <c r="F27" s="681">
        <f t="shared" si="3"/>
        <v>19335.117276742756</v>
      </c>
      <c r="G27" s="681">
        <f t="shared" ca="1" si="3"/>
        <v>96393.432208472615</v>
      </c>
      <c r="H27" s="681">
        <f t="shared" si="3"/>
        <v>183798.14871728324</v>
      </c>
      <c r="I27" s="681">
        <f t="shared" si="3"/>
        <v>35280.29044368519</v>
      </c>
      <c r="J27" s="681">
        <f t="shared" si="3"/>
        <v>0</v>
      </c>
      <c r="K27" s="681">
        <f t="shared" si="3"/>
        <v>200.85026604764388</v>
      </c>
      <c r="L27" s="681">
        <f t="shared" si="3"/>
        <v>0</v>
      </c>
      <c r="M27" s="681">
        <f t="shared" ca="1" si="3"/>
        <v>0</v>
      </c>
      <c r="N27" s="681">
        <f t="shared" si="3"/>
        <v>6837.7507298969631</v>
      </c>
      <c r="O27" s="681">
        <f t="shared" ca="1" si="3"/>
        <v>29833.315871241146</v>
      </c>
      <c r="P27" s="681">
        <f t="shared" si="3"/>
        <v>636.27666666666676</v>
      </c>
      <c r="Q27" s="681">
        <f t="shared" si="3"/>
        <v>1067.7333333333333</v>
      </c>
      <c r="R27" s="681">
        <f t="shared" ca="1" si="3"/>
        <v>691626.28896822035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9860.4866993233554</v>
      </c>
      <c r="D40" s="978">
        <f ca="1">tertiair!C20</f>
        <v>0</v>
      </c>
      <c r="E40" s="978">
        <f ca="1">tertiair!D20</f>
        <v>9232.344277684002</v>
      </c>
      <c r="F40" s="978">
        <f>tertiair!E20</f>
        <v>166.79796315645984</v>
      </c>
      <c r="G40" s="978">
        <f ca="1">tertiair!F20</f>
        <v>3225.4466939812396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22485.075634145058</v>
      </c>
    </row>
    <row r="41" spans="1:18">
      <c r="A41" s="796" t="s">
        <v>224</v>
      </c>
      <c r="B41" s="803"/>
      <c r="C41" s="978">
        <f ca="1">huishoudens!B12</f>
        <v>7223.8402726793238</v>
      </c>
      <c r="D41" s="978">
        <f ca="1">huishoudens!C12</f>
        <v>0</v>
      </c>
      <c r="E41" s="978">
        <f>huishoudens!D12</f>
        <v>16694.072901308002</v>
      </c>
      <c r="F41" s="978">
        <f>huishoudens!E12</f>
        <v>3638.0164252175409</v>
      </c>
      <c r="G41" s="978">
        <f>huishoudens!F12</f>
        <v>19108.164067071433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46664.093666276298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4347.5110827520202</v>
      </c>
      <c r="D43" s="978">
        <f ca="1">industrie!C22</f>
        <v>9.5361558636193369</v>
      </c>
      <c r="E43" s="978">
        <f>industrie!D22</f>
        <v>5346.4878763279994</v>
      </c>
      <c r="F43" s="978">
        <f>industrie!E22</f>
        <v>473.48742032313152</v>
      </c>
      <c r="G43" s="978">
        <f>industrie!F22</f>
        <v>2971.7587185278667</v>
      </c>
      <c r="H43" s="978">
        <f>industrie!G22</f>
        <v>0</v>
      </c>
      <c r="I43" s="978">
        <f>industrie!H22</f>
        <v>0</v>
      </c>
      <c r="J43" s="978">
        <f>industrie!I22</f>
        <v>0</v>
      </c>
      <c r="K43" s="978">
        <f>industrie!J22</f>
        <v>48.558998999739991</v>
      </c>
      <c r="L43" s="978">
        <f>industrie!K22</f>
        <v>0</v>
      </c>
      <c r="M43" s="978">
        <f>industrie!L22</f>
        <v>0</v>
      </c>
      <c r="N43" s="978">
        <f>industrie!M22</f>
        <v>0</v>
      </c>
      <c r="O43" s="978">
        <f>industrie!N22</f>
        <v>0</v>
      </c>
      <c r="P43" s="978">
        <f>industrie!O22</f>
        <v>0</v>
      </c>
      <c r="Q43" s="748">
        <f>industrie!P22</f>
        <v>0</v>
      </c>
      <c r="R43" s="823">
        <f t="shared" ca="1" si="4"/>
        <v>13197.340252794378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21431.838054754699</v>
      </c>
      <c r="D46" s="706">
        <f t="shared" ref="D46:Q46" ca="1" si="5">SUM(D39:D45)</f>
        <v>9.5361558636193369</v>
      </c>
      <c r="E46" s="706">
        <f t="shared" ca="1" si="5"/>
        <v>31272.905055320003</v>
      </c>
      <c r="F46" s="706">
        <f t="shared" si="5"/>
        <v>4278.3018086971324</v>
      </c>
      <c r="G46" s="706">
        <f t="shared" ca="1" si="5"/>
        <v>25305.369479580542</v>
      </c>
      <c r="H46" s="706">
        <f t="shared" si="5"/>
        <v>0</v>
      </c>
      <c r="I46" s="706">
        <f t="shared" si="5"/>
        <v>0</v>
      </c>
      <c r="J46" s="706">
        <f t="shared" si="5"/>
        <v>0</v>
      </c>
      <c r="K46" s="706">
        <f t="shared" si="5"/>
        <v>48.558998999739991</v>
      </c>
      <c r="L46" s="706">
        <f t="shared" si="5"/>
        <v>0</v>
      </c>
      <c r="M46" s="706">
        <f t="shared" ca="1" si="5"/>
        <v>0</v>
      </c>
      <c r="N46" s="706">
        <f t="shared" si="5"/>
        <v>0</v>
      </c>
      <c r="O46" s="706">
        <f t="shared" ca="1" si="5"/>
        <v>0</v>
      </c>
      <c r="P46" s="706">
        <f t="shared" si="5"/>
        <v>0</v>
      </c>
      <c r="Q46" s="706">
        <f t="shared" si="5"/>
        <v>0</v>
      </c>
      <c r="R46" s="706">
        <f ca="1">SUM(R39:R45)</f>
        <v>82346.509553215743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1042.3987237978217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1042.3987237978217</v>
      </c>
    </row>
    <row r="50" spans="1:18">
      <c r="A50" s="799" t="s">
        <v>306</v>
      </c>
      <c r="B50" s="809"/>
      <c r="C50" s="677">
        <f ca="1">transport!B18</f>
        <v>7.6111254503854715</v>
      </c>
      <c r="D50" s="677">
        <f>transport!C18</f>
        <v>0</v>
      </c>
      <c r="E50" s="677">
        <f>transport!D18</f>
        <v>20.780522715451561</v>
      </c>
      <c r="F50" s="677">
        <f>transport!E18</f>
        <v>108.18070554134084</v>
      </c>
      <c r="G50" s="677">
        <f>transport!F18</f>
        <v>0</v>
      </c>
      <c r="H50" s="677">
        <f>transport!G18</f>
        <v>48031.706983716809</v>
      </c>
      <c r="I50" s="677">
        <f>transport!H18</f>
        <v>8784.7923204776125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56953.071657901601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7.6111254503854715</v>
      </c>
      <c r="D52" s="706">
        <f t="shared" ref="D52:Q52" ca="1" si="6">SUM(D48:D51)</f>
        <v>0</v>
      </c>
      <c r="E52" s="706">
        <f t="shared" si="6"/>
        <v>20.780522715451561</v>
      </c>
      <c r="F52" s="706">
        <f t="shared" si="6"/>
        <v>108.18070554134084</v>
      </c>
      <c r="G52" s="706">
        <f t="shared" si="6"/>
        <v>0</v>
      </c>
      <c r="H52" s="706">
        <f t="shared" si="6"/>
        <v>49074.105707514631</v>
      </c>
      <c r="I52" s="706">
        <f t="shared" si="6"/>
        <v>8784.7923204776125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57995.470381699422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67.756236852473862</v>
      </c>
      <c r="D54" s="677">
        <f ca="1">+landbouw!C12</f>
        <v>204.34619707755718</v>
      </c>
      <c r="E54" s="677">
        <f>+landbouw!D12</f>
        <v>18.738041564</v>
      </c>
      <c r="F54" s="677">
        <f>+landbouw!E12</f>
        <v>2.5891075821322667</v>
      </c>
      <c r="G54" s="677">
        <f>+landbouw!F12</f>
        <v>431.67692008164983</v>
      </c>
      <c r="H54" s="677">
        <f>+landbouw!G12</f>
        <v>0</v>
      </c>
      <c r="I54" s="677">
        <f>+landbouw!H12</f>
        <v>0</v>
      </c>
      <c r="J54" s="677">
        <f>+landbouw!I12</f>
        <v>0</v>
      </c>
      <c r="K54" s="677">
        <f>+landbouw!J12</f>
        <v>22.541995181125941</v>
      </c>
      <c r="L54" s="677">
        <f>+landbouw!K12</f>
        <v>0</v>
      </c>
      <c r="M54" s="677">
        <f>+landbouw!L12</f>
        <v>0</v>
      </c>
      <c r="N54" s="677">
        <f>+landbouw!M12</f>
        <v>0</v>
      </c>
      <c r="O54" s="677">
        <f>+landbouw!N12</f>
        <v>0</v>
      </c>
      <c r="P54" s="677">
        <f>+landbouw!O12</f>
        <v>0</v>
      </c>
      <c r="Q54" s="678">
        <f>+landbouw!P12</f>
        <v>0</v>
      </c>
      <c r="R54" s="705">
        <f ca="1">SUM(C54:Q54)</f>
        <v>747.64849833893913</v>
      </c>
    </row>
    <row r="55" spans="1:18" ht="15" thickBot="1">
      <c r="A55" s="799" t="s">
        <v>834</v>
      </c>
      <c r="B55" s="809"/>
      <c r="C55" s="677">
        <f ca="1">C25*'EF ele_warmte'!B12</f>
        <v>135.89435993344065</v>
      </c>
      <c r="D55" s="677"/>
      <c r="E55" s="677">
        <f>E25*EF_CO2_aardgas</f>
        <v>354.88551799999999</v>
      </c>
      <c r="F55" s="677"/>
      <c r="G55" s="677"/>
      <c r="H55" s="677"/>
      <c r="I55" s="677"/>
      <c r="J55" s="677"/>
      <c r="K55" s="677"/>
      <c r="L55" s="677"/>
      <c r="M55" s="677"/>
      <c r="N55" s="677"/>
      <c r="O55" s="677"/>
      <c r="P55" s="677"/>
      <c r="Q55" s="678"/>
      <c r="R55" s="705">
        <f ca="1">SUM(C55:Q55)</f>
        <v>490.77987793344062</v>
      </c>
    </row>
    <row r="56" spans="1:18" ht="15.75" thickBot="1">
      <c r="A56" s="797" t="s">
        <v>835</v>
      </c>
      <c r="B56" s="810"/>
      <c r="C56" s="706">
        <f ca="1">SUM(C54:C55)</f>
        <v>203.6505967859145</v>
      </c>
      <c r="D56" s="706">
        <f t="shared" ref="D56:Q56" ca="1" si="7">SUM(D54:D55)</f>
        <v>204.34619707755718</v>
      </c>
      <c r="E56" s="706">
        <f t="shared" si="7"/>
        <v>373.623559564</v>
      </c>
      <c r="F56" s="706">
        <f t="shared" si="7"/>
        <v>2.5891075821322667</v>
      </c>
      <c r="G56" s="706">
        <f t="shared" si="7"/>
        <v>431.67692008164983</v>
      </c>
      <c r="H56" s="706">
        <f t="shared" si="7"/>
        <v>0</v>
      </c>
      <c r="I56" s="706">
        <f t="shared" si="7"/>
        <v>0</v>
      </c>
      <c r="J56" s="706">
        <f t="shared" si="7"/>
        <v>0</v>
      </c>
      <c r="K56" s="706">
        <f t="shared" si="7"/>
        <v>22.541995181125941</v>
      </c>
      <c r="L56" s="706">
        <f t="shared" si="7"/>
        <v>0</v>
      </c>
      <c r="M56" s="706">
        <f t="shared" si="7"/>
        <v>0</v>
      </c>
      <c r="N56" s="706">
        <f t="shared" si="7"/>
        <v>0</v>
      </c>
      <c r="O56" s="706">
        <f t="shared" si="7"/>
        <v>0</v>
      </c>
      <c r="P56" s="706">
        <f t="shared" si="7"/>
        <v>0</v>
      </c>
      <c r="Q56" s="707">
        <f t="shared" si="7"/>
        <v>0</v>
      </c>
      <c r="R56" s="708">
        <f ca="1">SUM(R54:R55)</f>
        <v>1238.4283762723799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21643.099776990999</v>
      </c>
      <c r="D61" s="714">
        <f t="shared" ref="D61:Q61" ca="1" si="8">D46+D52+D56</f>
        <v>213.88235294117652</v>
      </c>
      <c r="E61" s="714">
        <f t="shared" ca="1" si="8"/>
        <v>31667.309137599455</v>
      </c>
      <c r="F61" s="714">
        <f t="shared" si="8"/>
        <v>4389.0716218206053</v>
      </c>
      <c r="G61" s="714">
        <f t="shared" ca="1" si="8"/>
        <v>25737.046399662191</v>
      </c>
      <c r="H61" s="714">
        <f t="shared" si="8"/>
        <v>49074.105707514631</v>
      </c>
      <c r="I61" s="714">
        <f t="shared" si="8"/>
        <v>8784.7923204776125</v>
      </c>
      <c r="J61" s="714">
        <f t="shared" si="8"/>
        <v>0</v>
      </c>
      <c r="K61" s="714">
        <f t="shared" si="8"/>
        <v>71.100994180865939</v>
      </c>
      <c r="L61" s="714">
        <f t="shared" si="8"/>
        <v>0</v>
      </c>
      <c r="M61" s="714">
        <f t="shared" ca="1" si="8"/>
        <v>0</v>
      </c>
      <c r="N61" s="714">
        <f t="shared" si="8"/>
        <v>0</v>
      </c>
      <c r="O61" s="714">
        <f t="shared" ca="1" si="8"/>
        <v>0</v>
      </c>
      <c r="P61" s="714">
        <f t="shared" si="8"/>
        <v>0</v>
      </c>
      <c r="Q61" s="714">
        <f t="shared" si="8"/>
        <v>0</v>
      </c>
      <c r="R61" s="714">
        <f ca="1">R46+R52+R56</f>
        <v>141580.40831118755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0.15318340493097515</v>
      </c>
      <c r="D63" s="755">
        <f t="shared" ca="1" si="9"/>
        <v>1.0595728737354817E-2</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15571.179292433319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13500</v>
      </c>
      <c r="C76" s="724">
        <f>'lokale energieproductie'!B8*IFERROR(SUM(D76:H76)/SUM(D76:O76),0)</f>
        <v>630.00000000000011</v>
      </c>
      <c r="D76" s="999">
        <f>'lokale energieproductie'!C8</f>
        <v>741.17647058823536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15882.352941176468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149.71764705882356</v>
      </c>
      <c r="R76" s="826">
        <v>0</v>
      </c>
    </row>
    <row r="77" spans="1:18" ht="30.75" thickBot="1">
      <c r="A77" s="727" t="s">
        <v>352</v>
      </c>
      <c r="B77" s="724">
        <f>'lokale energieproductie'!B9*IFERROR(SUM(I77:O77)/SUM(D77:O77),0)</f>
        <v>14332.5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40950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43403.67929243332</v>
      </c>
      <c r="C78" s="729">
        <f>SUM(C72:C77)</f>
        <v>630.00000000000011</v>
      </c>
      <c r="D78" s="730">
        <f t="shared" ref="D78:H78" si="10">SUM(D76:D77)</f>
        <v>741.17647058823536</v>
      </c>
      <c r="E78" s="730">
        <f t="shared" si="10"/>
        <v>0</v>
      </c>
      <c r="F78" s="730">
        <f t="shared" si="10"/>
        <v>0</v>
      </c>
      <c r="G78" s="730">
        <f t="shared" si="10"/>
        <v>0</v>
      </c>
      <c r="H78" s="730">
        <f t="shared" si="10"/>
        <v>0</v>
      </c>
      <c r="I78" s="730">
        <f>SUM(I76:I77)</f>
        <v>0</v>
      </c>
      <c r="J78" s="730">
        <f>SUM(J76:J77)</f>
        <v>56832.352941176468</v>
      </c>
      <c r="K78" s="730">
        <f t="shared" ref="K78:L78" si="11">SUM(K76:K77)</f>
        <v>0</v>
      </c>
      <c r="L78" s="730">
        <f t="shared" si="11"/>
        <v>0</v>
      </c>
      <c r="M78" s="730">
        <f>SUM(M76:M77)</f>
        <v>0</v>
      </c>
      <c r="N78" s="730">
        <f>SUM(N76:N77)</f>
        <v>0</v>
      </c>
      <c r="O78" s="834">
        <f>SUM(O76:O77)</f>
        <v>0</v>
      </c>
      <c r="P78" s="731">
        <v>0</v>
      </c>
      <c r="Q78" s="731">
        <f>SUM(Q76:Q77)</f>
        <v>149.71764705882356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19285.714285714283</v>
      </c>
      <c r="C87" s="740">
        <f>'lokale energieproductie'!B17*IFERROR(SUM(D87:H87)/SUM(D87:O87),0)</f>
        <v>900.00000000000023</v>
      </c>
      <c r="D87" s="751">
        <f>'lokale energieproductie'!C17</f>
        <v>1058.8235294117649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22689.075630252097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213.88235294117652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19285.714285714283</v>
      </c>
      <c r="C90" s="729">
        <f>SUM(C87:C89)</f>
        <v>900.00000000000023</v>
      </c>
      <c r="D90" s="729">
        <f t="shared" ref="D90:H90" si="12">SUM(D87:D89)</f>
        <v>1058.8235294117649</v>
      </c>
      <c r="E90" s="729">
        <f t="shared" si="12"/>
        <v>0</v>
      </c>
      <c r="F90" s="729">
        <f t="shared" si="12"/>
        <v>0</v>
      </c>
      <c r="G90" s="729">
        <f t="shared" si="12"/>
        <v>0</v>
      </c>
      <c r="H90" s="729">
        <f t="shared" si="12"/>
        <v>0</v>
      </c>
      <c r="I90" s="729">
        <f>SUM(I87:I89)</f>
        <v>0</v>
      </c>
      <c r="J90" s="729">
        <f>SUM(J87:J89)</f>
        <v>22689.075630252097</v>
      </c>
      <c r="K90" s="729">
        <f t="shared" ref="K90:L90" si="13">SUM(K87:K89)</f>
        <v>0</v>
      </c>
      <c r="L90" s="729">
        <f t="shared" si="13"/>
        <v>0</v>
      </c>
      <c r="M90" s="729">
        <f>SUM(M87:M89)</f>
        <v>0</v>
      </c>
      <c r="N90" s="729">
        <f>SUM(N87:N89)</f>
        <v>0</v>
      </c>
      <c r="O90" s="729">
        <f>SUM(O87:O89)</f>
        <v>0</v>
      </c>
      <c r="P90" s="729">
        <v>0</v>
      </c>
      <c r="Q90" s="729">
        <f>SUM(Q87:Q89)</f>
        <v>213.88235294117652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47158.112694612093</v>
      </c>
      <c r="C4" s="451">
        <f>huishoudens!C8</f>
        <v>0</v>
      </c>
      <c r="D4" s="451">
        <f>huishoudens!D8</f>
        <v>82643.925254000002</v>
      </c>
      <c r="E4" s="451">
        <f>huishoudens!E8</f>
        <v>16026.504075848197</v>
      </c>
      <c r="F4" s="451">
        <f>huishoudens!F8</f>
        <v>71566.157554574645</v>
      </c>
      <c r="G4" s="451">
        <f>huishoudens!G8</f>
        <v>0</v>
      </c>
      <c r="H4" s="451">
        <f>huishoudens!H8</f>
        <v>0</v>
      </c>
      <c r="I4" s="451">
        <f>huishoudens!I8</f>
        <v>0</v>
      </c>
      <c r="J4" s="451">
        <f>huishoudens!J8</f>
        <v>0</v>
      </c>
      <c r="K4" s="451">
        <f>huishoudens!K8</f>
        <v>0</v>
      </c>
      <c r="L4" s="451">
        <f>huishoudens!L8</f>
        <v>0</v>
      </c>
      <c r="M4" s="451">
        <f>huishoudens!M8</f>
        <v>0</v>
      </c>
      <c r="N4" s="451">
        <f>huishoudens!N8</f>
        <v>28016.179351812272</v>
      </c>
      <c r="O4" s="451">
        <f>huishoudens!O8</f>
        <v>634.71333333333337</v>
      </c>
      <c r="P4" s="452">
        <f>huishoudens!P8</f>
        <v>991.4666666666667</v>
      </c>
      <c r="Q4" s="453">
        <f>SUM(B4:P4)</f>
        <v>247037.05893084724</v>
      </c>
    </row>
    <row r="5" spans="1:17">
      <c r="A5" s="450" t="s">
        <v>155</v>
      </c>
      <c r="B5" s="451">
        <f ca="1">tertiair!B16</f>
        <v>62740.429000000004</v>
      </c>
      <c r="C5" s="451">
        <f ca="1">tertiair!C16</f>
        <v>0</v>
      </c>
      <c r="D5" s="451">
        <f ca="1">tertiair!D16</f>
        <v>45704.674642000005</v>
      </c>
      <c r="E5" s="451">
        <f>tertiair!E16</f>
        <v>734.79278923550589</v>
      </c>
      <c r="F5" s="451">
        <f ca="1">tertiair!F16</f>
        <v>12080.32469655895</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1.5633333333333335</v>
      </c>
      <c r="P5" s="452">
        <f>tertiair!P16</f>
        <v>76.266666666666666</v>
      </c>
      <c r="Q5" s="450">
        <f t="shared" ref="Q5:Q14" ca="1" si="0">SUM(B5:P5)</f>
        <v>121338.05112779446</v>
      </c>
    </row>
    <row r="6" spans="1:17">
      <c r="A6" s="450" t="s">
        <v>193</v>
      </c>
      <c r="B6" s="451">
        <f>'openbare verlichting'!B8</f>
        <v>1630.0340000000001</v>
      </c>
      <c r="C6" s="451"/>
      <c r="D6" s="451"/>
      <c r="E6" s="451"/>
      <c r="F6" s="451"/>
      <c r="G6" s="451"/>
      <c r="H6" s="451"/>
      <c r="I6" s="451"/>
      <c r="J6" s="451"/>
      <c r="K6" s="451"/>
      <c r="L6" s="451"/>
      <c r="M6" s="451"/>
      <c r="N6" s="451"/>
      <c r="O6" s="451"/>
      <c r="P6" s="452"/>
      <c r="Q6" s="450">
        <f t="shared" si="0"/>
        <v>1630.0340000000001</v>
      </c>
    </row>
    <row r="7" spans="1:17">
      <c r="A7" s="450" t="s">
        <v>111</v>
      </c>
      <c r="B7" s="451">
        <f>landbouw!B8</f>
        <v>442.32100000000003</v>
      </c>
      <c r="C7" s="451">
        <f>landbouw!C8</f>
        <v>19285.714285714286</v>
      </c>
      <c r="D7" s="451">
        <f>landbouw!D8</f>
        <v>92.762581999999995</v>
      </c>
      <c r="E7" s="451">
        <f>landbouw!E8</f>
        <v>11.405760273710426</v>
      </c>
      <c r="F7" s="451">
        <f>landbouw!F8</f>
        <v>1616.7674909425086</v>
      </c>
      <c r="G7" s="451">
        <f>landbouw!G8</f>
        <v>0</v>
      </c>
      <c r="H7" s="451">
        <f>landbouw!H8</f>
        <v>0</v>
      </c>
      <c r="I7" s="451">
        <f>landbouw!I8</f>
        <v>0</v>
      </c>
      <c r="J7" s="451">
        <f>landbouw!J8</f>
        <v>63.677952489056331</v>
      </c>
      <c r="K7" s="451">
        <f>landbouw!K8</f>
        <v>0</v>
      </c>
      <c r="L7" s="451">
        <f>landbouw!L8</f>
        <v>0</v>
      </c>
      <c r="M7" s="451">
        <f>landbouw!M8</f>
        <v>0</v>
      </c>
      <c r="N7" s="451">
        <f>landbouw!N8</f>
        <v>0</v>
      </c>
      <c r="O7" s="451">
        <f>landbouw!O8</f>
        <v>0</v>
      </c>
      <c r="P7" s="452">
        <f>landbouw!P8</f>
        <v>0</v>
      </c>
      <c r="Q7" s="450">
        <f t="shared" si="0"/>
        <v>21512.649071419561</v>
      </c>
    </row>
    <row r="8" spans="1:17">
      <c r="A8" s="450" t="s">
        <v>637</v>
      </c>
      <c r="B8" s="451">
        <f>industrie!B18</f>
        <v>28381.083999999999</v>
      </c>
      <c r="C8" s="451">
        <f>industrie!C18</f>
        <v>900.00000000000023</v>
      </c>
      <c r="D8" s="451">
        <f>industrie!D18</f>
        <v>26467.761763999995</v>
      </c>
      <c r="E8" s="451">
        <f>industrie!E18</f>
        <v>2085.8476666217248</v>
      </c>
      <c r="F8" s="451">
        <f>industrie!F18</f>
        <v>11130.182466396504</v>
      </c>
      <c r="G8" s="451">
        <f>industrie!G18</f>
        <v>0</v>
      </c>
      <c r="H8" s="451">
        <f>industrie!H18</f>
        <v>0</v>
      </c>
      <c r="I8" s="451">
        <f>industrie!I18</f>
        <v>0</v>
      </c>
      <c r="J8" s="451">
        <f>industrie!J18</f>
        <v>137.17231355858755</v>
      </c>
      <c r="K8" s="451">
        <f>industrie!K18</f>
        <v>0</v>
      </c>
      <c r="L8" s="451">
        <f>industrie!L18</f>
        <v>0</v>
      </c>
      <c r="M8" s="451">
        <f>industrie!M18</f>
        <v>0</v>
      </c>
      <c r="N8" s="451">
        <f>industrie!N18</f>
        <v>1817.1365194288751</v>
      </c>
      <c r="O8" s="451">
        <f>industrie!O18</f>
        <v>0</v>
      </c>
      <c r="P8" s="452">
        <f>industrie!P18</f>
        <v>0</v>
      </c>
      <c r="Q8" s="450">
        <f t="shared" si="0"/>
        <v>70919.184730005698</v>
      </c>
    </row>
    <row r="9" spans="1:17" s="456" customFormat="1">
      <c r="A9" s="454" t="s">
        <v>563</v>
      </c>
      <c r="B9" s="455">
        <f>transport!B14</f>
        <v>49.68635769530691</v>
      </c>
      <c r="C9" s="455">
        <f>transport!C14</f>
        <v>0</v>
      </c>
      <c r="D9" s="455">
        <f>transport!D14</f>
        <v>102.87387482896811</v>
      </c>
      <c r="E9" s="455">
        <f>transport!E14</f>
        <v>476.56698476361601</v>
      </c>
      <c r="F9" s="455">
        <f>transport!F14</f>
        <v>0</v>
      </c>
      <c r="G9" s="455">
        <f>transport!G14</f>
        <v>179894.03364687943</v>
      </c>
      <c r="H9" s="455">
        <f>transport!H14</f>
        <v>35280.29044368519</v>
      </c>
      <c r="I9" s="455">
        <f>transport!I14</f>
        <v>0</v>
      </c>
      <c r="J9" s="455">
        <f>transport!J14</f>
        <v>0</v>
      </c>
      <c r="K9" s="455">
        <f>transport!K14</f>
        <v>0</v>
      </c>
      <c r="L9" s="455">
        <f>transport!L14</f>
        <v>0</v>
      </c>
      <c r="M9" s="455">
        <f>transport!M14</f>
        <v>6716.8066833503553</v>
      </c>
      <c r="N9" s="455">
        <f>transport!N14</f>
        <v>0</v>
      </c>
      <c r="O9" s="455">
        <f>transport!O14</f>
        <v>0</v>
      </c>
      <c r="P9" s="455">
        <f>transport!P14</f>
        <v>0</v>
      </c>
      <c r="Q9" s="454">
        <f>SUM(B9:P9)</f>
        <v>222520.25799120287</v>
      </c>
    </row>
    <row r="10" spans="1:17">
      <c r="A10" s="450" t="s">
        <v>553</v>
      </c>
      <c r="B10" s="451">
        <f>transport!B54</f>
        <v>0</v>
      </c>
      <c r="C10" s="451">
        <f>transport!C54</f>
        <v>0</v>
      </c>
      <c r="D10" s="451">
        <f>transport!D54</f>
        <v>0</v>
      </c>
      <c r="E10" s="451">
        <f>transport!E54</f>
        <v>0</v>
      </c>
      <c r="F10" s="451">
        <f>transport!F54</f>
        <v>0</v>
      </c>
      <c r="G10" s="451">
        <f>transport!G54</f>
        <v>3904.1150704038268</v>
      </c>
      <c r="H10" s="451">
        <f>transport!H54</f>
        <v>0</v>
      </c>
      <c r="I10" s="451">
        <f>transport!I54</f>
        <v>0</v>
      </c>
      <c r="J10" s="451">
        <f>transport!J54</f>
        <v>0</v>
      </c>
      <c r="K10" s="451">
        <f>transport!K54</f>
        <v>0</v>
      </c>
      <c r="L10" s="451">
        <f>transport!L54</f>
        <v>0</v>
      </c>
      <c r="M10" s="451">
        <f>transport!M54</f>
        <v>120.94404654660786</v>
      </c>
      <c r="N10" s="451">
        <f>transport!N54</f>
        <v>0</v>
      </c>
      <c r="O10" s="451">
        <f>transport!O54</f>
        <v>0</v>
      </c>
      <c r="P10" s="452">
        <f>transport!P54</f>
        <v>0</v>
      </c>
      <c r="Q10" s="450">
        <f t="shared" si="0"/>
        <v>4025.0591169504346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887.13499999999999</v>
      </c>
      <c r="C14" s="458"/>
      <c r="D14" s="458">
        <f>'SEAP template'!E25</f>
        <v>1756.8589999999999</v>
      </c>
      <c r="E14" s="458"/>
      <c r="F14" s="458"/>
      <c r="G14" s="458"/>
      <c r="H14" s="458"/>
      <c r="I14" s="458"/>
      <c r="J14" s="458"/>
      <c r="K14" s="458"/>
      <c r="L14" s="458"/>
      <c r="M14" s="458"/>
      <c r="N14" s="458"/>
      <c r="O14" s="458"/>
      <c r="P14" s="459"/>
      <c r="Q14" s="450">
        <f t="shared" si="0"/>
        <v>2643.9939999999997</v>
      </c>
    </row>
    <row r="15" spans="1:17" s="460" customFormat="1">
      <c r="A15" s="1004" t="s">
        <v>557</v>
      </c>
      <c r="B15" s="944">
        <f ca="1">SUM(B4:B14)</f>
        <v>141288.80205230741</v>
      </c>
      <c r="C15" s="944">
        <f t="shared" ref="C15:Q15" ca="1" si="1">SUM(C4:C14)</f>
        <v>20185.714285714286</v>
      </c>
      <c r="D15" s="944">
        <f t="shared" ca="1" si="1"/>
        <v>156768.85711682896</v>
      </c>
      <c r="E15" s="944">
        <f t="shared" si="1"/>
        <v>19335.117276742756</v>
      </c>
      <c r="F15" s="944">
        <f t="shared" ca="1" si="1"/>
        <v>96393.432208472615</v>
      </c>
      <c r="G15" s="944">
        <f t="shared" si="1"/>
        <v>183798.14871728324</v>
      </c>
      <c r="H15" s="944">
        <f t="shared" si="1"/>
        <v>35280.29044368519</v>
      </c>
      <c r="I15" s="944">
        <f t="shared" si="1"/>
        <v>0</v>
      </c>
      <c r="J15" s="944">
        <f t="shared" si="1"/>
        <v>200.85026604764388</v>
      </c>
      <c r="K15" s="944">
        <f t="shared" si="1"/>
        <v>0</v>
      </c>
      <c r="L15" s="944">
        <f t="shared" ca="1" si="1"/>
        <v>0</v>
      </c>
      <c r="M15" s="944">
        <f t="shared" si="1"/>
        <v>6837.7507298969631</v>
      </c>
      <c r="N15" s="944">
        <f t="shared" ca="1" si="1"/>
        <v>29833.315871241146</v>
      </c>
      <c r="O15" s="944">
        <f t="shared" si="1"/>
        <v>636.27666666666676</v>
      </c>
      <c r="P15" s="944">
        <f t="shared" si="1"/>
        <v>1067.7333333333333</v>
      </c>
      <c r="Q15" s="944">
        <f t="shared" ca="1" si="1"/>
        <v>691626.28896822024</v>
      </c>
    </row>
    <row r="17" spans="1:17">
      <c r="A17" s="461" t="s">
        <v>558</v>
      </c>
      <c r="B17" s="760">
        <f ca="1">huishoudens!B10</f>
        <v>0.15318340493097515</v>
      </c>
      <c r="C17" s="760">
        <f ca="1">huishoudens!C10</f>
        <v>1.0595728737354817E-2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7223.8402726793238</v>
      </c>
      <c r="C22" s="451">
        <f t="shared" ref="C22:C32" ca="1" si="3">C4*$C$17</f>
        <v>0</v>
      </c>
      <c r="D22" s="451">
        <f t="shared" ref="D22:D32" si="4">D4*$D$17</f>
        <v>16694.072901308002</v>
      </c>
      <c r="E22" s="451">
        <f t="shared" ref="E22:E32" si="5">E4*$E$17</f>
        <v>3638.0164252175409</v>
      </c>
      <c r="F22" s="451">
        <f t="shared" ref="F22:F32" si="6">F4*$F$17</f>
        <v>19108.164067071433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46664.093666276298</v>
      </c>
    </row>
    <row r="23" spans="1:17">
      <c r="A23" s="450" t="s">
        <v>155</v>
      </c>
      <c r="B23" s="451">
        <f t="shared" ca="1" si="2"/>
        <v>9610.7925410500975</v>
      </c>
      <c r="C23" s="451">
        <f t="shared" ca="1" si="3"/>
        <v>0</v>
      </c>
      <c r="D23" s="451">
        <f t="shared" ca="1" si="4"/>
        <v>9232.344277684002</v>
      </c>
      <c r="E23" s="451">
        <f t="shared" si="5"/>
        <v>166.79796315645984</v>
      </c>
      <c r="F23" s="451">
        <f t="shared" ca="1" si="6"/>
        <v>3225.4466939812396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22235.3814758718</v>
      </c>
    </row>
    <row r="24" spans="1:17">
      <c r="A24" s="450" t="s">
        <v>193</v>
      </c>
      <c r="B24" s="451">
        <f t="shared" ca="1" si="2"/>
        <v>249.69415827325716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249.69415827325716</v>
      </c>
    </row>
    <row r="25" spans="1:17">
      <c r="A25" s="450" t="s">
        <v>111</v>
      </c>
      <c r="B25" s="451">
        <f t="shared" ca="1" si="2"/>
        <v>67.756236852473862</v>
      </c>
      <c r="C25" s="451">
        <f t="shared" ca="1" si="3"/>
        <v>204.34619707755718</v>
      </c>
      <c r="D25" s="451">
        <f t="shared" si="4"/>
        <v>18.738041564</v>
      </c>
      <c r="E25" s="451">
        <f t="shared" si="5"/>
        <v>2.5891075821322667</v>
      </c>
      <c r="F25" s="451">
        <f t="shared" si="6"/>
        <v>431.67692008164983</v>
      </c>
      <c r="G25" s="451">
        <f t="shared" si="7"/>
        <v>0</v>
      </c>
      <c r="H25" s="451">
        <f t="shared" si="8"/>
        <v>0</v>
      </c>
      <c r="I25" s="451">
        <f t="shared" si="9"/>
        <v>0</v>
      </c>
      <c r="J25" s="451">
        <f t="shared" si="10"/>
        <v>22.541995181125941</v>
      </c>
      <c r="K25" s="451">
        <f t="shared" si="11"/>
        <v>0</v>
      </c>
      <c r="L25" s="451">
        <f t="shared" si="12"/>
        <v>0</v>
      </c>
      <c r="M25" s="451">
        <f t="shared" si="13"/>
        <v>0</v>
      </c>
      <c r="N25" s="451">
        <f t="shared" si="14"/>
        <v>0</v>
      </c>
      <c r="O25" s="451">
        <f t="shared" si="15"/>
        <v>0</v>
      </c>
      <c r="P25" s="452">
        <f t="shared" si="16"/>
        <v>0</v>
      </c>
      <c r="Q25" s="450">
        <f t="shared" ca="1" si="17"/>
        <v>747.64849833893913</v>
      </c>
    </row>
    <row r="26" spans="1:17">
      <c r="A26" s="450" t="s">
        <v>637</v>
      </c>
      <c r="B26" s="451">
        <f t="shared" ca="1" si="2"/>
        <v>4347.5110827520202</v>
      </c>
      <c r="C26" s="451">
        <f t="shared" ca="1" si="3"/>
        <v>9.5361558636193369</v>
      </c>
      <c r="D26" s="451">
        <f t="shared" si="4"/>
        <v>5346.4878763279994</v>
      </c>
      <c r="E26" s="451">
        <f t="shared" si="5"/>
        <v>473.48742032313152</v>
      </c>
      <c r="F26" s="451">
        <f t="shared" si="6"/>
        <v>2971.7587185278667</v>
      </c>
      <c r="G26" s="451">
        <f t="shared" si="7"/>
        <v>0</v>
      </c>
      <c r="H26" s="451">
        <f t="shared" si="8"/>
        <v>0</v>
      </c>
      <c r="I26" s="451">
        <f t="shared" si="9"/>
        <v>0</v>
      </c>
      <c r="J26" s="451">
        <f t="shared" si="10"/>
        <v>48.558998999739991</v>
      </c>
      <c r="K26" s="451">
        <f t="shared" si="11"/>
        <v>0</v>
      </c>
      <c r="L26" s="451">
        <f t="shared" si="12"/>
        <v>0</v>
      </c>
      <c r="M26" s="451">
        <f t="shared" si="13"/>
        <v>0</v>
      </c>
      <c r="N26" s="451">
        <f t="shared" si="14"/>
        <v>0</v>
      </c>
      <c r="O26" s="451">
        <f t="shared" si="15"/>
        <v>0</v>
      </c>
      <c r="P26" s="452">
        <f t="shared" si="16"/>
        <v>0</v>
      </c>
      <c r="Q26" s="450">
        <f t="shared" ca="1" si="17"/>
        <v>13197.340252794378</v>
      </c>
    </row>
    <row r="27" spans="1:17" s="456" customFormat="1">
      <c r="A27" s="454" t="s">
        <v>563</v>
      </c>
      <c r="B27" s="754">
        <f t="shared" ca="1" si="2"/>
        <v>7.6111254503854715</v>
      </c>
      <c r="C27" s="455">
        <f t="shared" ca="1" si="3"/>
        <v>0</v>
      </c>
      <c r="D27" s="455">
        <f t="shared" si="4"/>
        <v>20.780522715451561</v>
      </c>
      <c r="E27" s="455">
        <f t="shared" si="5"/>
        <v>108.18070554134084</v>
      </c>
      <c r="F27" s="455">
        <f t="shared" si="6"/>
        <v>0</v>
      </c>
      <c r="G27" s="455">
        <f t="shared" si="7"/>
        <v>48031.706983716809</v>
      </c>
      <c r="H27" s="455">
        <f t="shared" si="8"/>
        <v>8784.7923204776125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56953.071657901601</v>
      </c>
    </row>
    <row r="28" spans="1:17">
      <c r="A28" s="450" t="s">
        <v>553</v>
      </c>
      <c r="B28" s="451">
        <f t="shared" ca="1" si="2"/>
        <v>0</v>
      </c>
      <c r="C28" s="451">
        <f t="shared" ca="1" si="3"/>
        <v>0</v>
      </c>
      <c r="D28" s="451">
        <f t="shared" si="4"/>
        <v>0</v>
      </c>
      <c r="E28" s="451">
        <f t="shared" si="5"/>
        <v>0</v>
      </c>
      <c r="F28" s="451">
        <f t="shared" si="6"/>
        <v>0</v>
      </c>
      <c r="G28" s="451">
        <f t="shared" si="7"/>
        <v>1042.3987237978217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1042.3987237978217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135.89435993344065</v>
      </c>
      <c r="C32" s="451">
        <f t="shared" ca="1" si="3"/>
        <v>0</v>
      </c>
      <c r="D32" s="451">
        <f t="shared" si="4"/>
        <v>354.88551799999999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490.77987793344062</v>
      </c>
    </row>
    <row r="33" spans="1:17" s="460" customFormat="1">
      <c r="A33" s="1004" t="s">
        <v>557</v>
      </c>
      <c r="B33" s="944">
        <f ca="1">SUM(B22:B32)</f>
        <v>21643.099776990999</v>
      </c>
      <c r="C33" s="944">
        <f t="shared" ref="C33:Q33" ca="1" si="18">SUM(C22:C32)</f>
        <v>213.88235294117652</v>
      </c>
      <c r="D33" s="944">
        <f t="shared" ca="1" si="18"/>
        <v>31667.309137599455</v>
      </c>
      <c r="E33" s="944">
        <f t="shared" si="18"/>
        <v>4389.0716218206053</v>
      </c>
      <c r="F33" s="944">
        <f t="shared" ca="1" si="18"/>
        <v>25737.046399662191</v>
      </c>
      <c r="G33" s="944">
        <f t="shared" si="18"/>
        <v>49074.105707514631</v>
      </c>
      <c r="H33" s="944">
        <f t="shared" si="18"/>
        <v>8784.7923204776125</v>
      </c>
      <c r="I33" s="944">
        <f t="shared" si="18"/>
        <v>0</v>
      </c>
      <c r="J33" s="944">
        <f t="shared" si="18"/>
        <v>71.100994180865939</v>
      </c>
      <c r="K33" s="944">
        <f t="shared" si="18"/>
        <v>0</v>
      </c>
      <c r="L33" s="944">
        <f t="shared" ca="1" si="18"/>
        <v>0</v>
      </c>
      <c r="M33" s="944">
        <f t="shared" si="18"/>
        <v>0</v>
      </c>
      <c r="N33" s="944">
        <f t="shared" ca="1" si="18"/>
        <v>0</v>
      </c>
      <c r="O33" s="944">
        <f t="shared" si="18"/>
        <v>0</v>
      </c>
      <c r="P33" s="944">
        <f t="shared" si="18"/>
        <v>0</v>
      </c>
      <c r="Q33" s="944">
        <f t="shared" ca="1" si="18"/>
        <v>141580.40831118752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15571.179292433319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13500</v>
      </c>
      <c r="C8" s="1021">
        <f>'SEAP template'!C76</f>
        <v>630.00000000000011</v>
      </c>
      <c r="D8" s="1021">
        <f>'SEAP template'!D76</f>
        <v>741.17647058823536</v>
      </c>
      <c r="E8" s="1021">
        <f>'SEAP template'!E76</f>
        <v>0</v>
      </c>
      <c r="F8" s="1021">
        <f>'SEAP template'!F76</f>
        <v>0</v>
      </c>
      <c r="G8" s="1021">
        <f>'SEAP template'!G76</f>
        <v>0</v>
      </c>
      <c r="H8" s="1021">
        <f>'SEAP template'!H76</f>
        <v>0</v>
      </c>
      <c r="I8" s="1021">
        <f>'SEAP template'!I76</f>
        <v>0</v>
      </c>
      <c r="J8" s="1021">
        <f>'SEAP template'!J76</f>
        <v>15882.352941176468</v>
      </c>
      <c r="K8" s="1021">
        <f>'SEAP template'!K76</f>
        <v>0</v>
      </c>
      <c r="L8" s="1021">
        <f>'SEAP template'!L76</f>
        <v>0</v>
      </c>
      <c r="M8" s="1021">
        <f>'SEAP template'!M76</f>
        <v>0</v>
      </c>
      <c r="N8" s="1021">
        <f>'SEAP template'!N76</f>
        <v>0</v>
      </c>
      <c r="O8" s="1021">
        <f>'SEAP template'!O76</f>
        <v>0</v>
      </c>
      <c r="P8" s="1022">
        <f>'SEAP template'!Q76</f>
        <v>149.71764705882356</v>
      </c>
    </row>
    <row r="9" spans="1:16">
      <c r="A9" s="1024" t="s">
        <v>849</v>
      </c>
      <c r="B9" s="1021">
        <f>'SEAP template'!B77</f>
        <v>14332.5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40950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43403.67929243332</v>
      </c>
      <c r="C10" s="1025">
        <f>SUM(C4:C9)</f>
        <v>630.00000000000011</v>
      </c>
      <c r="D10" s="1025">
        <f t="shared" ref="D10:H10" si="0">SUM(D8:D9)</f>
        <v>741.17647058823536</v>
      </c>
      <c r="E10" s="1025">
        <f t="shared" si="0"/>
        <v>0</v>
      </c>
      <c r="F10" s="1025">
        <f t="shared" si="0"/>
        <v>0</v>
      </c>
      <c r="G10" s="1025">
        <f t="shared" si="0"/>
        <v>0</v>
      </c>
      <c r="H10" s="1025">
        <f t="shared" si="0"/>
        <v>0</v>
      </c>
      <c r="I10" s="1025">
        <f>SUM(I8:I9)</f>
        <v>0</v>
      </c>
      <c r="J10" s="1025">
        <f>SUM(J8:J9)</f>
        <v>56832.352941176468</v>
      </c>
      <c r="K10" s="1025">
        <f t="shared" ref="K10:L10" si="1">SUM(K8:K9)</f>
        <v>0</v>
      </c>
      <c r="L10" s="1025">
        <f t="shared" si="1"/>
        <v>0</v>
      </c>
      <c r="M10" s="1025">
        <f>SUM(M8:M9)</f>
        <v>0</v>
      </c>
      <c r="N10" s="1025">
        <f>SUM(N8:N9)</f>
        <v>0</v>
      </c>
      <c r="O10" s="1025">
        <f>SUM(O8:O9)</f>
        <v>0</v>
      </c>
      <c r="P10" s="1025">
        <f>SUM(P8:P9)</f>
        <v>149.71764705882356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0.15318340493097515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19285.714285714283</v>
      </c>
      <c r="C17" s="1027">
        <f>'SEAP template'!C87</f>
        <v>900.00000000000023</v>
      </c>
      <c r="D17" s="1022">
        <f>'SEAP template'!D87</f>
        <v>1058.8235294117649</v>
      </c>
      <c r="E17" s="1022">
        <f>'SEAP template'!E87</f>
        <v>0</v>
      </c>
      <c r="F17" s="1022">
        <f>'SEAP template'!F87</f>
        <v>0</v>
      </c>
      <c r="G17" s="1022">
        <f>'SEAP template'!G87</f>
        <v>0</v>
      </c>
      <c r="H17" s="1022">
        <f>'SEAP template'!H87</f>
        <v>0</v>
      </c>
      <c r="I17" s="1022">
        <f>'SEAP template'!I87</f>
        <v>0</v>
      </c>
      <c r="J17" s="1022">
        <f>'SEAP template'!J87</f>
        <v>22689.075630252097</v>
      </c>
      <c r="K17" s="1022">
        <f>'SEAP template'!K87</f>
        <v>0</v>
      </c>
      <c r="L17" s="1022">
        <f>'SEAP template'!L87</f>
        <v>0</v>
      </c>
      <c r="M17" s="1022">
        <f>'SEAP template'!M87</f>
        <v>0</v>
      </c>
      <c r="N17" s="1022">
        <f>'SEAP template'!N87</f>
        <v>0</v>
      </c>
      <c r="O17" s="1022">
        <f>'SEAP template'!O87</f>
        <v>0</v>
      </c>
      <c r="P17" s="1022">
        <f>'SEAP template'!Q87</f>
        <v>213.88235294117652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19285.714285714283</v>
      </c>
      <c r="C20" s="1025">
        <f>SUM(C17:C19)</f>
        <v>900.00000000000023</v>
      </c>
      <c r="D20" s="1025">
        <f t="shared" ref="D20:H20" si="2">SUM(D17:D19)</f>
        <v>1058.8235294117649</v>
      </c>
      <c r="E20" s="1025">
        <f t="shared" si="2"/>
        <v>0</v>
      </c>
      <c r="F20" s="1025">
        <f t="shared" si="2"/>
        <v>0</v>
      </c>
      <c r="G20" s="1025">
        <f t="shared" si="2"/>
        <v>0</v>
      </c>
      <c r="H20" s="1025">
        <f t="shared" si="2"/>
        <v>0</v>
      </c>
      <c r="I20" s="1025">
        <f>SUM(I17:I19)</f>
        <v>0</v>
      </c>
      <c r="J20" s="1025">
        <f>SUM(J17:J19)</f>
        <v>22689.075630252097</v>
      </c>
      <c r="K20" s="1025">
        <f t="shared" ref="K20:L20" si="3">SUM(K17:K19)</f>
        <v>0</v>
      </c>
      <c r="L20" s="1025">
        <f t="shared" si="3"/>
        <v>0</v>
      </c>
      <c r="M20" s="1025">
        <f>SUM(M17:M19)</f>
        <v>0</v>
      </c>
      <c r="N20" s="1025">
        <f>SUM(N17:N19)</f>
        <v>0</v>
      </c>
      <c r="O20" s="1025">
        <f>SUM(O17:O19)</f>
        <v>0</v>
      </c>
      <c r="P20" s="1025">
        <f>SUM(P17:P19)</f>
        <v>213.88235294117652</v>
      </c>
    </row>
    <row r="22" spans="1:16">
      <c r="A22" s="461" t="s">
        <v>857</v>
      </c>
      <c r="B22" s="760" t="s">
        <v>851</v>
      </c>
      <c r="C22" s="760">
        <f ca="1">'EF ele_warmte'!B22</f>
        <v>1.0595728737354817E-2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0.15318340493097515</v>
      </c>
      <c r="C17" s="498">
        <f ca="1">'EF ele_warmte'!B22</f>
        <v>1.0595728737354817E-2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0.15318340493097515</v>
      </c>
      <c r="C17" s="498">
        <f ca="1">'EF ele_warmte'!B22</f>
        <v>1.0595728737354817E-2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0.15318340493097515</v>
      </c>
      <c r="C29" s="499">
        <f ca="1">'EF ele_warmte'!B22</f>
        <v>1.0595728737354817E-2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11693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2720.28</v>
      </c>
      <c r="C14" s="330"/>
      <c r="D14" s="330"/>
      <c r="E14" s="330"/>
      <c r="F14" s="330"/>
    </row>
    <row r="15" spans="1:6">
      <c r="A15" s="1291" t="s">
        <v>183</v>
      </c>
      <c r="B15" s="1292">
        <v>1205</v>
      </c>
      <c r="C15" s="330"/>
      <c r="D15" s="330"/>
      <c r="E15" s="330"/>
      <c r="F15" s="330"/>
    </row>
    <row r="16" spans="1:6">
      <c r="A16" s="1291" t="s">
        <v>6</v>
      </c>
      <c r="B16" s="1292">
        <v>358</v>
      </c>
      <c r="C16" s="330"/>
      <c r="D16" s="330"/>
      <c r="E16" s="330"/>
      <c r="F16" s="330"/>
    </row>
    <row r="17" spans="1:6">
      <c r="A17" s="1291" t="s">
        <v>7</v>
      </c>
      <c r="B17" s="1292">
        <v>23</v>
      </c>
      <c r="C17" s="330"/>
      <c r="D17" s="330"/>
      <c r="E17" s="330"/>
      <c r="F17" s="330"/>
    </row>
    <row r="18" spans="1:6">
      <c r="A18" s="1291" t="s">
        <v>8</v>
      </c>
      <c r="B18" s="1292">
        <v>211</v>
      </c>
      <c r="C18" s="330"/>
      <c r="D18" s="330"/>
      <c r="E18" s="330"/>
      <c r="F18" s="330"/>
    </row>
    <row r="19" spans="1:6">
      <c r="A19" s="1291" t="s">
        <v>9</v>
      </c>
      <c r="B19" s="1292">
        <v>185</v>
      </c>
      <c r="C19" s="330"/>
      <c r="D19" s="330"/>
      <c r="E19" s="330"/>
      <c r="F19" s="330"/>
    </row>
    <row r="20" spans="1:6">
      <c r="A20" s="1291" t="s">
        <v>10</v>
      </c>
      <c r="B20" s="1292">
        <v>75</v>
      </c>
      <c r="C20" s="330"/>
      <c r="D20" s="330"/>
      <c r="E20" s="330"/>
      <c r="F20" s="330"/>
    </row>
    <row r="21" spans="1:6">
      <c r="A21" s="1291" t="s">
        <v>11</v>
      </c>
      <c r="B21" s="1292">
        <v>4671</v>
      </c>
      <c r="C21" s="330"/>
      <c r="D21" s="330"/>
      <c r="E21" s="330"/>
      <c r="F21" s="330"/>
    </row>
    <row r="22" spans="1:6">
      <c r="A22" s="1291" t="s">
        <v>12</v>
      </c>
      <c r="B22" s="1292">
        <v>2853</v>
      </c>
      <c r="C22" s="330"/>
      <c r="D22" s="330"/>
      <c r="E22" s="330"/>
      <c r="F22" s="330"/>
    </row>
    <row r="23" spans="1:6">
      <c r="A23" s="1291" t="s">
        <v>13</v>
      </c>
      <c r="B23" s="1292">
        <v>26</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1180</v>
      </c>
      <c r="C26" s="330"/>
      <c r="D26" s="330"/>
      <c r="E26" s="330"/>
      <c r="F26" s="330"/>
    </row>
    <row r="27" spans="1:6">
      <c r="A27" s="1291" t="s">
        <v>17</v>
      </c>
      <c r="B27" s="1292">
        <v>25</v>
      </c>
      <c r="C27" s="330"/>
      <c r="D27" s="330"/>
      <c r="E27" s="330"/>
      <c r="F27" s="330"/>
    </row>
    <row r="28" spans="1:6" s="43" customFormat="1">
      <c r="A28" s="1293" t="s">
        <v>18</v>
      </c>
      <c r="B28" s="1294">
        <v>30313</v>
      </c>
      <c r="C28" s="336"/>
      <c r="D28" s="336"/>
      <c r="E28" s="336"/>
      <c r="F28" s="336"/>
    </row>
    <row r="29" spans="1:6">
      <c r="A29" s="1293" t="s">
        <v>892</v>
      </c>
      <c r="B29" s="1294">
        <v>72</v>
      </c>
      <c r="C29" s="336"/>
      <c r="D29" s="336"/>
      <c r="E29" s="336"/>
      <c r="F29" s="336"/>
    </row>
    <row r="30" spans="1:6">
      <c r="A30" s="1286" t="s">
        <v>893</v>
      </c>
      <c r="B30" s="1295">
        <v>36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4587</v>
      </c>
    </row>
    <row r="37" spans="1:6">
      <c r="A37" s="1291" t="s">
        <v>24</v>
      </c>
      <c r="B37" s="1291" t="s">
        <v>27</v>
      </c>
      <c r="C37" s="1292">
        <v>0</v>
      </c>
      <c r="D37" s="1292">
        <v>0</v>
      </c>
      <c r="E37" s="1292">
        <v>4</v>
      </c>
      <c r="F37" s="1292">
        <v>189139</v>
      </c>
    </row>
    <row r="38" spans="1:6">
      <c r="A38" s="1291" t="s">
        <v>24</v>
      </c>
      <c r="B38" s="1291" t="s">
        <v>28</v>
      </c>
      <c r="C38" s="1292">
        <v>0</v>
      </c>
      <c r="D38" s="1292">
        <v>160163</v>
      </c>
      <c r="E38" s="1292">
        <v>0</v>
      </c>
      <c r="F38" s="1292">
        <v>28686</v>
      </c>
    </row>
    <row r="39" spans="1:6">
      <c r="A39" s="1291" t="s">
        <v>29</v>
      </c>
      <c r="B39" s="1291" t="s">
        <v>30</v>
      </c>
      <c r="C39" s="1292">
        <v>6185</v>
      </c>
      <c r="D39" s="1292">
        <v>91622977</v>
      </c>
      <c r="E39" s="1292">
        <v>11725</v>
      </c>
      <c r="F39" s="1292">
        <v>38921485</v>
      </c>
    </row>
    <row r="40" spans="1:6">
      <c r="A40" s="1291" t="s">
        <v>29</v>
      </c>
      <c r="B40" s="1291" t="s">
        <v>28</v>
      </c>
      <c r="C40" s="1292">
        <v>0</v>
      </c>
      <c r="D40" s="1292">
        <v>0</v>
      </c>
      <c r="E40" s="1292">
        <v>0</v>
      </c>
      <c r="F40" s="1292">
        <v>0</v>
      </c>
    </row>
    <row r="41" spans="1:6">
      <c r="A41" s="1291" t="s">
        <v>31</v>
      </c>
      <c r="B41" s="1291" t="s">
        <v>32</v>
      </c>
      <c r="C41" s="1292">
        <v>105</v>
      </c>
      <c r="D41" s="1292">
        <v>11369482</v>
      </c>
      <c r="E41" s="1292">
        <v>192</v>
      </c>
      <c r="F41" s="1292">
        <v>6099524</v>
      </c>
    </row>
    <row r="42" spans="1:6">
      <c r="A42" s="1291" t="s">
        <v>31</v>
      </c>
      <c r="B42" s="1291" t="s">
        <v>33</v>
      </c>
      <c r="C42" s="1292">
        <v>0</v>
      </c>
      <c r="D42" s="1292">
        <v>0</v>
      </c>
      <c r="E42" s="1292">
        <v>6</v>
      </c>
      <c r="F42" s="1292">
        <v>3438005</v>
      </c>
    </row>
    <row r="43" spans="1:6">
      <c r="A43" s="1291" t="s">
        <v>31</v>
      </c>
      <c r="B43" s="1291" t="s">
        <v>34</v>
      </c>
      <c r="C43" s="1292">
        <v>0</v>
      </c>
      <c r="D43" s="1292">
        <v>0</v>
      </c>
      <c r="E43" s="1292">
        <v>0</v>
      </c>
      <c r="F43" s="1292">
        <v>0</v>
      </c>
    </row>
    <row r="44" spans="1:6">
      <c r="A44" s="1291" t="s">
        <v>31</v>
      </c>
      <c r="B44" s="1291" t="s">
        <v>35</v>
      </c>
      <c r="C44" s="1292">
        <v>26</v>
      </c>
      <c r="D44" s="1292">
        <v>12380851</v>
      </c>
      <c r="E44" s="1292">
        <v>34</v>
      </c>
      <c r="F44" s="1292">
        <v>11482841</v>
      </c>
    </row>
    <row r="45" spans="1:6">
      <c r="A45" s="1291" t="s">
        <v>31</v>
      </c>
      <c r="B45" s="1291" t="s">
        <v>36</v>
      </c>
      <c r="C45" s="1292">
        <v>6</v>
      </c>
      <c r="D45" s="1292">
        <v>4621305</v>
      </c>
      <c r="E45" s="1292">
        <v>13</v>
      </c>
      <c r="F45" s="1292">
        <v>3997034</v>
      </c>
    </row>
    <row r="46" spans="1:6">
      <c r="A46" s="1291" t="s">
        <v>31</v>
      </c>
      <c r="B46" s="1291" t="s">
        <v>37</v>
      </c>
      <c r="C46" s="1292">
        <v>0</v>
      </c>
      <c r="D46" s="1292">
        <v>0</v>
      </c>
      <c r="E46" s="1292">
        <v>0</v>
      </c>
      <c r="F46" s="1292">
        <v>0</v>
      </c>
    </row>
    <row r="47" spans="1:6">
      <c r="A47" s="1291" t="s">
        <v>31</v>
      </c>
      <c r="B47" s="1291" t="s">
        <v>38</v>
      </c>
      <c r="C47" s="1292">
        <v>8</v>
      </c>
      <c r="D47" s="1292">
        <v>347580</v>
      </c>
      <c r="E47" s="1292">
        <v>8</v>
      </c>
      <c r="F47" s="1292">
        <v>1979481</v>
      </c>
    </row>
    <row r="48" spans="1:6">
      <c r="A48" s="1291" t="s">
        <v>31</v>
      </c>
      <c r="B48" s="1291" t="s">
        <v>28</v>
      </c>
      <c r="C48" s="1292">
        <v>0</v>
      </c>
      <c r="D48" s="1292">
        <v>1511732</v>
      </c>
      <c r="E48" s="1292">
        <v>0</v>
      </c>
      <c r="F48" s="1292">
        <v>0</v>
      </c>
    </row>
    <row r="49" spans="1:6">
      <c r="A49" s="1291" t="s">
        <v>31</v>
      </c>
      <c r="B49" s="1291" t="s">
        <v>39</v>
      </c>
      <c r="C49" s="1292">
        <v>5</v>
      </c>
      <c r="D49" s="1292">
        <v>712614</v>
      </c>
      <c r="E49" s="1292">
        <v>3</v>
      </c>
      <c r="F49" s="1292">
        <v>204243</v>
      </c>
    </row>
    <row r="50" spans="1:6">
      <c r="A50" s="1291" t="s">
        <v>31</v>
      </c>
      <c r="B50" s="1291" t="s">
        <v>40</v>
      </c>
      <c r="C50" s="1292">
        <v>5</v>
      </c>
      <c r="D50" s="1292">
        <v>395418</v>
      </c>
      <c r="E50" s="1292">
        <v>11</v>
      </c>
      <c r="F50" s="1292">
        <v>549956</v>
      </c>
    </row>
    <row r="51" spans="1:6">
      <c r="A51" s="1291" t="s">
        <v>41</v>
      </c>
      <c r="B51" s="1291" t="s">
        <v>42</v>
      </c>
      <c r="C51" s="1292">
        <v>3</v>
      </c>
      <c r="D51" s="1292">
        <v>102841</v>
      </c>
      <c r="E51" s="1292">
        <v>22</v>
      </c>
      <c r="F51" s="1292">
        <v>442321</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150</v>
      </c>
      <c r="F54" s="1292">
        <v>1630034</v>
      </c>
    </row>
    <row r="55" spans="1:6">
      <c r="A55" s="1291" t="s">
        <v>45</v>
      </c>
      <c r="B55" s="1291" t="s">
        <v>28</v>
      </c>
      <c r="C55" s="1292">
        <v>0</v>
      </c>
      <c r="D55" s="1292">
        <v>0</v>
      </c>
      <c r="E55" s="1292">
        <v>0</v>
      </c>
      <c r="F55" s="1292">
        <v>0</v>
      </c>
    </row>
    <row r="56" spans="1:6">
      <c r="A56" s="1291" t="s">
        <v>47</v>
      </c>
      <c r="B56" s="1291" t="s">
        <v>28</v>
      </c>
      <c r="C56" s="1292">
        <v>77</v>
      </c>
      <c r="D56" s="1292">
        <v>1756859</v>
      </c>
      <c r="E56" s="1292">
        <v>197</v>
      </c>
      <c r="F56" s="1292">
        <v>887135</v>
      </c>
    </row>
    <row r="57" spans="1:6">
      <c r="A57" s="1291" t="s">
        <v>48</v>
      </c>
      <c r="B57" s="1291" t="s">
        <v>49</v>
      </c>
      <c r="C57" s="1292">
        <v>76</v>
      </c>
      <c r="D57" s="1292">
        <v>17411812</v>
      </c>
      <c r="E57" s="1292">
        <v>133</v>
      </c>
      <c r="F57" s="1292">
        <v>19287194</v>
      </c>
    </row>
    <row r="58" spans="1:6">
      <c r="A58" s="1291" t="s">
        <v>48</v>
      </c>
      <c r="B58" s="1291" t="s">
        <v>50</v>
      </c>
      <c r="C58" s="1292">
        <v>15</v>
      </c>
      <c r="D58" s="1292">
        <v>748304</v>
      </c>
      <c r="E58" s="1292">
        <v>73</v>
      </c>
      <c r="F58" s="1292">
        <v>1530831</v>
      </c>
    </row>
    <row r="59" spans="1:6">
      <c r="A59" s="1291" t="s">
        <v>48</v>
      </c>
      <c r="B59" s="1291" t="s">
        <v>51</v>
      </c>
      <c r="C59" s="1292">
        <v>164</v>
      </c>
      <c r="D59" s="1292">
        <v>7775447</v>
      </c>
      <c r="E59" s="1292">
        <v>324</v>
      </c>
      <c r="F59" s="1292">
        <v>13027472</v>
      </c>
    </row>
    <row r="60" spans="1:6">
      <c r="A60" s="1291" t="s">
        <v>48</v>
      </c>
      <c r="B60" s="1291" t="s">
        <v>52</v>
      </c>
      <c r="C60" s="1292">
        <v>63</v>
      </c>
      <c r="D60" s="1292">
        <v>8759640</v>
      </c>
      <c r="E60" s="1292">
        <v>128</v>
      </c>
      <c r="F60" s="1292">
        <v>5794518</v>
      </c>
    </row>
    <row r="61" spans="1:6">
      <c r="A61" s="1291" t="s">
        <v>48</v>
      </c>
      <c r="B61" s="1291" t="s">
        <v>53</v>
      </c>
      <c r="C61" s="1292">
        <v>181</v>
      </c>
      <c r="D61" s="1292">
        <v>11577704</v>
      </c>
      <c r="E61" s="1292">
        <v>464</v>
      </c>
      <c r="F61" s="1292">
        <v>7698235</v>
      </c>
    </row>
    <row r="62" spans="1:6">
      <c r="A62" s="1291" t="s">
        <v>48</v>
      </c>
      <c r="B62" s="1291" t="s">
        <v>54</v>
      </c>
      <c r="C62" s="1292">
        <v>27</v>
      </c>
      <c r="D62" s="1292">
        <v>4397464</v>
      </c>
      <c r="E62" s="1292">
        <v>31</v>
      </c>
      <c r="F62" s="1292">
        <v>1069679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5715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346451</v>
      </c>
      <c r="E68" s="1295">
        <v>14</v>
      </c>
      <c r="F68" s="1295">
        <v>401622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144150569</v>
      </c>
      <c r="E73" s="449"/>
      <c r="F73" s="330"/>
    </row>
    <row r="74" spans="1:6">
      <c r="A74" s="1291" t="s">
        <v>63</v>
      </c>
      <c r="B74" s="1291" t="s">
        <v>664</v>
      </c>
      <c r="C74" s="1305" t="s">
        <v>666</v>
      </c>
      <c r="D74" s="1306">
        <v>11707865.968909888</v>
      </c>
      <c r="E74" s="449"/>
      <c r="F74" s="330"/>
    </row>
    <row r="75" spans="1:6">
      <c r="A75" s="1291" t="s">
        <v>64</v>
      </c>
      <c r="B75" s="1291" t="s">
        <v>663</v>
      </c>
      <c r="C75" s="1305" t="s">
        <v>667</v>
      </c>
      <c r="D75" s="1306">
        <v>50884828</v>
      </c>
      <c r="E75" s="449"/>
      <c r="F75" s="330"/>
    </row>
    <row r="76" spans="1:6">
      <c r="A76" s="1291" t="s">
        <v>64</v>
      </c>
      <c r="B76" s="1291" t="s">
        <v>664</v>
      </c>
      <c r="C76" s="1305" t="s">
        <v>668</v>
      </c>
      <c r="D76" s="1306">
        <v>716271.96890988748</v>
      </c>
      <c r="E76" s="449"/>
      <c r="F76" s="330"/>
    </row>
    <row r="77" spans="1:6">
      <c r="A77" s="1291" t="s">
        <v>65</v>
      </c>
      <c r="B77" s="1291" t="s">
        <v>663</v>
      </c>
      <c r="C77" s="1305" t="s">
        <v>669</v>
      </c>
      <c r="D77" s="1306">
        <v>46451024</v>
      </c>
      <c r="E77" s="449"/>
      <c r="F77" s="330"/>
    </row>
    <row r="78" spans="1:6">
      <c r="A78" s="1286" t="s">
        <v>65</v>
      </c>
      <c r="B78" s="1286" t="s">
        <v>664</v>
      </c>
      <c r="C78" s="1286" t="s">
        <v>670</v>
      </c>
      <c r="D78" s="1307">
        <v>8181865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1092134.062180225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8236.6276946120961</v>
      </c>
      <c r="C91" s="330"/>
      <c r="D91" s="330"/>
      <c r="E91" s="330"/>
      <c r="F91" s="330"/>
    </row>
    <row r="92" spans="1:6">
      <c r="A92" s="1286" t="s">
        <v>68</v>
      </c>
      <c r="B92" s="1287">
        <v>7334.5515978212225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2539</v>
      </c>
      <c r="C97" s="330"/>
      <c r="D97" s="330"/>
      <c r="E97" s="330"/>
      <c r="F97" s="330"/>
    </row>
    <row r="98" spans="1:6">
      <c r="A98" s="1291" t="s">
        <v>71</v>
      </c>
      <c r="B98" s="1292">
        <v>4</v>
      </c>
      <c r="C98" s="330"/>
      <c r="D98" s="330"/>
      <c r="E98" s="330"/>
      <c r="F98" s="330"/>
    </row>
    <row r="99" spans="1:6">
      <c r="A99" s="1291" t="s">
        <v>72</v>
      </c>
      <c r="B99" s="1292">
        <v>32</v>
      </c>
      <c r="C99" s="330"/>
      <c r="D99" s="330"/>
      <c r="E99" s="330"/>
      <c r="F99" s="330"/>
    </row>
    <row r="100" spans="1:6">
      <c r="A100" s="1291" t="s">
        <v>73</v>
      </c>
      <c r="B100" s="1292">
        <v>215</v>
      </c>
      <c r="C100" s="330"/>
      <c r="D100" s="330"/>
      <c r="E100" s="330"/>
      <c r="F100" s="330"/>
    </row>
    <row r="101" spans="1:6">
      <c r="A101" s="1291" t="s">
        <v>74</v>
      </c>
      <c r="B101" s="1292">
        <v>70</v>
      </c>
      <c r="C101" s="330"/>
      <c r="D101" s="330"/>
      <c r="E101" s="330"/>
      <c r="F101" s="330"/>
    </row>
    <row r="102" spans="1:6">
      <c r="A102" s="1291" t="s">
        <v>75</v>
      </c>
      <c r="B102" s="1292">
        <v>101</v>
      </c>
      <c r="C102" s="330"/>
      <c r="D102" s="330"/>
      <c r="E102" s="330"/>
      <c r="F102" s="330"/>
    </row>
    <row r="103" spans="1:6">
      <c r="A103" s="1291" t="s">
        <v>76</v>
      </c>
      <c r="B103" s="1292">
        <v>138</v>
      </c>
      <c r="C103" s="330"/>
      <c r="D103" s="330"/>
      <c r="E103" s="330"/>
      <c r="F103" s="330"/>
    </row>
    <row r="104" spans="1:6">
      <c r="A104" s="1291" t="s">
        <v>77</v>
      </c>
      <c r="B104" s="1292">
        <v>6792</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20</v>
      </c>
      <c r="C123" s="1292">
        <v>26</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378</v>
      </c>
      <c r="C129" s="330"/>
      <c r="D129" s="330"/>
      <c r="E129" s="330"/>
      <c r="F129" s="330"/>
    </row>
    <row r="130" spans="1:6">
      <c r="A130" s="1291" t="s">
        <v>294</v>
      </c>
      <c r="B130" s="1292">
        <v>1</v>
      </c>
      <c r="C130" s="330"/>
      <c r="D130" s="330"/>
      <c r="E130" s="330"/>
      <c r="F130" s="330"/>
    </row>
    <row r="131" spans="1:6">
      <c r="A131" s="1291" t="s">
        <v>295</v>
      </c>
      <c r="B131" s="1292">
        <v>4</v>
      </c>
      <c r="C131" s="330"/>
      <c r="D131" s="330"/>
      <c r="E131" s="330"/>
      <c r="F131" s="330"/>
    </row>
    <row r="132" spans="1:6">
      <c r="A132" s="1286" t="s">
        <v>296</v>
      </c>
      <c r="B132" s="1287">
        <v>32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141288.80205230741</v>
      </c>
      <c r="C3" s="43" t="s">
        <v>169</v>
      </c>
      <c r="D3" s="43"/>
      <c r="E3" s="154"/>
      <c r="F3" s="43"/>
      <c r="G3" s="43"/>
      <c r="H3" s="43"/>
      <c r="I3" s="43"/>
      <c r="J3" s="43"/>
      <c r="K3" s="96"/>
    </row>
    <row r="4" spans="1:11">
      <c r="A4" s="358" t="s">
        <v>170</v>
      </c>
      <c r="B4" s="49">
        <f>IF(ISERROR('SEAP template'!B78+'SEAP template'!C78),0,'SEAP template'!B78+'SEAP template'!C78)</f>
        <v>44033.67929243332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149.71764705882356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0.15318340493097515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213.88235294117652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20185.714285714286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1.0595728737354817E-2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1630.0340000000001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0.15318340493097515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249.69415827325716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38921.485000000001</v>
      </c>
      <c r="C5" s="17">
        <f>IF(ISERROR('Eigen informatie GS &amp; warmtenet'!B57),0,'Eigen informatie GS &amp; warmtenet'!B57)</f>
        <v>0</v>
      </c>
      <c r="D5" s="30">
        <f>(SUM(HH_hh_gas_kWh,HH_rest_gas_kWh)/1000)*0.902</f>
        <v>82643.925254000002</v>
      </c>
      <c r="E5" s="17">
        <f>B46*B57</f>
        <v>16026.504075848197</v>
      </c>
      <c r="F5" s="17">
        <f>B51*B62</f>
        <v>71566.157554574645</v>
      </c>
      <c r="G5" s="18"/>
      <c r="H5" s="17"/>
      <c r="I5" s="17"/>
      <c r="J5" s="17">
        <f>B50*B61+C50*C61</f>
        <v>0</v>
      </c>
      <c r="K5" s="17"/>
      <c r="L5" s="17"/>
      <c r="M5" s="17"/>
      <c r="N5" s="17">
        <f>B48*B59+C48*C59</f>
        <v>28016.179351812272</v>
      </c>
      <c r="O5" s="17">
        <f>B69*B70*B71</f>
        <v>634.71333333333337</v>
      </c>
      <c r="P5" s="17">
        <f>B77*B78*B79/1000-B77*B78*B79/1000/B80</f>
        <v>991.4666666666667</v>
      </c>
    </row>
    <row r="6" spans="1:16">
      <c r="A6" s="16" t="s">
        <v>623</v>
      </c>
      <c r="B6" s="762">
        <f>kWh_PV_kleiner_dan_10kW</f>
        <v>8236.6276946120961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47158.112694612093</v>
      </c>
      <c r="C8" s="21">
        <f>C5</f>
        <v>0</v>
      </c>
      <c r="D8" s="21">
        <f>D5</f>
        <v>82643.925254000002</v>
      </c>
      <c r="E8" s="21">
        <f>E5</f>
        <v>16026.504075848197</v>
      </c>
      <c r="F8" s="21">
        <f>F5</f>
        <v>71566.157554574645</v>
      </c>
      <c r="G8" s="21"/>
      <c r="H8" s="21"/>
      <c r="I8" s="21"/>
      <c r="J8" s="21">
        <f>J5</f>
        <v>0</v>
      </c>
      <c r="K8" s="21"/>
      <c r="L8" s="21">
        <f>L5</f>
        <v>0</v>
      </c>
      <c r="M8" s="21">
        <f>M5</f>
        <v>0</v>
      </c>
      <c r="N8" s="21">
        <f>N5</f>
        <v>28016.179351812272</v>
      </c>
      <c r="O8" s="21">
        <f>O5</f>
        <v>634.71333333333337</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0.15318340493097515</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7223.8402726793238</v>
      </c>
      <c r="C12" s="23">
        <f ca="1">C10*C8</f>
        <v>0</v>
      </c>
      <c r="D12" s="23">
        <f>D8*D10</f>
        <v>16694.072901308002</v>
      </c>
      <c r="E12" s="23">
        <f>E10*E8</f>
        <v>3638.0164252175409</v>
      </c>
      <c r="F12" s="23">
        <f>F10*F8</f>
        <v>19108.164067071433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11693</v>
      </c>
      <c r="C28" s="36"/>
      <c r="D28" s="228"/>
    </row>
    <row r="29" spans="1:7" s="15" customFormat="1">
      <c r="A29" s="230" t="s">
        <v>696</v>
      </c>
      <c r="B29" s="37">
        <f>SUM(HH_hh_gas_aantal,HH_rest_gas_aantal)</f>
        <v>6185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6185</v>
      </c>
      <c r="C32" s="167">
        <f>IF(ISERROR(B32/SUM($B$32,$B$34,$B$35,$B$36,$B$38,$B$39)*100),0,B32/SUM($B$32,$B$34,$B$35,$B$36,$B$38,$B$39)*100)</f>
        <v>53.131174297740749</v>
      </c>
      <c r="D32" s="233"/>
      <c r="G32" s="15"/>
    </row>
    <row r="33" spans="1:7">
      <c r="A33" s="171" t="s">
        <v>71</v>
      </c>
      <c r="B33" s="34" t="s">
        <v>110</v>
      </c>
      <c r="C33" s="167"/>
      <c r="D33" s="233"/>
      <c r="G33" s="15"/>
    </row>
    <row r="34" spans="1:7">
      <c r="A34" s="171" t="s">
        <v>72</v>
      </c>
      <c r="B34" s="33">
        <f>IF((($B$28-$B$32-$B$39-$B$77-$B$38)*C20/100)&lt;0,0,($B$28-$B$32-$B$39-$B$77-$B$38)*C20/100)</f>
        <v>196.38107255520504</v>
      </c>
      <c r="C34" s="167">
        <f>IF(ISERROR(B34/SUM($B$32,$B$34,$B$35,$B$36,$B$38,$B$39)*100),0,B34/SUM($B$32,$B$34,$B$35,$B$36,$B$38,$B$39)*100)</f>
        <v>1.6869776870990898</v>
      </c>
      <c r="D34" s="233"/>
      <c r="G34" s="15"/>
    </row>
    <row r="35" spans="1:7">
      <c r="A35" s="171" t="s">
        <v>73</v>
      </c>
      <c r="B35" s="33">
        <f>IF((($B$28-$B$32-$B$39-$B$77-$B$38)*C21/100)&lt;0,0,($B$28-$B$32-$B$39-$B$77-$B$38)*C21/100)</f>
        <v>1319.4353312302837</v>
      </c>
      <c r="C35" s="167">
        <f>IF(ISERROR(B35/SUM($B$32,$B$34,$B$35,$B$36,$B$38,$B$39)*100),0,B35/SUM($B$32,$B$34,$B$35,$B$36,$B$38,$B$39)*100)</f>
        <v>11.334381335197008</v>
      </c>
      <c r="D35" s="233"/>
      <c r="G35" s="15"/>
    </row>
    <row r="36" spans="1:7">
      <c r="A36" s="171" t="s">
        <v>74</v>
      </c>
      <c r="B36" s="33">
        <f>IF((($B$28-$B$32-$B$39-$B$77-$B$38)*C22/100)&lt;0,0,($B$28-$B$32-$B$39-$B$77-$B$38)*C22/100)</f>
        <v>429.58359621451098</v>
      </c>
      <c r="C36" s="167">
        <f>IF(ISERROR(B36/SUM($B$32,$B$34,$B$35,$B$36,$B$38,$B$39)*100),0,B36/SUM($B$32,$B$34,$B$35,$B$36,$B$38,$B$39)*100)</f>
        <v>3.6902636905292585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3510.6</v>
      </c>
      <c r="C39" s="167">
        <f>IF(ISERROR(B39/SUM($B$32,$B$34,$B$35,$B$36,$B$38,$B$39)*100),0,B39/SUM($B$32,$B$34,$B$35,$B$36,$B$38,$B$39)*100)</f>
        <v>30.157202989433895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6185</v>
      </c>
      <c r="C44" s="34" t="s">
        <v>110</v>
      </c>
      <c r="D44" s="174"/>
    </row>
    <row r="45" spans="1:7">
      <c r="A45" s="171" t="s">
        <v>71</v>
      </c>
      <c r="B45" s="33" t="str">
        <f t="shared" si="0"/>
        <v>-</v>
      </c>
      <c r="C45" s="34" t="s">
        <v>110</v>
      </c>
      <c r="D45" s="174"/>
    </row>
    <row r="46" spans="1:7">
      <c r="A46" s="171" t="s">
        <v>72</v>
      </c>
      <c r="B46" s="33">
        <f t="shared" si="0"/>
        <v>196.38107255520504</v>
      </c>
      <c r="C46" s="34" t="s">
        <v>110</v>
      </c>
      <c r="D46" s="174"/>
    </row>
    <row r="47" spans="1:7">
      <c r="A47" s="171" t="s">
        <v>73</v>
      </c>
      <c r="B47" s="33">
        <f t="shared" si="0"/>
        <v>1319.4353312302837</v>
      </c>
      <c r="C47" s="34" t="s">
        <v>110</v>
      </c>
      <c r="D47" s="174"/>
    </row>
    <row r="48" spans="1:7">
      <c r="A48" s="171" t="s">
        <v>74</v>
      </c>
      <c r="B48" s="33">
        <f t="shared" si="0"/>
        <v>429.58359621451098</v>
      </c>
      <c r="C48" s="33">
        <f>B48*10</f>
        <v>4295.83596214511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3510.6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48407.929000000004</v>
      </c>
      <c r="C5" s="17">
        <f>IF(ISERROR('Eigen informatie GS &amp; warmtenet'!B58),0,'Eigen informatie GS &amp; warmtenet'!B58)</f>
        <v>0</v>
      </c>
      <c r="D5" s="30">
        <f>SUM(D6:D12)</f>
        <v>45704.674642000005</v>
      </c>
      <c r="E5" s="17">
        <f>SUM(E6:E12)</f>
        <v>734.79278923550589</v>
      </c>
      <c r="F5" s="17">
        <f>SUM(F6:F12)</f>
        <v>12080.32469655895</v>
      </c>
      <c r="G5" s="18"/>
      <c r="H5" s="17"/>
      <c r="I5" s="17"/>
      <c r="J5" s="17">
        <f>SUM(J6:J12)</f>
        <v>0</v>
      </c>
      <c r="K5" s="17"/>
      <c r="L5" s="17"/>
      <c r="M5" s="17"/>
      <c r="N5" s="17">
        <f>SUM(N6:N12)</f>
        <v>15244.160074681338</v>
      </c>
      <c r="O5" s="17">
        <f>B38*B39*B40</f>
        <v>1.5633333333333335</v>
      </c>
      <c r="P5" s="17">
        <f>B46*B47*B48/1000-B46*B47*B48/1000/B49</f>
        <v>76.266666666666666</v>
      </c>
      <c r="R5" s="32"/>
    </row>
    <row r="6" spans="1:18">
      <c r="A6" s="32" t="s">
        <v>53</v>
      </c>
      <c r="B6" s="37">
        <f>B26</f>
        <v>7698.2349999999997</v>
      </c>
      <c r="C6" s="33"/>
      <c r="D6" s="37">
        <f>IF(ISERROR(TER_kantoor_gas_kWh/1000),0,TER_kantoor_gas_kWh/1000)*0.902</f>
        <v>10443.089008000001</v>
      </c>
      <c r="E6" s="33">
        <f>$C$26*'E Balans VL '!I12/100/3.6*1000000</f>
        <v>100.77937900046855</v>
      </c>
      <c r="F6" s="33">
        <f>$C$26*('E Balans VL '!L12+'E Balans VL '!N12)/100/3.6*1000000</f>
        <v>1962.9703744111146</v>
      </c>
      <c r="G6" s="34"/>
      <c r="H6" s="33"/>
      <c r="I6" s="33"/>
      <c r="J6" s="33">
        <f>$C$26*('E Balans VL '!D12+'E Balans VL '!E12)/100/3.6*1000000</f>
        <v>0</v>
      </c>
      <c r="K6" s="33"/>
      <c r="L6" s="33"/>
      <c r="M6" s="33"/>
      <c r="N6" s="33">
        <f>$C$26*'E Balans VL '!Y12/100/3.6*1000000</f>
        <v>7.724158394023406</v>
      </c>
      <c r="O6" s="33"/>
      <c r="P6" s="33"/>
      <c r="R6" s="32"/>
    </row>
    <row r="7" spans="1:18">
      <c r="A7" s="32" t="s">
        <v>52</v>
      </c>
      <c r="B7" s="37">
        <f t="shared" ref="B7:B12" si="0">B27</f>
        <v>5794.518</v>
      </c>
      <c r="C7" s="33"/>
      <c r="D7" s="37">
        <f>IF(ISERROR(TER_horeca_gas_kWh/1000),0,TER_horeca_gas_kWh/1000)*0.902</f>
        <v>7901.1952799999999</v>
      </c>
      <c r="E7" s="33">
        <f>$C$27*'E Balans VL '!I9/100/3.6*1000000</f>
        <v>191.7632989293954</v>
      </c>
      <c r="F7" s="33">
        <f>$C$27*('E Balans VL '!L9+'E Balans VL '!N9)/100/3.6*1000000</f>
        <v>2491.6205327170946</v>
      </c>
      <c r="G7" s="34"/>
      <c r="H7" s="33"/>
      <c r="I7" s="33"/>
      <c r="J7" s="33">
        <f>$C$27*('E Balans VL '!D9+'E Balans VL '!E9)/100/3.6*1000000</f>
        <v>0</v>
      </c>
      <c r="K7" s="33"/>
      <c r="L7" s="33"/>
      <c r="M7" s="33"/>
      <c r="N7" s="33">
        <f>$C$27*'E Balans VL '!Y9/100/3.6*1000000</f>
        <v>1.3948246282355763</v>
      </c>
      <c r="O7" s="33"/>
      <c r="P7" s="33"/>
      <c r="R7" s="32"/>
    </row>
    <row r="8" spans="1:18">
      <c r="A8" s="6" t="s">
        <v>51</v>
      </c>
      <c r="B8" s="37">
        <f t="shared" si="0"/>
        <v>13027.472</v>
      </c>
      <c r="C8" s="33"/>
      <c r="D8" s="37">
        <f>IF(ISERROR(TER_handel_gas_kWh/1000),0,TER_handel_gas_kWh/1000)*0.902</f>
        <v>7013.4531940000006</v>
      </c>
      <c r="E8" s="33">
        <f>$C$28*'E Balans VL '!I13/100/3.6*1000000</f>
        <v>411.1669217047006</v>
      </c>
      <c r="F8" s="33">
        <f>$C$28*('E Balans VL '!L13+'E Balans VL '!N13)/100/3.6*1000000</f>
        <v>2554.9166587395334</v>
      </c>
      <c r="G8" s="34"/>
      <c r="H8" s="33"/>
      <c r="I8" s="33"/>
      <c r="J8" s="33">
        <f>$C$28*('E Balans VL '!D13+'E Balans VL '!E13)/100/3.6*1000000</f>
        <v>0</v>
      </c>
      <c r="K8" s="33"/>
      <c r="L8" s="33"/>
      <c r="M8" s="33"/>
      <c r="N8" s="33">
        <f>$C$28*'E Balans VL '!Y13/100/3.6*1000000</f>
        <v>15.461080011361478</v>
      </c>
      <c r="O8" s="33"/>
      <c r="P8" s="33"/>
      <c r="R8" s="32"/>
    </row>
    <row r="9" spans="1:18">
      <c r="A9" s="32" t="s">
        <v>50</v>
      </c>
      <c r="B9" s="37">
        <f t="shared" si="0"/>
        <v>1530.8309999999999</v>
      </c>
      <c r="C9" s="33"/>
      <c r="D9" s="37">
        <f>IF(ISERROR(TER_gezond_gas_kWh/1000),0,TER_gezond_gas_kWh/1000)*0.902</f>
        <v>674.97020799999996</v>
      </c>
      <c r="E9" s="33">
        <f>$C$29*'E Balans VL '!I10/100/3.6*1000000</f>
        <v>0.19599115146724377</v>
      </c>
      <c r="F9" s="33">
        <f>$C$29*('E Balans VL '!L10+'E Balans VL '!N10)/100/3.6*1000000</f>
        <v>318.93626030732491</v>
      </c>
      <c r="G9" s="34"/>
      <c r="H9" s="33"/>
      <c r="I9" s="33"/>
      <c r="J9" s="33">
        <f>$C$29*('E Balans VL '!D10+'E Balans VL '!E10)/100/3.6*1000000</f>
        <v>0</v>
      </c>
      <c r="K9" s="33"/>
      <c r="L9" s="33"/>
      <c r="M9" s="33"/>
      <c r="N9" s="33">
        <f>$C$29*'E Balans VL '!Y10/100/3.6*1000000</f>
        <v>17.980333660854779</v>
      </c>
      <c r="O9" s="33"/>
      <c r="P9" s="33"/>
      <c r="R9" s="32"/>
    </row>
    <row r="10" spans="1:18">
      <c r="A10" s="32" t="s">
        <v>49</v>
      </c>
      <c r="B10" s="37">
        <f t="shared" si="0"/>
        <v>19287.194</v>
      </c>
      <c r="C10" s="33"/>
      <c r="D10" s="37">
        <f>IF(ISERROR(TER_ander_gas_kWh/1000),0,TER_ander_gas_kWh/1000)*0.902</f>
        <v>15705.454424000001</v>
      </c>
      <c r="E10" s="33">
        <f>$C$30*'E Balans VL '!I14/100/3.6*1000000</f>
        <v>29.003404091683649</v>
      </c>
      <c r="F10" s="33">
        <f>$C$30*('E Balans VL '!L14+'E Balans VL '!N14)/100/3.6*1000000</f>
        <v>4257.9907202743889</v>
      </c>
      <c r="G10" s="34"/>
      <c r="H10" s="33"/>
      <c r="I10" s="33"/>
      <c r="J10" s="33">
        <f>$C$30*('E Balans VL '!D14+'E Balans VL '!E14)/100/3.6*1000000</f>
        <v>0</v>
      </c>
      <c r="K10" s="33"/>
      <c r="L10" s="33"/>
      <c r="M10" s="33"/>
      <c r="N10" s="33">
        <f>$C$30*'E Balans VL '!Y14/100/3.6*1000000</f>
        <v>15199.60685121751</v>
      </c>
      <c r="O10" s="33"/>
      <c r="P10" s="33"/>
      <c r="R10" s="32"/>
    </row>
    <row r="11" spans="1:18">
      <c r="A11" s="32" t="s">
        <v>54</v>
      </c>
      <c r="B11" s="37">
        <f t="shared" si="0"/>
        <v>1069.6790000000001</v>
      </c>
      <c r="C11" s="33"/>
      <c r="D11" s="37">
        <f>IF(ISERROR(TER_onderwijs_gas_kWh/1000),0,TER_onderwijs_gas_kWh/1000)*0.902</f>
        <v>3966.5125280000002</v>
      </c>
      <c r="E11" s="33">
        <f>$C$31*'E Balans VL '!I11/100/3.6*1000000</f>
        <v>1.8837943577903513</v>
      </c>
      <c r="F11" s="33">
        <f>$C$31*('E Balans VL '!L11+'E Balans VL '!N11)/100/3.6*1000000</f>
        <v>493.89015010949208</v>
      </c>
      <c r="G11" s="34"/>
      <c r="H11" s="33"/>
      <c r="I11" s="33"/>
      <c r="J11" s="33">
        <f>$C$31*('E Balans VL '!D11+'E Balans VL '!E11)/100/3.6*1000000</f>
        <v>0</v>
      </c>
      <c r="K11" s="33"/>
      <c r="L11" s="33"/>
      <c r="M11" s="33"/>
      <c r="N11" s="33">
        <f>$C$31*'E Balans VL '!Y11/100/3.6*1000000</f>
        <v>1.9928267693541828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energieproductie'!N39+'lokale energieproductie'!N32</f>
        <v>14332.5</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-40950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62740.429000000004</v>
      </c>
      <c r="C16" s="21">
        <f t="shared" ca="1" si="1"/>
        <v>0</v>
      </c>
      <c r="D16" s="21">
        <f t="shared" ca="1" si="1"/>
        <v>45704.674642000005</v>
      </c>
      <c r="E16" s="21">
        <f t="shared" si="1"/>
        <v>734.79278923550589</v>
      </c>
      <c r="F16" s="21">
        <f t="shared" ca="1" si="1"/>
        <v>12080.32469655895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0.15318340493097515</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9610.7925410500975</v>
      </c>
      <c r="C20" s="23">
        <f t="shared" ref="C20:P20" ca="1" si="2">C16*C18</f>
        <v>0</v>
      </c>
      <c r="D20" s="23">
        <f t="shared" ca="1" si="2"/>
        <v>9232.344277684002</v>
      </c>
      <c r="E20" s="23">
        <f t="shared" si="2"/>
        <v>166.79796315645984</v>
      </c>
      <c r="F20" s="23">
        <f t="shared" ca="1" si="2"/>
        <v>3225.4466939812396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7698.2349999999997</v>
      </c>
      <c r="C26" s="39">
        <f>IF(ISERROR(B26*3.6/1000000/'E Balans VL '!Z12*100),0,B26*3.6/1000000/'E Balans VL '!Z12*100)</f>
        <v>0.16490217422589265</v>
      </c>
      <c r="D26" s="237" t="s">
        <v>659</v>
      </c>
      <c r="F26" s="6"/>
    </row>
    <row r="27" spans="1:18">
      <c r="A27" s="231" t="s">
        <v>52</v>
      </c>
      <c r="B27" s="33">
        <f>IF(ISERROR(TER_horeca_ele_kWh/1000),0,TER_horeca_ele_kWh/1000)</f>
        <v>5794.518</v>
      </c>
      <c r="C27" s="39">
        <f>IF(ISERROR(B27*3.6/1000000/'E Balans VL '!Z9*100),0,B27*3.6/1000000/'E Balans VL '!Z9*100)</f>
        <v>0.46498992796102001</v>
      </c>
      <c r="D27" s="237" t="s">
        <v>659</v>
      </c>
      <c r="F27" s="6"/>
    </row>
    <row r="28" spans="1:18">
      <c r="A28" s="171" t="s">
        <v>51</v>
      </c>
      <c r="B28" s="33">
        <f>IF(ISERROR(TER_handel_ele_kWh/1000),0,TER_handel_ele_kWh/1000)</f>
        <v>13027.472</v>
      </c>
      <c r="C28" s="39">
        <f>IF(ISERROR(B28*3.6/1000000/'E Balans VL '!Z13*100),0,B28*3.6/1000000/'E Balans VL '!Z13*100)</f>
        <v>0.38423570140105029</v>
      </c>
      <c r="D28" s="237" t="s">
        <v>659</v>
      </c>
      <c r="F28" s="6"/>
    </row>
    <row r="29" spans="1:18">
      <c r="A29" s="231" t="s">
        <v>50</v>
      </c>
      <c r="B29" s="33">
        <f>IF(ISERROR(TER_gezond_ele_kWh/1000),0,TER_gezond_ele_kWh/1000)</f>
        <v>1530.8309999999999</v>
      </c>
      <c r="C29" s="39">
        <f>IF(ISERROR(B29*3.6/1000000/'E Balans VL '!Z10*100),0,B29*3.6/1000000/'E Balans VL '!Z10*100)</f>
        <v>0.16345170768178571</v>
      </c>
      <c r="D29" s="237" t="s">
        <v>659</v>
      </c>
      <c r="F29" s="6"/>
    </row>
    <row r="30" spans="1:18">
      <c r="A30" s="231" t="s">
        <v>49</v>
      </c>
      <c r="B30" s="33">
        <f>IF(ISERROR(TER_ander_ele_kWh/1000),0,TER_ander_ele_kWh/1000)</f>
        <v>19287.194</v>
      </c>
      <c r="C30" s="39">
        <f>IF(ISERROR(B30*3.6/1000000/'E Balans VL '!Z14*100),0,B30*3.6/1000000/'E Balans VL '!Z14*100)</f>
        <v>1.4568375005758287</v>
      </c>
      <c r="D30" s="237" t="s">
        <v>659</v>
      </c>
      <c r="F30" s="6"/>
    </row>
    <row r="31" spans="1:18">
      <c r="A31" s="231" t="s">
        <v>54</v>
      </c>
      <c r="B31" s="33">
        <f>IF(ISERROR(TER_onderwijs_ele_kWh/1000),0,TER_onderwijs_ele_kWh/1000)</f>
        <v>1069.6790000000001</v>
      </c>
      <c r="C31" s="39">
        <f>IF(ISERROR(B31*3.6/1000000/'E Balans VL '!Z11*100),0,B31*3.6/1000000/'E Balans VL '!Z11*100)</f>
        <v>0.21600389874366316</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27751.083999999999</v>
      </c>
      <c r="C5" s="17">
        <f>IF(ISERROR('Eigen informatie GS &amp; warmtenet'!B59),0,'Eigen informatie GS &amp; warmtenet'!B59)</f>
        <v>0</v>
      </c>
      <c r="D5" s="30">
        <f>SUM(D6:D15)</f>
        <v>28267.761763999995</v>
      </c>
      <c r="E5" s="17">
        <f>SUM(E6:E15)</f>
        <v>2085.8476666217248</v>
      </c>
      <c r="F5" s="17">
        <f>SUM(F6:F15)</f>
        <v>11130.182466396504</v>
      </c>
      <c r="G5" s="18"/>
      <c r="H5" s="17"/>
      <c r="I5" s="17"/>
      <c r="J5" s="17">
        <f>SUM(J6:J15)</f>
        <v>137.17231355858755</v>
      </c>
      <c r="K5" s="17"/>
      <c r="L5" s="17"/>
      <c r="M5" s="17"/>
      <c r="N5" s="17">
        <f>SUM(N6:N15)</f>
        <v>1817.1365194288751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11482.841</v>
      </c>
      <c r="C8" s="33"/>
      <c r="D8" s="37">
        <f>IF( ISERROR(IND_metaal_Gas_kWH/1000),0,IND_metaal_Gas_kWH/1000)*0.902</f>
        <v>11167.527602</v>
      </c>
      <c r="E8" s="33">
        <f>C30*'E Balans VL '!I18/100/3.6*1000000</f>
        <v>413.18735712884126</v>
      </c>
      <c r="F8" s="33">
        <f>C30*'E Balans VL '!L18/100/3.6*1000000+C30*'E Balans VL '!N18/100/3.6*1000000</f>
        <v>5014.1844310433517</v>
      </c>
      <c r="G8" s="34"/>
      <c r="H8" s="33"/>
      <c r="I8" s="33"/>
      <c r="J8" s="40">
        <f>C30*'E Balans VL '!D18/100/3.6*1000000+C30*'E Balans VL '!E18/100/3.6*1000000</f>
        <v>0</v>
      </c>
      <c r="K8" s="33"/>
      <c r="L8" s="33"/>
      <c r="M8" s="33"/>
      <c r="N8" s="33">
        <f>C30*'E Balans VL '!Y18/100/3.6*1000000</f>
        <v>575.51218750269368</v>
      </c>
      <c r="O8" s="33"/>
      <c r="P8" s="33"/>
      <c r="R8" s="32"/>
    </row>
    <row r="9" spans="1:18">
      <c r="A9" s="6" t="s">
        <v>32</v>
      </c>
      <c r="B9" s="37">
        <f t="shared" si="0"/>
        <v>6099.5240000000003</v>
      </c>
      <c r="C9" s="33"/>
      <c r="D9" s="37">
        <f>IF( ISERROR(IND_andere_gas_kWh/1000),0,IND_andere_gas_kWh/1000)*0.902</f>
        <v>10255.272763999999</v>
      </c>
      <c r="E9" s="33">
        <f>C31*'E Balans VL '!I19/100/3.6*1000000</f>
        <v>1556.4605192041067</v>
      </c>
      <c r="F9" s="33">
        <f>C31*'E Balans VL '!L19/100/3.6*1000000+C31*'E Balans VL '!N19/100/3.6*1000000</f>
        <v>5251.2317059528414</v>
      </c>
      <c r="G9" s="34"/>
      <c r="H9" s="33"/>
      <c r="I9" s="33"/>
      <c r="J9" s="40">
        <f>C31*'E Balans VL '!D19/100/3.6*1000000+C31*'E Balans VL '!E19/100/3.6*1000000</f>
        <v>0</v>
      </c>
      <c r="K9" s="33"/>
      <c r="L9" s="33"/>
      <c r="M9" s="33"/>
      <c r="N9" s="33">
        <f>C31*'E Balans VL '!Y19/100/3.6*1000000</f>
        <v>481.18106870058591</v>
      </c>
      <c r="O9" s="33"/>
      <c r="P9" s="33"/>
      <c r="R9" s="32"/>
    </row>
    <row r="10" spans="1:18">
      <c r="A10" s="6" t="s">
        <v>40</v>
      </c>
      <c r="B10" s="37">
        <f t="shared" si="0"/>
        <v>549.95600000000002</v>
      </c>
      <c r="C10" s="33"/>
      <c r="D10" s="37">
        <f>IF( ISERROR(IND_voed_gas_kWh/1000),0,IND_voed_gas_kWh/1000)*0.902</f>
        <v>356.667036</v>
      </c>
      <c r="E10" s="33">
        <f>C32*'E Balans VL '!I20/100/3.6*1000000</f>
        <v>13.980636671471389</v>
      </c>
      <c r="F10" s="33">
        <f>C32*'E Balans VL '!L20/100/3.6*1000000+C32*'E Balans VL '!N20/100/3.6*1000000</f>
        <v>124.44678724848079</v>
      </c>
      <c r="G10" s="34"/>
      <c r="H10" s="33"/>
      <c r="I10" s="33"/>
      <c r="J10" s="40">
        <f>C32*'E Balans VL '!D20/100/3.6*1000000+C32*'E Balans VL '!E20/100/3.6*1000000</f>
        <v>0</v>
      </c>
      <c r="K10" s="33"/>
      <c r="L10" s="33"/>
      <c r="M10" s="33"/>
      <c r="N10" s="33">
        <f>C32*'E Balans VL '!Y20/100/3.6*1000000</f>
        <v>206.24840714373252</v>
      </c>
      <c r="O10" s="33"/>
      <c r="P10" s="33"/>
      <c r="R10" s="32"/>
    </row>
    <row r="11" spans="1:18">
      <c r="A11" s="6" t="s">
        <v>39</v>
      </c>
      <c r="B11" s="37">
        <f t="shared" si="0"/>
        <v>204.24299999999999</v>
      </c>
      <c r="C11" s="33"/>
      <c r="D11" s="37">
        <f>IF( ISERROR(IND_textiel_gas_kWh/1000),0,IND_textiel_gas_kWh/1000)*0.902</f>
        <v>642.777828</v>
      </c>
      <c r="E11" s="33">
        <f>C33*'E Balans VL '!I21/100/3.6*1000000</f>
        <v>0.56070196060969046</v>
      </c>
      <c r="F11" s="33">
        <f>C33*'E Balans VL '!L21/100/3.6*1000000+C33*'E Balans VL '!N21/100/3.6*1000000</f>
        <v>10.828112669739776</v>
      </c>
      <c r="G11" s="34"/>
      <c r="H11" s="33"/>
      <c r="I11" s="33"/>
      <c r="J11" s="40">
        <f>C33*'E Balans VL '!D21/100/3.6*1000000+C33*'E Balans VL '!E21/100/3.6*1000000</f>
        <v>0</v>
      </c>
      <c r="K11" s="33"/>
      <c r="L11" s="33"/>
      <c r="M11" s="33"/>
      <c r="N11" s="33">
        <f>C33*'E Balans VL '!Y21/100/3.6*1000000</f>
        <v>0.41049463133605024</v>
      </c>
      <c r="O11" s="33"/>
      <c r="P11" s="33"/>
      <c r="R11" s="32"/>
    </row>
    <row r="12" spans="1:18">
      <c r="A12" s="6" t="s">
        <v>36</v>
      </c>
      <c r="B12" s="37">
        <f t="shared" si="0"/>
        <v>3997.0340000000001</v>
      </c>
      <c r="C12" s="33"/>
      <c r="D12" s="37">
        <f>IF( ISERROR(IND_min_gas_kWh/1000),0,IND_min_gas_kWh/1000)*0.902</f>
        <v>4168.4171100000003</v>
      </c>
      <c r="E12" s="33">
        <f>C34*'E Balans VL '!I22/100/3.6*1000000</f>
        <v>84.926955044595218</v>
      </c>
      <c r="F12" s="33">
        <f>C34*'E Balans VL '!L22/100/3.6*1000000+C34*'E Balans VL '!N22/100/3.6*1000000</f>
        <v>652.1501602179178</v>
      </c>
      <c r="G12" s="34"/>
      <c r="H12" s="33"/>
      <c r="I12" s="33"/>
      <c r="J12" s="40">
        <f>C34*'E Balans VL '!D22/100/3.6*1000000+C34*'E Balans VL '!E22/100/3.6*1000000</f>
        <v>4.6569176152591645</v>
      </c>
      <c r="K12" s="33"/>
      <c r="L12" s="33"/>
      <c r="M12" s="33"/>
      <c r="N12" s="33">
        <f>C34*'E Balans VL '!Y22/100/3.6*1000000</f>
        <v>0</v>
      </c>
      <c r="O12" s="33"/>
      <c r="P12" s="33"/>
      <c r="R12" s="32"/>
    </row>
    <row r="13" spans="1:18">
      <c r="A13" s="6" t="s">
        <v>38</v>
      </c>
      <c r="B13" s="37">
        <f t="shared" si="0"/>
        <v>1979.481</v>
      </c>
      <c r="C13" s="33"/>
      <c r="D13" s="37">
        <f>IF( ISERROR(IND_papier_gas_kWh/1000),0,IND_papier_gas_kWh/1000)*0.902</f>
        <v>313.51715999999999</v>
      </c>
      <c r="E13" s="33">
        <f>C35*'E Balans VL '!I23/100/3.6*1000000</f>
        <v>8.4894181427748592</v>
      </c>
      <c r="F13" s="33">
        <f>C35*'E Balans VL '!L23/100/3.6*1000000+C35*'E Balans VL '!N23/100/3.6*1000000</f>
        <v>49.750501447901918</v>
      </c>
      <c r="G13" s="34"/>
      <c r="H13" s="33"/>
      <c r="I13" s="33"/>
      <c r="J13" s="40">
        <f>C35*'E Balans VL '!D23/100/3.6*1000000+C35*'E Balans VL '!E23/100/3.6*1000000</f>
        <v>132.51539594332837</v>
      </c>
      <c r="K13" s="33"/>
      <c r="L13" s="33"/>
      <c r="M13" s="33"/>
      <c r="N13" s="33">
        <f>C35*'E Balans VL '!Y23/100/3.6*1000000</f>
        <v>482.72346345095696</v>
      </c>
      <c r="O13" s="33"/>
      <c r="P13" s="33"/>
      <c r="R13" s="32"/>
    </row>
    <row r="14" spans="1:18">
      <c r="A14" s="6" t="s">
        <v>33</v>
      </c>
      <c r="B14" s="37">
        <f t="shared" si="0"/>
        <v>3438.0050000000001</v>
      </c>
      <c r="C14" s="33"/>
      <c r="D14" s="37">
        <f>IF( ISERROR(IND_chemie_gas_kWh/1000),0,IND_chemie_gas_kWh/1000)*0.902</f>
        <v>0</v>
      </c>
      <c r="E14" s="33">
        <f>C36*'E Balans VL '!I24/100/3.6*1000000</f>
        <v>8.2420784693254507</v>
      </c>
      <c r="F14" s="33">
        <f>C36*'E Balans VL '!L24/100/3.6*1000000+C36*'E Balans VL '!N24/100/3.6*1000000</f>
        <v>27.590767816270354</v>
      </c>
      <c r="G14" s="34"/>
      <c r="H14" s="33"/>
      <c r="I14" s="33"/>
      <c r="J14" s="40">
        <f>C36*'E Balans VL '!D24/100/3.6*1000000+C36*'E Balans VL '!E24/100/3.6*1000000</f>
        <v>0</v>
      </c>
      <c r="K14" s="33"/>
      <c r="L14" s="33"/>
      <c r="M14" s="33"/>
      <c r="N14" s="33">
        <f>C36*'E Balans VL '!Y24/100/3.6*1000000</f>
        <v>71.060897999570088</v>
      </c>
      <c r="O14" s="33"/>
      <c r="P14" s="33"/>
      <c r="R14" s="32"/>
    </row>
    <row r="15" spans="1:18">
      <c r="A15" s="6" t="s">
        <v>269</v>
      </c>
      <c r="B15" s="37">
        <f t="shared" si="0"/>
        <v>0</v>
      </c>
      <c r="C15" s="33"/>
      <c r="D15" s="37">
        <f>IF( ISERROR(IND_rest_gas_kWh/1000),0,IND_rest_gas_kWh/1000)*0.902</f>
        <v>1363.5822640000001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energieproductie'!N38+'lokale energieproductie'!N31</f>
        <v>630.00000000000011</v>
      </c>
      <c r="C16" s="247">
        <f>'lokale energieproductie'!O38+'lokale energieproductie'!O31</f>
        <v>900.00000000000023</v>
      </c>
      <c r="D16" s="308">
        <f>('lokale energieproductie'!P31+'lokale energieproductie'!P38)*(-1)</f>
        <v>-1800.0000000000005</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28381.083999999999</v>
      </c>
      <c r="C18" s="21">
        <f>C5+C16</f>
        <v>900.00000000000023</v>
      </c>
      <c r="D18" s="21">
        <f>MAX((D5+D16),0)</f>
        <v>26467.761763999995</v>
      </c>
      <c r="E18" s="21">
        <f>MAX((E5+E16),0)</f>
        <v>2085.8476666217248</v>
      </c>
      <c r="F18" s="21">
        <f>MAX((F5+F16),0)</f>
        <v>11130.182466396504</v>
      </c>
      <c r="G18" s="21"/>
      <c r="H18" s="21"/>
      <c r="I18" s="21"/>
      <c r="J18" s="21">
        <f>MAX((J5+J16),0)</f>
        <v>137.17231355858755</v>
      </c>
      <c r="K18" s="21"/>
      <c r="L18" s="21">
        <f>MAX((L5+L16),0)</f>
        <v>0</v>
      </c>
      <c r="M18" s="21"/>
      <c r="N18" s="21">
        <f>MAX((N5+N16),0)</f>
        <v>1817.1365194288751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0.15318340493097515</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4347.5110827520202</v>
      </c>
      <c r="C22" s="23">
        <f ca="1">C18*C20</f>
        <v>9.5361558636193369</v>
      </c>
      <c r="D22" s="23">
        <f>D18*D20</f>
        <v>5346.4878763279994</v>
      </c>
      <c r="E22" s="23">
        <f>E18*E20</f>
        <v>473.48742032313152</v>
      </c>
      <c r="F22" s="23">
        <f>F18*F20</f>
        <v>2971.7587185278667</v>
      </c>
      <c r="G22" s="23"/>
      <c r="H22" s="23"/>
      <c r="I22" s="23"/>
      <c r="J22" s="23">
        <f>J18*J20</f>
        <v>48.558998999739991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11482.841</v>
      </c>
      <c r="C30" s="39">
        <f>IF(ISERROR(B30*3.6/1000000/'E Balans VL '!Z18*100),0,B30*3.6/1000000/'E Balans VL '!Z18*100)</f>
        <v>2.4329678222773157</v>
      </c>
      <c r="D30" s="237" t="s">
        <v>659</v>
      </c>
    </row>
    <row r="31" spans="1:18">
      <c r="A31" s="6" t="s">
        <v>32</v>
      </c>
      <c r="B31" s="37">
        <f>IF( ISERROR(IND_ander_ele_kWh/1000),0,IND_ander_ele_kWh/1000)</f>
        <v>6099.5240000000003</v>
      </c>
      <c r="C31" s="39">
        <f>IF(ISERROR(B31*3.6/1000000/'E Balans VL '!Z19*100),0,B31*3.6/1000000/'E Balans VL '!Z19*100)</f>
        <v>0.25674281513649422</v>
      </c>
      <c r="D31" s="237" t="s">
        <v>659</v>
      </c>
    </row>
    <row r="32" spans="1:18">
      <c r="A32" s="171" t="s">
        <v>40</v>
      </c>
      <c r="B32" s="37">
        <f>IF( ISERROR(IND_voed_ele_kWh/1000),0,IND_voed_ele_kWh/1000)</f>
        <v>549.95600000000002</v>
      </c>
      <c r="C32" s="39">
        <f>IF(ISERROR(B32*3.6/1000000/'E Balans VL '!Z20*100),0,B32*3.6/1000000/'E Balans VL '!Z20*100)</f>
        <v>9.1876372124189254E-2</v>
      </c>
      <c r="D32" s="237" t="s">
        <v>659</v>
      </c>
    </row>
    <row r="33" spans="1:5">
      <c r="A33" s="171" t="s">
        <v>39</v>
      </c>
      <c r="B33" s="37">
        <f>IF( ISERROR(IND_textiel_ele_kWh/1000),0,IND_textiel_ele_kWh/1000)</f>
        <v>204.24299999999999</v>
      </c>
      <c r="C33" s="39">
        <f>IF(ISERROR(B33*3.6/1000000/'E Balans VL '!Z21*100),0,B33*3.6/1000000/'E Balans VL '!Z21*100)</f>
        <v>1.1924317540626006E-2</v>
      </c>
      <c r="D33" s="237" t="s">
        <v>659</v>
      </c>
    </row>
    <row r="34" spans="1:5">
      <c r="A34" s="171" t="s">
        <v>36</v>
      </c>
      <c r="B34" s="37">
        <f>IF( ISERROR(IND_min_ele_kWh/1000),0,IND_min_ele_kWh/1000)</f>
        <v>3997.0340000000001</v>
      </c>
      <c r="C34" s="39">
        <f>IF(ISERROR(B34*3.6/1000000/'E Balans VL '!Z22*100),0,B34*3.6/1000000/'E Balans VL '!Z22*100)</f>
        <v>0.50664561544069742</v>
      </c>
      <c r="D34" s="237" t="s">
        <v>659</v>
      </c>
    </row>
    <row r="35" spans="1:5">
      <c r="A35" s="171" t="s">
        <v>38</v>
      </c>
      <c r="B35" s="37">
        <f>IF( ISERROR(IND_papier_ele_kWh/1000),0,IND_papier_ele_kWh/1000)</f>
        <v>1979.481</v>
      </c>
      <c r="C35" s="39">
        <f>IF(ISERROR(B35*3.6/1000000/'E Balans VL '!Z22*100),0,B35*3.6/1000000/'E Balans VL '!Z22*100)</f>
        <v>0.25090989205950387</v>
      </c>
      <c r="D35" s="237" t="s">
        <v>659</v>
      </c>
    </row>
    <row r="36" spans="1:5">
      <c r="A36" s="171" t="s">
        <v>33</v>
      </c>
      <c r="B36" s="37">
        <f>IF( ISERROR(IND_chemie_ele_kWh/1000),0,IND_chemie_ele_kWh/1000)</f>
        <v>3438.0050000000001</v>
      </c>
      <c r="C36" s="39">
        <f>IF(ISERROR(B36*3.6/1000000/'E Balans VL '!Z24*100),0,B36*3.6/1000000/'E Balans VL '!Z24*100)</f>
        <v>0.11166651326781618</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442.32100000000003</v>
      </c>
      <c r="C5" s="17">
        <f>'Eigen informatie GS &amp; warmtenet'!B60</f>
        <v>0</v>
      </c>
      <c r="D5" s="30">
        <f>IF(ISERROR(SUM(LB_lb_gas_kWh,LB_rest_gas_kWh)/1000),0,SUM(LB_lb_gas_kWh,LB_rest_gas_kWh)/1000)*0.902</f>
        <v>92.762581999999995</v>
      </c>
      <c r="E5" s="17">
        <f>B17*'E Balans VL '!I25/3.6*1000000/100</f>
        <v>11.405760273710426</v>
      </c>
      <c r="F5" s="17">
        <f>B17*('E Balans VL '!L25/3.6*1000000+'E Balans VL '!N25/3.6*1000000)/100</f>
        <v>1616.7674909425086</v>
      </c>
      <c r="G5" s="18"/>
      <c r="H5" s="17"/>
      <c r="I5" s="17"/>
      <c r="J5" s="17">
        <f>('E Balans VL '!D25+'E Balans VL '!E25)/3.6*1000000*landbouw!B17/100</f>
        <v>63.677952489056331</v>
      </c>
      <c r="K5" s="17"/>
      <c r="L5" s="17">
        <f>L6*(-1)</f>
        <v>0</v>
      </c>
      <c r="M5" s="17"/>
      <c r="N5" s="17">
        <f>N6*(-1)</f>
        <v>38571.428571428572</v>
      </c>
      <c r="O5" s="17"/>
      <c r="P5" s="17"/>
      <c r="R5" s="32"/>
    </row>
    <row r="6" spans="1:18">
      <c r="A6" s="16" t="s">
        <v>490</v>
      </c>
      <c r="B6" s="17" t="s">
        <v>210</v>
      </c>
      <c r="C6" s="17">
        <f>'lokale energieproductie'!O40+'lokale energieproductie'!O33</f>
        <v>19285.714285714286</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442.32100000000003</v>
      </c>
      <c r="C8" s="21">
        <f>C5+C6</f>
        <v>19285.714285714286</v>
      </c>
      <c r="D8" s="21">
        <f>MAX((D5+D6),0)</f>
        <v>92.762581999999995</v>
      </c>
      <c r="E8" s="21">
        <f>MAX((E5+E6),0)</f>
        <v>11.405760273710426</v>
      </c>
      <c r="F8" s="21">
        <f>MAX((F5+F6),0)</f>
        <v>1616.7674909425086</v>
      </c>
      <c r="G8" s="21"/>
      <c r="H8" s="21"/>
      <c r="I8" s="21"/>
      <c r="J8" s="21">
        <f>MAX((J5+J6),0)</f>
        <v>63.677952489056331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0.15318340493097515</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67.756236852473862</v>
      </c>
      <c r="C12" s="23">
        <f ca="1">C8*C10</f>
        <v>204.34619707755718</v>
      </c>
      <c r="D12" s="23">
        <f>D8*D10</f>
        <v>18.738041564</v>
      </c>
      <c r="E12" s="23">
        <f>E8*E10</f>
        <v>2.5891075821322667</v>
      </c>
      <c r="F12" s="23">
        <f>F8*F10</f>
        <v>431.67692008164983</v>
      </c>
      <c r="G12" s="23"/>
      <c r="H12" s="23"/>
      <c r="I12" s="23"/>
      <c r="J12" s="23">
        <f>J8*J10</f>
        <v>22.541995181125941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6.2370190868607935E-2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102.11139109202261</v>
      </c>
      <c r="C26" s="247">
        <f>B26*'GWP N2O_CH4'!B5</f>
        <v>2144.3392129324748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42.394921681292509</v>
      </c>
      <c r="C27" s="247">
        <f>B27*'GWP N2O_CH4'!B5</f>
        <v>890.29335530714263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2.1352099035176484</v>
      </c>
      <c r="C28" s="247">
        <f>B28*'GWP N2O_CH4'!B4</f>
        <v>661.91507009047098</v>
      </c>
      <c r="D28" s="50"/>
    </row>
    <row r="29" spans="1:4">
      <c r="A29" s="41" t="s">
        <v>276</v>
      </c>
      <c r="B29" s="247">
        <f>B34*'ha_N2O bodem landbouw'!B4</f>
        <v>17.945906457735425</v>
      </c>
      <c r="C29" s="247">
        <f>B29*'GWP N2O_CH4'!B4</f>
        <v>5563.2310018979815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4.0388041619156215E-3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1.7887088770310487E-4</v>
      </c>
      <c r="C5" s="437" t="s">
        <v>210</v>
      </c>
      <c r="D5" s="422">
        <f>SUM(D6:D11)</f>
        <v>3.7034594938428522E-4</v>
      </c>
      <c r="E5" s="422">
        <f>SUM(E6:E11)</f>
        <v>1.7156411451490178E-3</v>
      </c>
      <c r="F5" s="435" t="s">
        <v>210</v>
      </c>
      <c r="G5" s="422">
        <f>SUM(G6:G11)</f>
        <v>0.64761852112876594</v>
      </c>
      <c r="H5" s="422">
        <f>SUM(H6:H11)</f>
        <v>0.12700904559726667</v>
      </c>
      <c r="I5" s="437" t="s">
        <v>210</v>
      </c>
      <c r="J5" s="437" t="s">
        <v>210</v>
      </c>
      <c r="K5" s="437" t="s">
        <v>210</v>
      </c>
      <c r="L5" s="437" t="s">
        <v>210</v>
      </c>
      <c r="M5" s="422">
        <f>SUM(M6:M11)</f>
        <v>2.4180504060061281E-2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1.0677345804026665E-4</v>
      </c>
      <c r="C6" s="423"/>
      <c r="D6" s="865">
        <f>vkm_GW_PW*SUMIFS(TableVerdeelsleutelVkm[CNG],TableVerdeelsleutelVkm[Voertuigtype],"Lichte voertuigen")*SUMIFS(TableECFTransport[EnergieConsumptieFactor (PJ per km)],TableECFTransport[Index],CONCATENATE($A6,"_CNG_CNG"))</f>
        <v>1.9247802194561546E-4</v>
      </c>
      <c r="E6" s="865">
        <f>vkm_GW_PW*SUMIFS(TableVerdeelsleutelVkm[LPG],TableVerdeelsleutelVkm[Voertuigtype],"Lichte voertuigen")*SUMIFS(TableECFTransport[EnergieConsumptieFactor (PJ per km)],TableECFTransport[Index],CONCATENATE($A6,"_LPG_LPG"))</f>
        <v>8.6950527498359472E-4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0.23754765430973618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6.6088255486096745E-2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9.4539438446339559E-3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0.11300235727667397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2.0391066551130672E-6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3.5550604944601639E-3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3.76907915454998E-5</v>
      </c>
      <c r="C8" s="423"/>
      <c r="D8" s="425">
        <f>vkm_NGW_PW*SUMIFS(TableVerdeelsleutelVkm[CNG],TableVerdeelsleutelVkm[Voertuigtype],"Lichte voertuigen")*SUMIFS(TableECFTransport[EnergieConsumptieFactor (PJ per km)],TableECFTransport[Index],CONCATENATE($A8,"_CNG_CNG"))</f>
        <v>1.1548577994721017E-4</v>
      </c>
      <c r="E8" s="425">
        <f>vkm_NGW_PW*SUMIFS(TableVerdeelsleutelVkm[LPG],TableVerdeelsleutelVkm[Voertuigtype],"Lichte voertuigen")*SUMIFS(TableECFTransport[EnergieConsumptieFactor (PJ per km)],TableECFTransport[Index],CONCATENATE($A8,"_LPG_LPG"))</f>
        <v>4.9520344123437168E-4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0.12703091157581078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3.8533146026288989E-2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5.1512536983013262E-3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8.9005950218301044E-3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1.9826603047212874E-7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2.8001434697044948E-4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3.4406638117338404E-5</v>
      </c>
      <c r="C10" s="423"/>
      <c r="D10" s="425">
        <f>vkm_SW_PW*SUMIFS(TableVerdeelsleutelVkm[CNG],TableVerdeelsleutelVkm[Voertuigtype],"Lichte voertuigen")*SUMIFS(TableECFTransport[EnergieConsumptieFactor (PJ per km)],TableECFTransport[Index],CONCATENATE($A10,"_CNG_CNG"))</f>
        <v>6.2382147491459557E-5</v>
      </c>
      <c r="E10" s="425">
        <f>vkm_SW_PW*SUMIFS(TableVerdeelsleutelVkm[LPG],TableVerdeelsleutelVkm[Voertuigtype],"Lichte voertuigen")*SUMIFS(TableECFTransport[EnergieConsumptieFactor (PJ per km)],TableECFTransport[Index],CONCATENATE($A10,"_LPG_LPG"))</f>
        <v>3.5093242893105136E-4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8.6045297997896272E-2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2.2383959279747932E-2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3.377839658752236E-3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7.5091704946818688E-2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1.4474324474159613E-6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2.3623920169431457E-3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49.68635769530691</v>
      </c>
      <c r="C14" s="21"/>
      <c r="D14" s="21">
        <f t="shared" ref="D14:M14" si="0">((D5)*10^9/3600)+D12</f>
        <v>102.87387482896811</v>
      </c>
      <c r="E14" s="21">
        <f t="shared" si="0"/>
        <v>476.56698476361601</v>
      </c>
      <c r="F14" s="21"/>
      <c r="G14" s="21">
        <f t="shared" si="0"/>
        <v>179894.03364687943</v>
      </c>
      <c r="H14" s="21">
        <f t="shared" si="0"/>
        <v>35280.29044368519</v>
      </c>
      <c r="I14" s="21"/>
      <c r="J14" s="21"/>
      <c r="K14" s="21"/>
      <c r="L14" s="21"/>
      <c r="M14" s="21">
        <f t="shared" si="0"/>
        <v>6716.8066833503553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0.15318340493097515</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7.6111254503854715</v>
      </c>
      <c r="C18" s="23"/>
      <c r="D18" s="23">
        <f t="shared" ref="D18:M18" si="1">D14*D16</f>
        <v>20.780522715451561</v>
      </c>
      <c r="E18" s="23">
        <f t="shared" si="1"/>
        <v>108.18070554134084</v>
      </c>
      <c r="F18" s="23"/>
      <c r="G18" s="23">
        <f t="shared" si="1"/>
        <v>48031.706983716809</v>
      </c>
      <c r="H18" s="23">
        <f t="shared" si="1"/>
        <v>8784.7923204776125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1.4054814253453776E-2</v>
      </c>
      <c r="H50" s="319">
        <f t="shared" si="2"/>
        <v>0</v>
      </c>
      <c r="I50" s="319">
        <f t="shared" si="2"/>
        <v>0</v>
      </c>
      <c r="J50" s="319">
        <f t="shared" si="2"/>
        <v>0</v>
      </c>
      <c r="K50" s="319">
        <f t="shared" si="2"/>
        <v>0</v>
      </c>
      <c r="L50" s="319">
        <f t="shared" si="2"/>
        <v>0</v>
      </c>
      <c r="M50" s="319">
        <f t="shared" si="2"/>
        <v>4.3539856756778832E-4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1.4054814253453776E-2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4.3539856756778832E-4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3904.1150704038268</v>
      </c>
      <c r="H54" s="21">
        <f t="shared" si="3"/>
        <v>0</v>
      </c>
      <c r="I54" s="21">
        <f t="shared" si="3"/>
        <v>0</v>
      </c>
      <c r="J54" s="21">
        <f t="shared" si="3"/>
        <v>0</v>
      </c>
      <c r="K54" s="21">
        <f t="shared" si="3"/>
        <v>0</v>
      </c>
      <c r="L54" s="21">
        <f t="shared" si="3"/>
        <v>0</v>
      </c>
      <c r="M54" s="21">
        <f t="shared" si="3"/>
        <v>120.94404654660786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0.15318340493097515</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1042.3987237978217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15571.179292433319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14130</v>
      </c>
      <c r="C8" s="544">
        <f>B49</f>
        <v>741.17647058823536</v>
      </c>
      <c r="D8" s="1009"/>
      <c r="E8" s="1009">
        <f>E49</f>
        <v>0</v>
      </c>
      <c r="F8" s="1010"/>
      <c r="G8" s="545"/>
      <c r="H8" s="1009">
        <f>I49</f>
        <v>0</v>
      </c>
      <c r="I8" s="1009">
        <f>G49+F49</f>
        <v>0</v>
      </c>
      <c r="J8" s="1009">
        <f>H49+D49+C49</f>
        <v>15882.352941176468</v>
      </c>
      <c r="K8" s="1009"/>
      <c r="L8" s="1009"/>
      <c r="M8" s="1009"/>
      <c r="N8" s="546"/>
      <c r="O8" s="547">
        <f>C8*$C$12+D8*$D$12+E8*$E$12+F8*$F$12+G8*$G$12+H8*$H$12+I8*$I$12+J8*$J$12</f>
        <v>149.71764705882356</v>
      </c>
      <c r="P8" s="1239"/>
      <c r="Q8" s="1240"/>
      <c r="S8" s="973"/>
      <c r="T8" s="1260"/>
      <c r="U8" s="1260"/>
    </row>
    <row r="9" spans="1:21" s="533" customFormat="1" ht="17.45" customHeight="1" thickBot="1">
      <c r="A9" s="548" t="s">
        <v>247</v>
      </c>
      <c r="B9" s="549">
        <f>N37+'Eigen informatie GS &amp; warmtenet'!B12</f>
        <v>14332.5</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44033.67929243332</v>
      </c>
      <c r="C10" s="557">
        <f t="shared" ref="C10:L10" si="0">SUM(C8:C9)</f>
        <v>741.17647058823536</v>
      </c>
      <c r="D10" s="557">
        <f t="shared" si="0"/>
        <v>0</v>
      </c>
      <c r="E10" s="557">
        <f t="shared" si="0"/>
        <v>0</v>
      </c>
      <c r="F10" s="557">
        <f t="shared" si="0"/>
        <v>0</v>
      </c>
      <c r="G10" s="557">
        <f t="shared" si="0"/>
        <v>0</v>
      </c>
      <c r="H10" s="557">
        <f t="shared" si="0"/>
        <v>0</v>
      </c>
      <c r="I10" s="557">
        <f t="shared" si="0"/>
        <v>0</v>
      </c>
      <c r="J10" s="557">
        <f t="shared" si="0"/>
        <v>56832.352941176468</v>
      </c>
      <c r="K10" s="557">
        <f t="shared" si="0"/>
        <v>0</v>
      </c>
      <c r="L10" s="557">
        <f t="shared" si="0"/>
        <v>0</v>
      </c>
      <c r="M10" s="1012"/>
      <c r="N10" s="1012"/>
      <c r="O10" s="558">
        <f>SUM(O4:O9)</f>
        <v>149.71764705882356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20185.714285714286</v>
      </c>
      <c r="C17" s="569">
        <f>B50</f>
        <v>1058.8235294117649</v>
      </c>
      <c r="D17" s="570"/>
      <c r="E17" s="570">
        <f>E50</f>
        <v>0</v>
      </c>
      <c r="F17" s="1015"/>
      <c r="G17" s="571"/>
      <c r="H17" s="569">
        <f>I50</f>
        <v>0</v>
      </c>
      <c r="I17" s="570">
        <f>G50+F50</f>
        <v>0</v>
      </c>
      <c r="J17" s="570">
        <f>H50+D50+C50</f>
        <v>22689.075630252097</v>
      </c>
      <c r="K17" s="570"/>
      <c r="L17" s="570"/>
      <c r="M17" s="570"/>
      <c r="N17" s="1016"/>
      <c r="O17" s="572">
        <f>C17*$C$22+E17*$E$22+H17*$H$22+I17*$I$22+J17*$J$22+D17*$D$22+F17*$F$22+G17*$G$22+K17*$K$22+L17*$L$22</f>
        <v>213.88235294117652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20185.714285714286</v>
      </c>
      <c r="C20" s="556">
        <f>SUM(C17:C19)</f>
        <v>1058.8235294117649</v>
      </c>
      <c r="D20" s="556">
        <f t="shared" ref="D20:L20" si="1">SUM(D17:D19)</f>
        <v>0</v>
      </c>
      <c r="E20" s="556">
        <f t="shared" si="1"/>
        <v>0</v>
      </c>
      <c r="F20" s="556">
        <f t="shared" si="1"/>
        <v>0</v>
      </c>
      <c r="G20" s="556">
        <f t="shared" si="1"/>
        <v>0</v>
      </c>
      <c r="H20" s="556">
        <f t="shared" si="1"/>
        <v>0</v>
      </c>
      <c r="I20" s="556">
        <f t="shared" si="1"/>
        <v>0</v>
      </c>
      <c r="J20" s="556">
        <f t="shared" si="1"/>
        <v>22689.075630252097</v>
      </c>
      <c r="K20" s="556">
        <f t="shared" si="1"/>
        <v>0</v>
      </c>
      <c r="L20" s="556">
        <f t="shared" si="1"/>
        <v>0</v>
      </c>
      <c r="M20" s="556"/>
      <c r="N20" s="556"/>
      <c r="O20" s="575">
        <f>SUM(O17:O19)</f>
        <v>213.88235294117652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72039</v>
      </c>
      <c r="C28" s="770">
        <v>3530</v>
      </c>
      <c r="D28" s="627" t="s">
        <v>896</v>
      </c>
      <c r="E28" s="626" t="s">
        <v>897</v>
      </c>
      <c r="F28" s="626" t="s">
        <v>898</v>
      </c>
      <c r="G28" s="626" t="s">
        <v>899</v>
      </c>
      <c r="H28" s="626" t="s">
        <v>900</v>
      </c>
      <c r="I28" s="626" t="s">
        <v>897</v>
      </c>
      <c r="J28" s="769">
        <v>39532</v>
      </c>
      <c r="K28" s="769">
        <v>39609</v>
      </c>
      <c r="L28" s="626" t="s">
        <v>901</v>
      </c>
      <c r="M28" s="626">
        <v>3000</v>
      </c>
      <c r="N28" s="626">
        <v>13500</v>
      </c>
      <c r="O28" s="626">
        <v>19285.714285714286</v>
      </c>
      <c r="P28" s="626">
        <v>0</v>
      </c>
      <c r="Q28" s="626">
        <v>38571.428571428572</v>
      </c>
      <c r="R28" s="626">
        <v>0</v>
      </c>
      <c r="S28" s="626">
        <v>0</v>
      </c>
      <c r="T28" s="626">
        <v>0</v>
      </c>
      <c r="U28" s="626">
        <v>0</v>
      </c>
      <c r="V28" s="626">
        <v>0</v>
      </c>
      <c r="W28" s="626">
        <v>0</v>
      </c>
      <c r="X28" s="626">
        <v>10</v>
      </c>
      <c r="Y28" s="626" t="s">
        <v>111</v>
      </c>
      <c r="Z28" s="628" t="s">
        <v>111</v>
      </c>
    </row>
    <row r="29" spans="1:26" s="580" customFormat="1" ht="38.25">
      <c r="A29" s="579"/>
      <c r="B29" s="770">
        <v>72039</v>
      </c>
      <c r="C29" s="770">
        <v>3530</v>
      </c>
      <c r="D29" s="627" t="s">
        <v>902</v>
      </c>
      <c r="E29" s="626" t="s">
        <v>903</v>
      </c>
      <c r="F29" s="626" t="s">
        <v>904</v>
      </c>
      <c r="G29" s="626" t="s">
        <v>899</v>
      </c>
      <c r="H29" s="626" t="s">
        <v>900</v>
      </c>
      <c r="I29" s="626" t="s">
        <v>903</v>
      </c>
      <c r="J29" s="769">
        <v>41561</v>
      </c>
      <c r="K29" s="769">
        <v>41428</v>
      </c>
      <c r="L29" s="626" t="s">
        <v>901</v>
      </c>
      <c r="M29" s="626">
        <v>140</v>
      </c>
      <c r="N29" s="626">
        <v>630.00000000000011</v>
      </c>
      <c r="O29" s="626">
        <v>900.00000000000023</v>
      </c>
      <c r="P29" s="626">
        <v>1800.0000000000005</v>
      </c>
      <c r="Q29" s="626">
        <v>0</v>
      </c>
      <c r="R29" s="626">
        <v>0</v>
      </c>
      <c r="S29" s="626">
        <v>0</v>
      </c>
      <c r="T29" s="626">
        <v>0</v>
      </c>
      <c r="U29" s="626">
        <v>0</v>
      </c>
      <c r="V29" s="626">
        <v>0</v>
      </c>
      <c r="W29" s="626">
        <v>0</v>
      </c>
      <c r="X29" s="626">
        <v>800</v>
      </c>
      <c r="Y29" s="626" t="s">
        <v>35</v>
      </c>
      <c r="Z29" s="628" t="s">
        <v>388</v>
      </c>
    </row>
    <row r="30" spans="1:26" s="564" customFormat="1">
      <c r="A30" s="582" t="s">
        <v>279</v>
      </c>
      <c r="B30" s="583"/>
      <c r="C30" s="583"/>
      <c r="D30" s="583"/>
      <c r="E30" s="583"/>
      <c r="F30" s="583"/>
      <c r="G30" s="583"/>
      <c r="H30" s="583"/>
      <c r="I30" s="583"/>
      <c r="J30" s="583"/>
      <c r="K30" s="583"/>
      <c r="L30" s="584"/>
      <c r="M30" s="584">
        <f>SUM(M28:M29)</f>
        <v>3140</v>
      </c>
      <c r="N30" s="584">
        <f>SUM(N28:N29)</f>
        <v>14130</v>
      </c>
      <c r="O30" s="584">
        <f>SUM(O28:O29)</f>
        <v>20185.714285714286</v>
      </c>
      <c r="P30" s="584">
        <f>SUM(P28:P29)</f>
        <v>1800.0000000000005</v>
      </c>
      <c r="Q30" s="584">
        <f>SUM(Q28:Q29)</f>
        <v>38571.428571428572</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140</v>
      </c>
      <c r="N31" s="584">
        <f>SUMIF($Z$28:$Z$29,"industrie",N28:N29)</f>
        <v>630.00000000000011</v>
      </c>
      <c r="O31" s="584">
        <f>SUMIF($Z$28:$Z$29,"industrie",O28:O29)</f>
        <v>900.00000000000023</v>
      </c>
      <c r="P31" s="584">
        <f>SUMIF($Z$28:$Z$29,"industrie",P28:P29)</f>
        <v>1800.0000000000005</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3000</v>
      </c>
      <c r="N33" s="589">
        <f>SUMIF($Z$28:$Z$29,"landbouw",N28:N29)</f>
        <v>13500</v>
      </c>
      <c r="O33" s="589">
        <f>SUMIF($Z$28:$Z$29,"landbouw",O28:O29)</f>
        <v>19285.714285714286</v>
      </c>
      <c r="P33" s="589">
        <f>SUMIF($Z$28:$Z$29,"landbouw",P28:P29)</f>
        <v>0</v>
      </c>
      <c r="Q33" s="589">
        <f>SUMIF($Z$28:$Z$29,"landbouw",Q28:Q29)</f>
        <v>38571.428571428572</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72039</v>
      </c>
      <c r="C36" s="770">
        <v>3530</v>
      </c>
      <c r="D36" s="629" t="s">
        <v>905</v>
      </c>
      <c r="E36" s="629" t="s">
        <v>906</v>
      </c>
      <c r="F36" s="629" t="s">
        <v>907</v>
      </c>
      <c r="G36" s="629" t="s">
        <v>908</v>
      </c>
      <c r="H36" s="629" t="s">
        <v>909</v>
      </c>
      <c r="I36" s="629" t="s">
        <v>910</v>
      </c>
      <c r="J36" s="769">
        <v>36658</v>
      </c>
      <c r="K36" s="769">
        <v>37257</v>
      </c>
      <c r="L36" s="629" t="s">
        <v>901</v>
      </c>
      <c r="M36" s="629">
        <v>3185</v>
      </c>
      <c r="N36" s="629">
        <v>14332.5</v>
      </c>
      <c r="O36" s="629">
        <v>0</v>
      </c>
      <c r="P36" s="629">
        <v>0</v>
      </c>
      <c r="Q36" s="629">
        <v>0</v>
      </c>
      <c r="R36" s="629">
        <v>40950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3185</v>
      </c>
      <c r="N37" s="584">
        <f>SUM(N36:N36)</f>
        <v>14332.5</v>
      </c>
      <c r="O37" s="584">
        <f>SUM(O36:O36)</f>
        <v>0</v>
      </c>
      <c r="P37" s="584">
        <f>SUM(P36:P36)</f>
        <v>0</v>
      </c>
      <c r="Q37" s="584">
        <f>SUM(Q36:Q36)</f>
        <v>0</v>
      </c>
      <c r="R37" s="584">
        <f>SUM(R36:R36)</f>
        <v>40950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3185</v>
      </c>
      <c r="N39" s="584">
        <f>SUMIF($Z$36:$Z$37,"tertiair",N36:N37)</f>
        <v>14332.5</v>
      </c>
      <c r="O39" s="584">
        <f>SUMIF($Z$36:$Z$37,"tertiair",O36:O37)</f>
        <v>0</v>
      </c>
      <c r="P39" s="584">
        <f>SUMIF($Z$36:$Z$37,"tertiair",P36:P37)</f>
        <v>0</v>
      </c>
      <c r="Q39" s="584">
        <f>SUMIF($Z$36:$Z$37,"tertiair",Q36:Q37)</f>
        <v>0</v>
      </c>
      <c r="R39" s="584">
        <f>SUMIF($Z$36:$Z$37,"tertiair",R36:R37)</f>
        <v>40950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741.17647058823536</v>
      </c>
      <c r="C49" s="618">
        <f t="shared" si="2"/>
        <v>15882.352941176468</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1058.8235294117649</v>
      </c>
      <c r="C50" s="621">
        <f t="shared" si="3"/>
        <v>22689.075630252097</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2020-06-20T16:00:16Z</dcterms:modified>
</cp:coreProperties>
</file>