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C9" i="18" s="1"/>
  <c r="D77" i="14" s="1"/>
  <c r="D9" i="59" s="1"/>
  <c r="O41" i="18"/>
  <c r="N41" i="18"/>
  <c r="B9" i="18" s="1"/>
  <c r="M41" i="18"/>
  <c r="W37" i="18"/>
  <c r="V37" i="18"/>
  <c r="U37" i="18"/>
  <c r="T37" i="18"/>
  <c r="S37" i="18"/>
  <c r="R37" i="18"/>
  <c r="Q37" i="18"/>
  <c r="P37" i="18"/>
  <c r="O37" i="18"/>
  <c r="N37" i="18"/>
  <c r="M37" i="18"/>
  <c r="W36" i="18"/>
  <c r="V36" i="18"/>
  <c r="U36" i="18"/>
  <c r="T36" i="18"/>
  <c r="S36" i="18"/>
  <c r="F13" i="15" s="1"/>
  <c r="R36" i="18"/>
  <c r="Q36" i="18"/>
  <c r="P36" i="18"/>
  <c r="O36" i="18"/>
  <c r="C13" i="15" s="1"/>
  <c r="N36" i="18"/>
  <c r="B13" i="15" s="1"/>
  <c r="M36" i="18"/>
  <c r="W35" i="18"/>
  <c r="V35" i="18"/>
  <c r="U35" i="18"/>
  <c r="T35" i="18"/>
  <c r="S35" i="18"/>
  <c r="R35" i="18"/>
  <c r="Q35" i="18"/>
  <c r="P35" i="18"/>
  <c r="O35" i="18"/>
  <c r="N35" i="18"/>
  <c r="M35" i="18"/>
  <c r="W34" i="18"/>
  <c r="V34" i="18"/>
  <c r="U34" i="18"/>
  <c r="T34" i="18"/>
  <c r="S34" i="18"/>
  <c r="R34" i="18"/>
  <c r="Q34" i="18"/>
  <c r="P34" i="18"/>
  <c r="O34" i="18"/>
  <c r="N34" i="18"/>
  <c r="B8" i="18" s="1"/>
  <c r="M34"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50" i="18"/>
  <c r="G54" i="18" s="1"/>
  <c r="I9" i="18"/>
  <c r="I77" i="14" s="1"/>
  <c r="I9" i="59" s="1"/>
  <c r="B17" i="18"/>
  <c r="B20" i="18" s="1"/>
  <c r="C6" i="17"/>
  <c r="E10" i="59"/>
  <c r="G77" i="14"/>
  <c r="G9" i="59" s="1"/>
  <c r="G10" i="59" s="1"/>
  <c r="J9" i="18"/>
  <c r="J77" i="14" s="1"/>
  <c r="J9" i="59" s="1"/>
  <c r="E20" i="59"/>
  <c r="C50" i="18"/>
  <c r="I53"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4" i="18"/>
  <c r="E17" i="18" s="1"/>
  <c r="H54" i="18"/>
  <c r="D54"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3" i="18" l="1"/>
  <c r="C8" i="18" s="1"/>
  <c r="I54" i="18"/>
  <c r="H17" i="18" s="1"/>
  <c r="B54" i="18"/>
  <c r="C17" i="18" s="1"/>
  <c r="F54" i="18"/>
  <c r="D53" i="18"/>
  <c r="J8" i="18" s="1"/>
  <c r="C54" i="18"/>
  <c r="J17" i="18" s="1"/>
  <c r="O9" i="18"/>
  <c r="G78" i="14"/>
  <c r="C77" i="14"/>
  <c r="C9" i="59" s="1"/>
  <c r="F53" i="18"/>
  <c r="H53" i="18"/>
  <c r="C53" i="18"/>
  <c r="E53" i="18"/>
  <c r="E8" i="18" s="1"/>
  <c r="F76" i="14" s="1"/>
  <c r="F8" i="59" s="1"/>
  <c r="F10" i="59" s="1"/>
  <c r="B77" i="14"/>
  <c r="B9" i="59" s="1"/>
  <c r="G53"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N63" i="14" l="1"/>
  <c r="O15" i="48"/>
  <c r="J5" i="48"/>
  <c r="J23" i="48" s="1"/>
  <c r="K10" i="14"/>
  <c r="F10" i="14"/>
  <c r="E5" i="48"/>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K13" i="14"/>
  <c r="K16" i="14" s="1"/>
  <c r="K27" i="14" s="1"/>
  <c r="R22" i="14"/>
  <c r="E8" i="48"/>
  <c r="E26" i="48" s="1"/>
  <c r="F13" i="14"/>
  <c r="F16" i="14" s="1"/>
  <c r="F27" i="14" s="1"/>
  <c r="F63" i="14" s="1"/>
  <c r="E23" i="48"/>
  <c r="E33" i="48" s="1"/>
  <c r="E15" i="48"/>
  <c r="N8" i="48"/>
  <c r="N26" i="48" s="1"/>
  <c r="O13" i="14"/>
  <c r="N22" i="16"/>
  <c r="O43" i="14" s="1"/>
  <c r="G13" i="14"/>
  <c r="R13" i="14" s="1"/>
  <c r="F8" i="48"/>
  <c r="K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<sst xmlns="http://schemas.openxmlformats.org/spreadsheetml/2006/main" count="2459" uniqueCount="918">
  <si>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</si>
  <si>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</si>
  <si>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</si>
  <si>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</si>
  <si>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</si>
  <si>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</si>
  <si>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</si>
  <si>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</si>
  <si>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</si>
  <si>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</si>
  <si>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</si>
  <si>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</si>
  <si>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</si>
  <si>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</si>
  <si>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</si>
  <si>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</si>
  <si>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</si>
  <si>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</si>
  <si>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</si>
  <si>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</si>
  <si>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</si>
  <si>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</si>
  <si>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</si>
  <si>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</si>
  <si>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</si>
  <si>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</si>
  <si>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</si>
  <si>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</si>
  <si>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</si>
  <si>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</si>
  <si>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</si>
  <si>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</si>
  <si>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</si>
  <si>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</si>
  <si>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</si>
  <si>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</si>
  <si>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</si>
  <si>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</si>
  <si>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</si>
  <si>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</si>
  <si>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</si>
  <si>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</si>
  <si>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</si>
  <si>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</si>
  <si>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</si>
  <si>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</si>
  <si>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</si>
  <si>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</si>
  <si>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</si>
  <si>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</si>
  <si>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</si>
  <si>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</si>
  <si>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</si>
  <si>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</si>
  <si>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</si>
  <si>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</si>
  <si>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</si>
  <si>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</si>
  <si>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</si>
  <si>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</si>
  <si>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</si>
  <si>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</si>
  <si>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</si>
  <si>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</si>
  <si>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</si>
  <si>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</si>
  <si>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</si>
  <si>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</si>
  <si>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</si>
  <si>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</si>
  <si>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</si>
  <si>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</si>
  <si>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</si>
  <si>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</si>
  <si>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</si>
  <si>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</si>
  <si>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</si>
  <si>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</si>
  <si>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</si>
  <si>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</si>
  <si>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</si>
  <si>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</si>
  <si>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</si>
  <si>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</si>
  <si>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</si>
  <si>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</si>
  <si>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</si>
  <si>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</si>
  <si>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</si>
  <si>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</si>
  <si>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</si>
  <si>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</si>
  <si>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</si>
  <si>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</si>
  <si>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</si>
  <si>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</si>
  <si>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</si>
  <si>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</si>
  <si>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</si>
  <si>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</si>
  <si>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</si>
  <si>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</si>
  <si>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</si>
  <si>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</si>
  <si>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</si>
  <si>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</si>
  <si>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</si>
  <si>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</si>
  <si>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</si>
  <si>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</si>
  <si>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</si>
  <si>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</si>
  <si>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</si>
  <si>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</si>
  <si>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</si>
  <si>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</si>
  <si>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</si>
  <si>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</si>
  <si>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</si>
  <si>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</si>
  <si>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</si>
  <si>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</si>
  <si>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</si>
  <si>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</si>
  <si>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</si>
  <si>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</si>
  <si>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</si>
  <si>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</si>
  <si>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</si>
  <si>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</si>
  <si>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</si>
  <si>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</si>
  <si>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</si>
  <si>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</si>
  <si>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</si>
  <si>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</si>
  <si>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</si>
  <si>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</si>
  <si>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</si>
  <si>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</si>
  <si>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</si>
  <si>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</si>
  <si>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</si>
  <si>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</si>
  <si>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</si>
  <si>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</si>
  <si>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</si>
  <si>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</si>
  <si>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</si>
  <si>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</si>
  <si>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</si>
  <si>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</si>
  <si>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</si>
  <si>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</si>
  <si>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</si>
  <si>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</si>
  <si>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</si>
  <si>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</si>
  <si>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</si>
  <si>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</si>
  <si>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</si>
  <si>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</si>
  <si>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</si>
  <si>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</si>
  <si>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</si>
  <si>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</si>
  <si>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</si>
  <si>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</si>
  <si>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</si>
  <si>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</si>
  <si>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</si>
  <si>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</si>
  <si>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</si>
  <si>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</si>
  <si>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</si>
  <si>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</si>
  <si>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</si>
  <si>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</si>
  <si>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</si>
  <si>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</si>
  <si>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</si>
  <si>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</si>
  <si>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</si>
  <si>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</si>
  <si>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</si>
  <si>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</si>
  <si>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</si>
  <si>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</si>
  <si>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</si>
  <si>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</si>
  <si>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</si>
  <si>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</si>
  <si>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</si>
  <si>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</si>
  <si>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</si>
  <si>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</si>
  <si>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</si>
  <si>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</si>
  <si>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</si>
  <si>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</si>
  <si>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</si>
  <si>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</si>
  <si>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</si>
  <si>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</si>
  <si>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</si>
  <si>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</si>
  <si>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</si>
  <si>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</si>
  <si>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</si>
  <si>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</si>
  <si>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</si>
  <si>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</si>
  <si>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</si>
  <si>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</si>
  <si>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</si>
  <si>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</si>
  <si>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</si>
  <si>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</si>
  <si>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</si>
  <si>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</si>
  <si>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</si>
  <si>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</si>
  <si>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</si>
  <si>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</si>
  <si>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</si>
  <si>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</si>
  <si>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</si>
  <si>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</si>
  <si>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</si>
  <si>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</si>
  <si>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</si>
  <si>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</si>
  <si>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</si>
  <si>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</si>
  <si>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</si>
  <si>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</si>
  <si>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</si>
  <si>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</si>
  <si>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</si>
  <si>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</si>
  <si>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</si>
  <si>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</si>
  <si>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</si>
  <si>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</si>
  <si>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</si>
  <si>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</si>
  <si>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</si>
  <si>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</si>
  <si>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</si>
  <si>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</si>
  <si>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</si>
  <si>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</si>
  <si>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</si>
  <si>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</si>
  <si>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</si>
  <si>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</si>
  <si>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</si>
  <si>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</si>
  <si>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</si>
  <si>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</si>
  <si>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</si>
  <si>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</si>
  <si>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</si>
  <si>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</si>
  <si>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</si>
  <si>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</si>
  <si>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</si>
  <si>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</si>
  <si>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</si>
  <si>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</si>
  <si>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</si>
  <si>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</si>
  <si>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</si>
  <si>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</si>
  <si>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</si>
  <si>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</si>
  <si>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</si>
  <si>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</si>
  <si>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</si>
  <si>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</si>
  <si>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</si>
  <si>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</si>
  <si>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</si>
  <si>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</si>
  <si>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</si>
  <si>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</si>
  <si>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</si>
  <si>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</si>
  <si>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</si>
  <si>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</si>
  <si>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</si>
  <si>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</si>
  <si>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</si>
  <si>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</si>
  <si>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</si>
  <si>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</si>
  <si>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</si>
  <si>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</si>
  <si>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</si>
  <si>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</si>
  <si>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</si>
  <si>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</si>
  <si>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</si>
  <si>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</si>
  <si>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</si>
  <si>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</si>
  <si>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</si>
  <si>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</si>
  <si>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</si>
  <si>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</si>
  <si>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</si>
  <si>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</si>
  <si>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</si>
  <si>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</si>
  <si>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</si>
  <si>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</si>
  <si>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</si>
  <si>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</si>
  <si>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</si>
  <si>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</si>
  <si>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</si>
  <si>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</si>
  <si>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</si>
  <si>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</si>
  <si>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</si>
  <si>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</si>
  <si>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</si>
  <si>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</si>
  <si>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</si>
  <si>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</si>
  <si>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</si>
  <si>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</si>
  <si>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</si>
  <si>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</si>
  <si>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</si>
  <si>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</si>
  <si>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</si>
  <si>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</si>
  <si>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</si>
  <si>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</si>
  <si>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</si>
  <si>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</si>
  <si>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</si>
  <si>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</si>
  <si>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</si>
  <si>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</si>
  <si>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</si>
  <si>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</si>
  <si>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</si>
  <si>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</si>
  <si>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</si>
  <si>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</si>
  <si>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</si>
  <si>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</si>
  <si>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</si>
  <si>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</si>
  <si>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</si>
  <si>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</si>
  <si>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</si>
  <si>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</si>
  <si>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</si>
  <si>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</si>
  <si>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</si>
  <si>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</si>
  <si>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</si>
  <si>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</si>
  <si>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</si>
  <si>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</si>
  <si>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</si>
  <si>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</si>
  <si>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</si>
  <si>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</si>
  <si>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</si>
  <si>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</si>
  <si>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</si>
  <si>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</si>
  <si>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</si>
  <si>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</si>
  <si>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</si>
  <si>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</si>
  <si>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</si>
  <si>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</si>
  <si>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</si>
  <si>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</si>
  <si>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</si>
  <si>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</si>
  <si>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</si>
  <si>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</si>
  <si>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</si>
  <si>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</si>
  <si>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</si>
  <si>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</si>
  <si>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</si>
  <si>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</si>
  <si>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</si>
  <si>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</si>
  <si>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</si>
  <si>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</si>
  <si>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</si>
  <si>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</si>
  <si>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</si>
  <si>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</si>
  <si>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</si>
  <si>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</si>
  <si>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</si>
  <si>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</si>
  <si>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</si>
  <si>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</si>
  <si>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</si>
  <si>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</si>
  <si>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</si>
  <si>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</si>
  <si>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</si>
  <si>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</si>
  <si>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</si>
  <si>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</si>
  <si>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</si>
  <si>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</si>
  <si>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</si>
  <si>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</si>
  <si>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</si>
  <si>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</si>
  <si>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</si>
  <si>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</si>
  <si>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</si>
  <si>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</si>
  <si>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</si>
  <si>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</si>
  <si>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</si>
  <si>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</si>
  <si>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</si>
  <si>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</si>
  <si>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</si>
  <si>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</si>
  <si>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</si>
  <si>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</si>
  <si>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</si>
  <si>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</si>
  <si>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</si>
  <si>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</si>
  <si>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</si>
  <si>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</si>
  <si>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</si>
  <si>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</si>
  <si>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</si>
  <si>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</si>
  <si>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</si>
  <si>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</si>
  <si>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</si>
  <si>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</si>
  <si>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</si>
  <si>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</si>
  <si>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</si>
  <si>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</si>
  <si>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</si>
  <si>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</si>
  <si>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</si>
  <si>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</si>
  <si>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</si>
  <si>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</si>
  <si>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</si>
  <si>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</si>
  <si>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</si>
  <si>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</si>
  <si>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</si>
  <si>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</si>
  <si>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</si>
  <si>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</si>
  <si>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</si>
  <si>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</si>
  <si>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</si>
  <si>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</si>
  <si>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</si>
  <si>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</si>
  <si>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</si>
  <si>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</si>
  <si>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</si>
  <si>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</si>
  <si>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</si>
  <si>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</si>
  <si>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</si>
  <si>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</si>
  <si>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</si>
  <si>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</si>
  <si>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</si>
  <si>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</si>
  <si>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</si>
  <si>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</si>
  <si>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</si>
  <si>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</si>
  <si>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</si>
  <si>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</si>
  <si>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</si>
  <si>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</si>
  <si>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</si>
  <si>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</si>
  <si>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</si>
  <si>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</si>
  <si>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</si>
  <si>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</si>
  <si>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</si>
  <si>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</si>
  <si>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</si>
  <si>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</si>
  <si>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</si>
  <si>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</si>
  <si>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</si>
  <si>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</si>
  <si>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</si>
  <si>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</si>
  <si>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</si>
  <si>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</si>
  <si>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</si>
  <si>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</si>
  <si>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</si>
  <si>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</si>
  <si>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</si>
  <si>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</si>
  <si>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</si>
  <si>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</si>
  <si>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</si>
  <si>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</si>
  <si>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</si>
  <si>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</si>
  <si>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</si>
  <si>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</si>
  <si>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</si>
  <si>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</si>
  <si>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</si>
  <si>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</si>
  <si>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</si>
  <si>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</si>
  <si>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</si>
  <si>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</si>
  <si>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</si>
  <si>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</si>
  <si>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</si>
  <si>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</si>
  <si>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</si>
  <si>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</si>
  <si>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</si>
  <si>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</si>
  <si>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</si>
  <si>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</si>
  <si>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</si>
  <si>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</si>
  <si>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</si>
  <si>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</si>
  <si>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</si>
  <si>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</si>
  <si>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</si>
  <si>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</si>
  <si>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</si>
  <si>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</si>
  <si>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</si>
  <si>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</si>
  <si>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</si>
  <si>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</si>
  <si>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</si>
  <si>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</si>
  <si>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</si>
  <si>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</si>
  <si>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</si>
  <si>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</si>
  <si>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</si>
  <si>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</si>
  <si>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</si>
  <si>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</si>
  <si>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</si>
  <si>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</si>
  <si>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</si>
  <si>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</si>
  <si>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</si>
  <si>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</si>
  <si>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</si>
  <si>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</si>
  <si>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</si>
  <si>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</si>
  <si>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</si>
  <si>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</si>
  <si>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</si>
  <si>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</si>
  <si>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</si>
  <si>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</si>
  <si>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</si>
  <si>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</si>
  <si>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</si>
  <si>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</si>
  <si>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</si>
  <si>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</si>
  <si>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</si>
  <si>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</si>
  <si>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</si>
  <si>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</si>
  <si>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</si>
  <si>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</si>
  <si>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</si>
  <si>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</si>
  <si>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</si>
  <si>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</si>
  <si>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</si>
  <si>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</si>
  <si>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</si>
  <si>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</si>
  <si>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</si>
  <si>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</si>
  <si>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</si>
  <si>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</si>
  <si>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</si>
  <si>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</si>
  <si>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</si>
  <si>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</si>
  <si>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</si>
  <si>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</si>
  <si>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</si>
  <si>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</si>
  <si>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</si>
  <si>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</si>
  <si>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</si>
  <si>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</si>
  <si>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</si>
  <si>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</si>
  <si>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</si>
  <si>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</si>
  <si>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</si>
  <si>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</si>
  <si>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</si>
  <si>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</si>
  <si>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</si>
  <si>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</si>
  <si>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</si>
  <si>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</si>
  <si>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</si>
  <si>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</si>
  <si>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</si>
  <si>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</si>
  <si>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</si>
  <si>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</si>
  <si>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</si>
  <si>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</si>
  <si>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</si>
  <si>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</si>
  <si>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</si>
  <si>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</si>
  <si>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</si>
  <si>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</si>
  <si>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</si>
  <si>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</si>
  <si>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</si>
  <si>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</si>
  <si>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</si>
  <si>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</si>
  <si>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</si>
  <si>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</si>
  <si>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</si>
  <si>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</si>
  <si>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</si>
  <si>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</si>
  <si>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</si>
  <si>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</si>
  <si>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</si>
  <si>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</si>
  <si>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</si>
  <si>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</si>
  <si>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</si>
  <si>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</si>
  <si>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</si>
  <si>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</si>
  <si>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</si>
  <si>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</si>
  <si>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</si>
  <si>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</si>
  <si>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</si>
  <si>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</si>
  <si>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</si>
  <si>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</si>
  <si>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</si>
  <si>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</si>
  <si>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</si>
  <si>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</si>
  <si>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</si>
  <si>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</si>
  <si>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</si>
  <si>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</si>
  <si>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</si>
  <si>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</si>
  <si>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</si>
  <si>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</si>
  <si>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</si>
  <si>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</si>
  <si>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</si>
  <si>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</si>
  <si>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</si>
  <si>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</si>
  <si>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</si>
  <si>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</si>
  <si>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</si>
  <si>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</si>
  <si>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</si>
  <si>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</si>
  <si>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</si>
  <si>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</si>
  <si>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</si>
  <si>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</si>
  <si>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</si>
  <si>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</si>
  <si>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</si>
  <si>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</si>
  <si>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</si>
  <si>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</si>
  <si>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</si>
  <si>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</si>
  <si>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</si>
  <si>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</si>
  <si>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</si>
  <si>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</si>
  <si>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</si>
  <si>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</si>
  <si>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</si>
  <si>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</si>
  <si>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</si>
  <si>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</si>
  <si>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</si>
  <si>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</si>
  <si>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</si>
  <si>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</si>
  <si>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</si>
  <si>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</si>
  <si>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</si>
  <si>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</si>
  <si>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</si>
  <si>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</si>
  <si>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</si>
  <si>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</si>
  <si>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</si>
  <si>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</si>
  <si>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</si>
  <si>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</si>
  <si>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</si>
  <si>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</si>
  <si>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</si>
  <si>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</si>
  <si>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</si>
  <si>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</si>
  <si>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</si>
  <si>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</si>
  <si>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</si>
  <si>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</si>
  <si>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</si>
  <si>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</si>
  <si>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</si>
  <si>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</si>
  <si>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</si>
  <si>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</si>
  <si>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</si>
  <si>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</si>
  <si>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</si>
  <si>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</si>
  <si>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</si>
  <si>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</si>
  <si>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</si>
  <si>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</si>
  <si>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</si>
  <si>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</si>
  <si>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</si>
  <si>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</si>
  <si>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</si>
  <si>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</si>
  <si>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</si>
  <si>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</si>
  <si>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</si>
  <si>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</si>
  <si>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</si>
  <si>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</si>
  <si>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</si>
  <si>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</si>
  <si>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</si>
  <si>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</si>
  <si>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</si>
  <si>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</si>
  <si>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</si>
  <si>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</si>
  <si>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</si>
  <si>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</si>
  <si>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</si>
  <si>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</si>
  <si>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</si>
  <si>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</si>
  <si>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</si>
  <si>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</si>
  <si>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</si>
  <si>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</si>
  <si>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</si>
  <si>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</si>
  <si>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</si>
  <si>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</si>
  <si>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</si>
  <si>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</si>
  <si>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</si>
  <si>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</si>
  <si>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</si>
  <si>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</si>
  <si>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</si>
  <si>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</si>
  <si>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</si>
  <si>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</si>
  <si>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</si>
  <si>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</si>
  <si>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</si>
  <si>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</si>
  <si>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</si>
  <si>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</si>
  <si>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</si>
  <si>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</si>
  <si>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</si>
  <si>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</si>
  <si>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</si>
  <si>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</si>
  <si>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</si>
  <si>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</si>
  <si>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</si>
  <si>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</si>
  <si>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</si>
  <si>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</si>
  <si>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</si>
  <si>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</si>
  <si>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</si>
  <si>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</si>
  <si>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</si>
  <si>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</si>
  <si>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</si>
  <si>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</si>
  <si>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</si>
  <si>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</si>
  <si>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</si>
  <si>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</si>
  <si>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</si>
  <si>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</si>
  <si>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</si>
  <si>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</si>
  <si>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</si>
  <si>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</si>
  <si>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</si>
  <si>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</si>
  <si>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</si>
  <si>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</si>
  <si>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</si>
  <si>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</si>
  <si>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</si>
  <si>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</si>
  <si>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</si>
  <si>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</si>
  <si>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</si>
  <si>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</si>
  <si>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</si>
  <si>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</si>
  <si>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</si>
  <si>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</si>
  <si>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</si>
  <si>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</si>
  <si>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</si>
  <si>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</si>
  <si>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</si>
  <si>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</si>
  <si>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</si>
  <si>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</si>
  <si>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</si>
  <si>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</si>
  <si>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</si>
  <si>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</si>
  <si>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</si>
  <si>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</si>
  <si>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</si>
  <si>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</si>
  <si>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</si>
  <si>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</si>
  <si>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</si>
  <si>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</si>
  <si>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</si>
  <si>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</si>
  <si>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</si>
  <si>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</si>
  <si>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</si>
  <si>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</si>
  <si>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</si>
  <si>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</si>
  <si>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</si>
  <si>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</si>
  <si>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</si>
  <si>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</si>
  <si>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72004</t>
  </si>
  <si>
    <t>BREE</t>
  </si>
  <si>
    <t>Paarden&amp;pony's 200 - 600 kg</t>
  </si>
  <si>
    <t>Paarden&amp;pony's &lt; 200 kg</t>
  </si>
  <si>
    <t>Fluvius</t>
  </si>
  <si>
    <t>referentietaak LNE (2017); Jaarverslag De Lijn</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</si>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</sst>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134720.94659763796</c:v>
                </c:pt>
                <c:pt idx="1">
                  <c:v>65629.442973463258</c:v>
                </c:pt>
                <c:pt idx="2">
                  <c:v>1190.0419999999999</c:v>
                </c:pt>
                <c:pt idx="3">
                  <c:v>47201.407130466956</c:v>
                </c:pt>
                <c:pt idx="4">
                  <c:v>177086.72949240103</c:v>
                </c:pt>
                <c:pt idx="5">
                  <c:v>99573.191727019745</c:v>
                </c:pt>
                <c:pt idx="6">
                  <c:v>2180.374738889474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134720.94659763796</c:v>
                </c:pt>
                <c:pt idx="1">
                  <c:v>65629.442973463258</c:v>
                </c:pt>
                <c:pt idx="2">
                  <c:v>1190.0419999999999</c:v>
                </c:pt>
                <c:pt idx="3">
                  <c:v>47201.407130466956</c:v>
                </c:pt>
                <c:pt idx="4">
                  <c:v>177086.72949240103</c:v>
                </c:pt>
                <c:pt idx="5">
                  <c:v>99573.191727019745</c:v>
                </c:pt>
                <c:pt idx="6">
                  <c:v>2180.374738889474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25986.858413645466</c:v>
                </c:pt>
                <c:pt idx="2">
                  <c:v>12090.014609236765</c:v>
                </c:pt>
                <c:pt idx="3">
                  <c:v>209.52474616084945</c:v>
                </c:pt>
                <c:pt idx="4">
                  <c:v>7716.8964947535778</c:v>
                </c:pt>
                <c:pt idx="5">
                  <c:v>33530.811961798769</c:v>
                </c:pt>
                <c:pt idx="6">
                  <c:v>25483.418187711952</c:v>
                </c:pt>
                <c:pt idx="7">
                  <c:v>564.66744442287518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25986.858413645466</c:v>
                </c:pt>
                <c:pt idx="2">
                  <c:v>12090.014609236765</c:v>
                </c:pt>
                <c:pt idx="3">
                  <c:v>209.52474616084945</c:v>
                </c:pt>
                <c:pt idx="4">
                  <c:v>7716.8964947535778</c:v>
                </c:pt>
                <c:pt idx="5">
                  <c:v>33530.811961798769</c:v>
                </c:pt>
                <c:pt idx="6">
                  <c:v>25483.418187711952</c:v>
                </c:pt>
                <c:pt idx="7">
                  <c:v>564.66744442287518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72004</v>
      </c>
      <c r="B6" s="390"/>
      <c r="C6" s="391"/>
    </row>
    <row r="7" spans="1:7" s="388" customFormat="1" ht="15.75" customHeight="1">
      <c r="A7" s="392" t="str">
        <f>txtMunicipality</f>
        <v>BREE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34016.742000000006</v>
      </c>
      <c r="D10" s="978">
        <f ca="1">tertiair!C16</f>
        <v>96.428571428571431</v>
      </c>
      <c r="E10" s="978">
        <f ca="1">tertiair!D16</f>
        <v>20152.698153142857</v>
      </c>
      <c r="F10" s="978">
        <f>tertiair!E16</f>
        <v>631.20432086491439</v>
      </c>
      <c r="G10" s="978">
        <f ca="1">tertiair!F16</f>
        <v>7850.6067070267054</v>
      </c>
      <c r="H10" s="978">
        <f>tertiair!G16</f>
        <v>0</v>
      </c>
      <c r="I10" s="978">
        <f>tertiair!H16</f>
        <v>0</v>
      </c>
      <c r="J10" s="978">
        <f>tertiair!I16</f>
        <v>0</v>
      </c>
      <c r="K10" s="978">
        <f>tertiair!J16</f>
        <v>0</v>
      </c>
      <c r="L10" s="978">
        <f>tertiair!K16</f>
        <v>0</v>
      </c>
      <c r="M10" s="978">
        <f ca="1">tertiair!L16</f>
        <v>0</v>
      </c>
      <c r="N10" s="978">
        <f>tertiair!M16</f>
        <v>0</v>
      </c>
      <c r="O10" s="978">
        <f ca="1">tertiair!N16</f>
        <v>3990.8485543335341</v>
      </c>
      <c r="P10" s="978">
        <f>tertiair!O16</f>
        <v>4.6900000000000004</v>
      </c>
      <c r="Q10" s="979">
        <f>tertiair!P16</f>
        <v>76.266666666666666</v>
      </c>
      <c r="R10" s="674">
        <f ca="1">SUM(C10:Q10)</f>
        <v>66819.484973463259</v>
      </c>
      <c r="S10" s="67"/>
    </row>
    <row r="11" spans="1:19" s="447" customFormat="1">
      <c r="A11" s="783" t="s">
        <v>224</v>
      </c>
      <c r="B11" s="788"/>
      <c r="C11" s="978">
        <f>huishoudens!B8</f>
        <v>28080.200870807457</v>
      </c>
      <c r="D11" s="978">
        <f>huishoudens!C8</f>
        <v>0</v>
      </c>
      <c r="E11" s="978">
        <f>huishoudens!D8</f>
        <v>42510.284938000004</v>
      </c>
      <c r="F11" s="978">
        <f>huishoudens!E8</f>
        <v>16432.517386741296</v>
      </c>
      <c r="G11" s="978">
        <f>huishoudens!F8</f>
        <v>32680.370072277849</v>
      </c>
      <c r="H11" s="978">
        <f>huishoudens!G8</f>
        <v>0</v>
      </c>
      <c r="I11" s="978">
        <f>huishoudens!H8</f>
        <v>0</v>
      </c>
      <c r="J11" s="978">
        <f>huishoudens!I8</f>
        <v>0</v>
      </c>
      <c r="K11" s="978">
        <f>huishoudens!J8</f>
        <v>0</v>
      </c>
      <c r="L11" s="978">
        <f>huishoudens!K8</f>
        <v>0</v>
      </c>
      <c r="M11" s="978">
        <f>huishoudens!L8</f>
        <v>0</v>
      </c>
      <c r="N11" s="978">
        <f>huishoudens!M8</f>
        <v>0</v>
      </c>
      <c r="O11" s="978">
        <f>huishoudens!N8</f>
        <v>13788.449996478046</v>
      </c>
      <c r="P11" s="978">
        <f>huishoudens!O8</f>
        <v>332.99</v>
      </c>
      <c r="Q11" s="979">
        <f>huishoudens!P8</f>
        <v>896.13333333333333</v>
      </c>
      <c r="R11" s="674">
        <f>SUM(C11:Q11)</f>
        <v>134720.94659763796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37307.994000000006</v>
      </c>
      <c r="D13" s="978">
        <f>industrie!C18</f>
        <v>0</v>
      </c>
      <c r="E13" s="978">
        <f>industrie!D18</f>
        <v>116556.13692799999</v>
      </c>
      <c r="F13" s="978">
        <f>industrie!E18</f>
        <v>1519.1058906784338</v>
      </c>
      <c r="G13" s="978">
        <f>industrie!F18</f>
        <v>11498.288324033671</v>
      </c>
      <c r="H13" s="978">
        <f>industrie!G18</f>
        <v>0</v>
      </c>
      <c r="I13" s="978">
        <f>industrie!H18</f>
        <v>0</v>
      </c>
      <c r="J13" s="978">
        <f>industrie!I18</f>
        <v>0</v>
      </c>
      <c r="K13" s="978">
        <f>industrie!J18</f>
        <v>8.3623564249382643</v>
      </c>
      <c r="L13" s="978">
        <f>industrie!K18</f>
        <v>0</v>
      </c>
      <c r="M13" s="978">
        <f>industrie!L18</f>
        <v>0</v>
      </c>
      <c r="N13" s="978">
        <f>industrie!M18</f>
        <v>0</v>
      </c>
      <c r="O13" s="978">
        <f>industrie!N18</f>
        <v>10196.841993263981</v>
      </c>
      <c r="P13" s="978">
        <f>industrie!O18</f>
        <v>0</v>
      </c>
      <c r="Q13" s="979">
        <f>industrie!P18</f>
        <v>0</v>
      </c>
      <c r="R13" s="674">
        <f>SUM(C13:Q13)</f>
        <v>177086.72949240103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99404.936870807462</v>
      </c>
      <c r="D16" s="706">
        <f t="shared" ref="D16:R16" ca="1" si="0">SUM(D9:D15)</f>
        <v>96.428571428571431</v>
      </c>
      <c r="E16" s="706">
        <f t="shared" ca="1" si="0"/>
        <v>179219.12001914287</v>
      </c>
      <c r="F16" s="706">
        <f t="shared" si="0"/>
        <v>18582.827598284646</v>
      </c>
      <c r="G16" s="706">
        <f t="shared" ca="1" si="0"/>
        <v>52029.265103338228</v>
      </c>
      <c r="H16" s="706">
        <f t="shared" si="0"/>
        <v>0</v>
      </c>
      <c r="I16" s="706">
        <f t="shared" si="0"/>
        <v>0</v>
      </c>
      <c r="J16" s="706">
        <f t="shared" si="0"/>
        <v>0</v>
      </c>
      <c r="K16" s="706">
        <f t="shared" si="0"/>
        <v>8.3623564249382643</v>
      </c>
      <c r="L16" s="706">
        <f t="shared" si="0"/>
        <v>0</v>
      </c>
      <c r="M16" s="706">
        <f t="shared" ca="1" si="0"/>
        <v>0</v>
      </c>
      <c r="N16" s="706">
        <f t="shared" si="0"/>
        <v>0</v>
      </c>
      <c r="O16" s="706">
        <f t="shared" ca="1" si="0"/>
        <v>27976.140544075563</v>
      </c>
      <c r="P16" s="706">
        <f t="shared" si="0"/>
        <v>337.68</v>
      </c>
      <c r="Q16" s="706">
        <f t="shared" si="0"/>
        <v>972.4</v>
      </c>
      <c r="R16" s="706">
        <f t="shared" ca="1" si="0"/>
        <v>378627.16106350225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2114.8593424077721</v>
      </c>
      <c r="I19" s="978">
        <f>transport!H54</f>
        <v>0</v>
      </c>
      <c r="J19" s="978">
        <f>transport!I54</f>
        <v>0</v>
      </c>
      <c r="K19" s="978">
        <f>transport!J54</f>
        <v>0</v>
      </c>
      <c r="L19" s="978">
        <f>transport!K54</f>
        <v>0</v>
      </c>
      <c r="M19" s="978">
        <f>transport!L54</f>
        <v>0</v>
      </c>
      <c r="N19" s="978">
        <f>transport!M54</f>
        <v>65.51539648170187</v>
      </c>
      <c r="O19" s="978">
        <f>transport!N54</f>
        <v>0</v>
      </c>
      <c r="P19" s="978">
        <f>transport!O54</f>
        <v>0</v>
      </c>
      <c r="Q19" s="979">
        <f>transport!P54</f>
        <v>0</v>
      </c>
      <c r="R19" s="674">
        <f>SUM(C19:Q19)</f>
        <v>2180.374738889474</v>
      </c>
      <c r="S19" s="67"/>
    </row>
    <row r="20" spans="1:19" s="447" customFormat="1">
      <c r="A20" s="783" t="s">
        <v>306</v>
      </c>
      <c r="B20" s="788"/>
      <c r="C20" s="978">
        <f>transport!B14</f>
        <v>23.251051088455302</v>
      </c>
      <c r="D20" s="978">
        <f>transport!C14</f>
        <v>0</v>
      </c>
      <c r="E20" s="978">
        <f>transport!D14</f>
        <v>46.710409207665428</v>
      </c>
      <c r="F20" s="978">
        <f>transport!E14</f>
        <v>208.33784260802469</v>
      </c>
      <c r="G20" s="978">
        <f>transport!F14</f>
        <v>0</v>
      </c>
      <c r="H20" s="978">
        <f>transport!G14</f>
        <v>80363.612885017661</v>
      </c>
      <c r="I20" s="978">
        <f>transport!H14</f>
        <v>15925.749631094064</v>
      </c>
      <c r="J20" s="978">
        <f>transport!I14</f>
        <v>0</v>
      </c>
      <c r="K20" s="978">
        <f>transport!J14</f>
        <v>0</v>
      </c>
      <c r="L20" s="978">
        <f>transport!K14</f>
        <v>0</v>
      </c>
      <c r="M20" s="978">
        <f>transport!L14</f>
        <v>0</v>
      </c>
      <c r="N20" s="978">
        <f>transport!M14</f>
        <v>3005.5299080038826</v>
      </c>
      <c r="O20" s="978">
        <f>transport!N14</f>
        <v>0</v>
      </c>
      <c r="P20" s="978">
        <f>transport!O14</f>
        <v>0</v>
      </c>
      <c r="Q20" s="979">
        <f>transport!P14</f>
        <v>0</v>
      </c>
      <c r="R20" s="674">
        <f>SUM(C20:Q20)</f>
        <v>99573.191727019745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23.251051088455302</v>
      </c>
      <c r="D22" s="786">
        <f t="shared" ref="D22:R22" si="1">SUM(D18:D21)</f>
        <v>0</v>
      </c>
      <c r="E22" s="786">
        <f t="shared" si="1"/>
        <v>46.710409207665428</v>
      </c>
      <c r="F22" s="786">
        <f t="shared" si="1"/>
        <v>208.33784260802469</v>
      </c>
      <c r="G22" s="786">
        <f t="shared" si="1"/>
        <v>0</v>
      </c>
      <c r="H22" s="786">
        <f t="shared" si="1"/>
        <v>82478.472227425431</v>
      </c>
      <c r="I22" s="786">
        <f t="shared" si="1"/>
        <v>15925.749631094064</v>
      </c>
      <c r="J22" s="786">
        <f t="shared" si="1"/>
        <v>0</v>
      </c>
      <c r="K22" s="786">
        <f t="shared" si="1"/>
        <v>0</v>
      </c>
      <c r="L22" s="786">
        <f t="shared" si="1"/>
        <v>0</v>
      </c>
      <c r="M22" s="786">
        <f t="shared" si="1"/>
        <v>0</v>
      </c>
      <c r="N22" s="786">
        <f t="shared" si="1"/>
        <v>3071.0453044855844</v>
      </c>
      <c r="O22" s="786">
        <f t="shared" si="1"/>
        <v>0</v>
      </c>
      <c r="P22" s="786">
        <f t="shared" si="1"/>
        <v>0</v>
      </c>
      <c r="Q22" s="786">
        <f t="shared" si="1"/>
        <v>0</v>
      </c>
      <c r="R22" s="786">
        <f t="shared" si="1"/>
        <v>101753.56646590921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5553.1009999999997</v>
      </c>
      <c r="D24" s="978">
        <f>+landbouw!C8</f>
        <v>15549.428571428572</v>
      </c>
      <c r="E24" s="978">
        <f>+landbouw!D8</f>
        <v>4858.6004500000008</v>
      </c>
      <c r="F24" s="978">
        <f>+landbouw!E8</f>
        <v>143.19315334723342</v>
      </c>
      <c r="G24" s="978">
        <f>+landbouw!F8</f>
        <v>20297.641691713339</v>
      </c>
      <c r="H24" s="978">
        <f>+landbouw!G8</f>
        <v>0</v>
      </c>
      <c r="I24" s="978">
        <f>+landbouw!H8</f>
        <v>0</v>
      </c>
      <c r="J24" s="978">
        <f>+landbouw!I8</f>
        <v>0</v>
      </c>
      <c r="K24" s="978">
        <f>+landbouw!J8</f>
        <v>799.44226397781517</v>
      </c>
      <c r="L24" s="978">
        <f>+landbouw!K8</f>
        <v>0</v>
      </c>
      <c r="M24" s="978">
        <f>+landbouw!L8</f>
        <v>0</v>
      </c>
      <c r="N24" s="978">
        <f>+landbouw!M8</f>
        <v>0</v>
      </c>
      <c r="O24" s="978">
        <f>+landbouw!N8</f>
        <v>0</v>
      </c>
      <c r="P24" s="978">
        <f>+landbouw!O8</f>
        <v>0</v>
      </c>
      <c r="Q24" s="979">
        <f>+landbouw!P8</f>
        <v>0</v>
      </c>
      <c r="R24" s="674">
        <f>SUM(C24:Q24)</f>
        <v>47201.407130466956</v>
      </c>
      <c r="S24" s="67"/>
    </row>
    <row r="25" spans="1:19" s="447" customFormat="1" ht="15" thickBot="1">
      <c r="A25" s="805" t="s">
        <v>834</v>
      </c>
      <c r="B25" s="981"/>
      <c r="C25" s="982">
        <f>IF(Onbekend_ele_kWh="---",0,Onbekend_ele_kWh)/1000+IF(REST_rest_ele_kWh="---",0,REST_rest_ele_kWh)/1000</f>
        <v>487.29</v>
      </c>
      <c r="D25" s="982"/>
      <c r="E25" s="982">
        <f>IF(onbekend_gas_kWh="---",0,onbekend_gas_kWh)/1000+IF(REST_rest_gas_kWh="---",0,REST_rest_gas_kWh)/1000</f>
        <v>726.12</v>
      </c>
      <c r="F25" s="982"/>
      <c r="G25" s="982"/>
      <c r="H25" s="982"/>
      <c r="I25" s="982"/>
      <c r="J25" s="982"/>
      <c r="K25" s="982"/>
      <c r="L25" s="982"/>
      <c r="M25" s="982"/>
      <c r="N25" s="982"/>
      <c r="O25" s="982"/>
      <c r="P25" s="982"/>
      <c r="Q25" s="983"/>
      <c r="R25" s="674">
        <f>SUM(C25:Q25)</f>
        <v>1213.4100000000001</v>
      </c>
      <c r="S25" s="67"/>
    </row>
    <row r="26" spans="1:19" s="447" customFormat="1" ht="15.75" thickBot="1">
      <c r="A26" s="679" t="s">
        <v>835</v>
      </c>
      <c r="B26" s="791"/>
      <c r="C26" s="786">
        <f>SUM(C24:C25)</f>
        <v>6040.3909999999996</v>
      </c>
      <c r="D26" s="786">
        <f t="shared" ref="D26:R26" si="2">SUM(D24:D25)</f>
        <v>15549.428571428572</v>
      </c>
      <c r="E26" s="786">
        <f t="shared" si="2"/>
        <v>5584.7204500000007</v>
      </c>
      <c r="F26" s="786">
        <f t="shared" si="2"/>
        <v>143.19315334723342</v>
      </c>
      <c r="G26" s="786">
        <f t="shared" si="2"/>
        <v>20297.641691713339</v>
      </c>
      <c r="H26" s="786">
        <f t="shared" si="2"/>
        <v>0</v>
      </c>
      <c r="I26" s="786">
        <f t="shared" si="2"/>
        <v>0</v>
      </c>
      <c r="J26" s="786">
        <f t="shared" si="2"/>
        <v>0</v>
      </c>
      <c r="K26" s="786">
        <f t="shared" si="2"/>
        <v>799.44226397781517</v>
      </c>
      <c r="L26" s="786">
        <f t="shared" si="2"/>
        <v>0</v>
      </c>
      <c r="M26" s="786">
        <f t="shared" si="2"/>
        <v>0</v>
      </c>
      <c r="N26" s="786">
        <f t="shared" si="2"/>
        <v>0</v>
      </c>
      <c r="O26" s="786">
        <f t="shared" si="2"/>
        <v>0</v>
      </c>
      <c r="P26" s="786">
        <f t="shared" si="2"/>
        <v>0</v>
      </c>
      <c r="Q26" s="786">
        <f t="shared" si="2"/>
        <v>0</v>
      </c>
      <c r="R26" s="786">
        <f t="shared" si="2"/>
        <v>48414.817130466959</v>
      </c>
      <c r="S26" s="67"/>
    </row>
    <row r="27" spans="1:19" s="447" customFormat="1" ht="17.25" thickTop="1" thickBot="1">
      <c r="A27" s="680" t="s">
        <v>115</v>
      </c>
      <c r="B27" s="779"/>
      <c r="C27" s="681">
        <f ca="1">C22+C16+C26</f>
        <v>105468.57892189593</v>
      </c>
      <c r="D27" s="681">
        <f t="shared" ref="D27:R27" ca="1" si="3">D22+D16+D26</f>
        <v>15645.857142857143</v>
      </c>
      <c r="E27" s="681">
        <f t="shared" ca="1" si="3"/>
        <v>184850.55087835054</v>
      </c>
      <c r="F27" s="681">
        <f t="shared" si="3"/>
        <v>18934.358594239904</v>
      </c>
      <c r="G27" s="681">
        <f t="shared" ca="1" si="3"/>
        <v>72326.90679505156</v>
      </c>
      <c r="H27" s="681">
        <f t="shared" si="3"/>
        <v>82478.472227425431</v>
      </c>
      <c r="I27" s="681">
        <f t="shared" si="3"/>
        <v>15925.749631094064</v>
      </c>
      <c r="J27" s="681">
        <f t="shared" si="3"/>
        <v>0</v>
      </c>
      <c r="K27" s="681">
        <f t="shared" si="3"/>
        <v>807.80462040275347</v>
      </c>
      <c r="L27" s="681">
        <f t="shared" si="3"/>
        <v>0</v>
      </c>
      <c r="M27" s="681">
        <f t="shared" ca="1" si="3"/>
        <v>0</v>
      </c>
      <c r="N27" s="681">
        <f t="shared" si="3"/>
        <v>3071.0453044855844</v>
      </c>
      <c r="O27" s="681">
        <f t="shared" ca="1" si="3"/>
        <v>27976.140544075563</v>
      </c>
      <c r="P27" s="681">
        <f t="shared" si="3"/>
        <v>337.68</v>
      </c>
      <c r="Q27" s="681">
        <f t="shared" si="3"/>
        <v>972.4</v>
      </c>
      <c r="R27" s="681">
        <f t="shared" ca="1" si="3"/>
        <v>528795.54465987836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5989.157721130101</v>
      </c>
      <c r="D40" s="978">
        <f ca="1">tertiair!C20</f>
        <v>0.14123572018995784</v>
      </c>
      <c r="E40" s="978">
        <f ca="1">tertiair!D20</f>
        <v>4070.8450269348573</v>
      </c>
      <c r="F40" s="978">
        <f>tertiair!E20</f>
        <v>143.28338083633557</v>
      </c>
      <c r="G40" s="978">
        <f ca="1">tertiair!F20</f>
        <v>2096.1119907761304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12299.539355397614</v>
      </c>
    </row>
    <row r="41" spans="1:18">
      <c r="A41" s="796" t="s">
        <v>224</v>
      </c>
      <c r="B41" s="803"/>
      <c r="C41" s="978">
        <f ca="1">huishoudens!B12</f>
        <v>4943.9406000810031</v>
      </c>
      <c r="D41" s="978">
        <f ca="1">huishoudens!C12</f>
        <v>0</v>
      </c>
      <c r="E41" s="978">
        <f>huishoudens!D12</f>
        <v>8587.0775574760009</v>
      </c>
      <c r="F41" s="978">
        <f>huishoudens!E12</f>
        <v>3730.1814467902741</v>
      </c>
      <c r="G41" s="978">
        <f>huishoudens!F12</f>
        <v>8725.6588092981856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25986.858413645466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6568.6320084673453</v>
      </c>
      <c r="D43" s="978">
        <f ca="1">industrie!C22</f>
        <v>0</v>
      </c>
      <c r="E43" s="978">
        <f>industrie!D22</f>
        <v>23544.339659456</v>
      </c>
      <c r="F43" s="978">
        <f>industrie!E22</f>
        <v>344.83703718400449</v>
      </c>
      <c r="G43" s="978">
        <f>industrie!F22</f>
        <v>3070.0429825169904</v>
      </c>
      <c r="H43" s="978">
        <f>industrie!G22</f>
        <v>0</v>
      </c>
      <c r="I43" s="978">
        <f>industrie!H22</f>
        <v>0</v>
      </c>
      <c r="J43" s="978">
        <f>industrie!I22</f>
        <v>0</v>
      </c>
      <c r="K43" s="978">
        <f>industrie!J22</f>
        <v>2.9602741744281453</v>
      </c>
      <c r="L43" s="978">
        <f>industrie!K22</f>
        <v>0</v>
      </c>
      <c r="M43" s="978">
        <f>industrie!L22</f>
        <v>0</v>
      </c>
      <c r="N43" s="978">
        <f>industrie!M22</f>
        <v>0</v>
      </c>
      <c r="O43" s="978">
        <f>industrie!N22</f>
        <v>0</v>
      </c>
      <c r="P43" s="978">
        <f>industrie!O22</f>
        <v>0</v>
      </c>
      <c r="Q43" s="748">
        <f>industrie!P22</f>
        <v>0</v>
      </c>
      <c r="R43" s="823">
        <f t="shared" ca="1" si="4"/>
        <v>33530.811961798769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17501.730329678448</v>
      </c>
      <c r="D46" s="706">
        <f t="shared" ref="D46:Q46" ca="1" si="5">SUM(D39:D45)</f>
        <v>0.14123572018995784</v>
      </c>
      <c r="E46" s="706">
        <f t="shared" ca="1" si="5"/>
        <v>36202.262243866862</v>
      </c>
      <c r="F46" s="706">
        <f t="shared" si="5"/>
        <v>4218.3018648106145</v>
      </c>
      <c r="G46" s="706">
        <f t="shared" ca="1" si="5"/>
        <v>13891.813782591305</v>
      </c>
      <c r="H46" s="706">
        <f t="shared" si="5"/>
        <v>0</v>
      </c>
      <c r="I46" s="706">
        <f t="shared" si="5"/>
        <v>0</v>
      </c>
      <c r="J46" s="706">
        <f t="shared" si="5"/>
        <v>0</v>
      </c>
      <c r="K46" s="706">
        <f t="shared" si="5"/>
        <v>2.9602741744281453</v>
      </c>
      <c r="L46" s="706">
        <f t="shared" si="5"/>
        <v>0</v>
      </c>
      <c r="M46" s="706">
        <f t="shared" ca="1" si="5"/>
        <v>0</v>
      </c>
      <c r="N46" s="706">
        <f t="shared" si="5"/>
        <v>0</v>
      </c>
      <c r="O46" s="706">
        <f t="shared" ca="1" si="5"/>
        <v>0</v>
      </c>
      <c r="P46" s="706">
        <f t="shared" si="5"/>
        <v>0</v>
      </c>
      <c r="Q46" s="706">
        <f t="shared" si="5"/>
        <v>0</v>
      </c>
      <c r="R46" s="706">
        <f ca="1">SUM(R39:R45)</f>
        <v>71817.209730841845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564.66744442287518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564.66744442287518</v>
      </c>
    </row>
    <row r="50" spans="1:18">
      <c r="A50" s="799" t="s">
        <v>306</v>
      </c>
      <c r="B50" s="809"/>
      <c r="C50" s="677">
        <f ca="1">transport!B18</f>
        <v>4.0936963378448326</v>
      </c>
      <c r="D50" s="677">
        <f>transport!C18</f>
        <v>0</v>
      </c>
      <c r="E50" s="677">
        <f>transport!D18</f>
        <v>9.4355026599484173</v>
      </c>
      <c r="F50" s="677">
        <f>transport!E18</f>
        <v>47.292690272021602</v>
      </c>
      <c r="G50" s="677">
        <f>transport!F18</f>
        <v>0</v>
      </c>
      <c r="H50" s="677">
        <f>transport!G18</f>
        <v>21457.084640299716</v>
      </c>
      <c r="I50" s="677">
        <f>transport!H18</f>
        <v>3965.5116581424218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25483.418187711952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4.0936963378448326</v>
      </c>
      <c r="D52" s="706">
        <f t="shared" ref="D52:Q52" ca="1" si="6">SUM(D48:D51)</f>
        <v>0</v>
      </c>
      <c r="E52" s="706">
        <f t="shared" si="6"/>
        <v>9.4355026599484173</v>
      </c>
      <c r="F52" s="706">
        <f t="shared" si="6"/>
        <v>47.292690272021602</v>
      </c>
      <c r="G52" s="706">
        <f t="shared" si="6"/>
        <v>0</v>
      </c>
      <c r="H52" s="706">
        <f t="shared" si="6"/>
        <v>22021.75208472259</v>
      </c>
      <c r="I52" s="706">
        <f t="shared" si="6"/>
        <v>3965.5116581424218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26048.085632134826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977.70673424178244</v>
      </c>
      <c r="D54" s="677">
        <f ca="1">+landbouw!C12</f>
        <v>22.774730666364672</v>
      </c>
      <c r="E54" s="677">
        <f>+landbouw!D12</f>
        <v>981.43729090000022</v>
      </c>
      <c r="F54" s="677">
        <f>+landbouw!E12</f>
        <v>32.504845809821987</v>
      </c>
      <c r="G54" s="677">
        <f>+landbouw!F12</f>
        <v>5419.470331687462</v>
      </c>
      <c r="H54" s="677">
        <f>+landbouw!G12</f>
        <v>0</v>
      </c>
      <c r="I54" s="677">
        <f>+landbouw!H12</f>
        <v>0</v>
      </c>
      <c r="J54" s="677">
        <f>+landbouw!I12</f>
        <v>0</v>
      </c>
      <c r="K54" s="677">
        <f>+landbouw!J12</f>
        <v>283.00256144814654</v>
      </c>
      <c r="L54" s="677">
        <f>+landbouw!K12</f>
        <v>0</v>
      </c>
      <c r="M54" s="677">
        <f>+landbouw!L12</f>
        <v>0</v>
      </c>
      <c r="N54" s="677">
        <f>+landbouw!M12</f>
        <v>0</v>
      </c>
      <c r="O54" s="677">
        <f>+landbouw!N12</f>
        <v>0</v>
      </c>
      <c r="P54" s="677">
        <f>+landbouw!O12</f>
        <v>0</v>
      </c>
      <c r="Q54" s="678">
        <f>+landbouw!P12</f>
        <v>0</v>
      </c>
      <c r="R54" s="705">
        <f ca="1">SUM(C54:Q54)</f>
        <v>7716.8964947535778</v>
      </c>
    </row>
    <row r="55" spans="1:18" ht="15" thickBot="1">
      <c r="A55" s="799" t="s">
        <v>834</v>
      </c>
      <c r="B55" s="809"/>
      <c r="C55" s="677">
        <f ca="1">C25*'EF ele_warmte'!B12</f>
        <v>85.79471443589415</v>
      </c>
      <c r="D55" s="677"/>
      <c r="E55" s="677">
        <f>E25*EF_CO2_aardgas</f>
        <v>146.67624000000001</v>
      </c>
      <c r="F55" s="677"/>
      <c r="G55" s="677"/>
      <c r="H55" s="677"/>
      <c r="I55" s="677"/>
      <c r="J55" s="677"/>
      <c r="K55" s="677"/>
      <c r="L55" s="677"/>
      <c r="M55" s="677"/>
      <c r="N55" s="677"/>
      <c r="O55" s="677"/>
      <c r="P55" s="677"/>
      <c r="Q55" s="678"/>
      <c r="R55" s="705">
        <f ca="1">SUM(C55:Q55)</f>
        <v>232.47095443589416</v>
      </c>
    </row>
    <row r="56" spans="1:18" ht="15.75" thickBot="1">
      <c r="A56" s="797" t="s">
        <v>835</v>
      </c>
      <c r="B56" s="810"/>
      <c r="C56" s="706">
        <f ca="1">SUM(C54:C55)</f>
        <v>1063.5014486776765</v>
      </c>
      <c r="D56" s="706">
        <f t="shared" ref="D56:Q56" ca="1" si="7">SUM(D54:D55)</f>
        <v>22.774730666364672</v>
      </c>
      <c r="E56" s="706">
        <f t="shared" si="7"/>
        <v>1128.1135309000001</v>
      </c>
      <c r="F56" s="706">
        <f t="shared" si="7"/>
        <v>32.504845809821987</v>
      </c>
      <c r="G56" s="706">
        <f t="shared" si="7"/>
        <v>5419.470331687462</v>
      </c>
      <c r="H56" s="706">
        <f t="shared" si="7"/>
        <v>0</v>
      </c>
      <c r="I56" s="706">
        <f t="shared" si="7"/>
        <v>0</v>
      </c>
      <c r="J56" s="706">
        <f t="shared" si="7"/>
        <v>0</v>
      </c>
      <c r="K56" s="706">
        <f t="shared" si="7"/>
        <v>283.00256144814654</v>
      </c>
      <c r="L56" s="706">
        <f t="shared" si="7"/>
        <v>0</v>
      </c>
      <c r="M56" s="706">
        <f t="shared" si="7"/>
        <v>0</v>
      </c>
      <c r="N56" s="706">
        <f t="shared" si="7"/>
        <v>0</v>
      </c>
      <c r="O56" s="706">
        <f t="shared" si="7"/>
        <v>0</v>
      </c>
      <c r="P56" s="706">
        <f t="shared" si="7"/>
        <v>0</v>
      </c>
      <c r="Q56" s="707">
        <f t="shared" si="7"/>
        <v>0</v>
      </c>
      <c r="R56" s="708">
        <f ca="1">SUM(R54:R55)</f>
        <v>7949.3674491894717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18569.325474693971</v>
      </c>
      <c r="D61" s="714">
        <f t="shared" ref="D61:Q61" ca="1" si="8">D46+D52+D56</f>
        <v>22.915966386554629</v>
      </c>
      <c r="E61" s="714">
        <f t="shared" ca="1" si="8"/>
        <v>37339.811277426816</v>
      </c>
      <c r="F61" s="714">
        <f t="shared" si="8"/>
        <v>4298.0994008924581</v>
      </c>
      <c r="G61" s="714">
        <f t="shared" ca="1" si="8"/>
        <v>19311.284114278766</v>
      </c>
      <c r="H61" s="714">
        <f t="shared" si="8"/>
        <v>22021.75208472259</v>
      </c>
      <c r="I61" s="714">
        <f t="shared" si="8"/>
        <v>3965.5116581424218</v>
      </c>
      <c r="J61" s="714">
        <f t="shared" si="8"/>
        <v>0</v>
      </c>
      <c r="K61" s="714">
        <f t="shared" si="8"/>
        <v>285.96283562257469</v>
      </c>
      <c r="L61" s="714">
        <f t="shared" si="8"/>
        <v>0</v>
      </c>
      <c r="M61" s="714">
        <f t="shared" ca="1" si="8"/>
        <v>0</v>
      </c>
      <c r="N61" s="714">
        <f t="shared" si="8"/>
        <v>0</v>
      </c>
      <c r="O61" s="714">
        <f t="shared" ca="1" si="8"/>
        <v>0</v>
      </c>
      <c r="P61" s="714">
        <f t="shared" si="8"/>
        <v>0</v>
      </c>
      <c r="Q61" s="714">
        <f t="shared" si="8"/>
        <v>0</v>
      </c>
      <c r="R61" s="714">
        <f ca="1">R46+R52+R56</f>
        <v>105814.66281216615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0.17606500120235208</v>
      </c>
      <c r="D63" s="755">
        <f t="shared" ca="1" si="9"/>
        <v>1.4646667278958594E-3</v>
      </c>
      <c r="E63" s="989">
        <f t="shared" ca="1" si="9"/>
        <v>0.20200000000000004</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10564.966260251662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10884.6</v>
      </c>
      <c r="C76" s="724">
        <f>'lokale energieproductie'!B8*IFERROR(SUM(D76:H76)/SUM(D76:O76),0)</f>
        <v>67.499999999999986</v>
      </c>
      <c r="D76" s="999">
        <f>'lokale energieproductie'!C8</f>
        <v>79.411764705882348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12805.411764705885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16.041176470588237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21449.56626025166</v>
      </c>
      <c r="C78" s="729">
        <f>SUM(C72:C77)</f>
        <v>67.499999999999986</v>
      </c>
      <c r="D78" s="730">
        <f t="shared" ref="D78:H78" si="10">SUM(D76:D77)</f>
        <v>79.411764705882348</v>
      </c>
      <c r="E78" s="730">
        <f t="shared" si="10"/>
        <v>0</v>
      </c>
      <c r="F78" s="730">
        <f t="shared" si="10"/>
        <v>0</v>
      </c>
      <c r="G78" s="730">
        <f t="shared" si="10"/>
        <v>0</v>
      </c>
      <c r="H78" s="730">
        <f t="shared" si="10"/>
        <v>0</v>
      </c>
      <c r="I78" s="730">
        <f>SUM(I76:I77)</f>
        <v>0</v>
      </c>
      <c r="J78" s="730">
        <f>SUM(J76:J77)</f>
        <v>12805.411764705885</v>
      </c>
      <c r="K78" s="730">
        <f t="shared" ref="K78:L78" si="11">SUM(K76:K77)</f>
        <v>0</v>
      </c>
      <c r="L78" s="730">
        <f t="shared" si="11"/>
        <v>0</v>
      </c>
      <c r="M78" s="730">
        <f>SUM(M76:M77)</f>
        <v>0</v>
      </c>
      <c r="N78" s="730">
        <f>SUM(N76:N77)</f>
        <v>0</v>
      </c>
      <c r="O78" s="834">
        <f>SUM(O76:O77)</f>
        <v>0</v>
      </c>
      <c r="P78" s="731">
        <v>0</v>
      </c>
      <c r="Q78" s="731">
        <f>SUM(Q76:Q77)</f>
        <v>16.041176470588237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15549.428571428572</v>
      </c>
      <c r="C87" s="740">
        <f>'lokale energieproductie'!B17*IFERROR(SUM(D87:H87)/SUM(D87:O87),0)</f>
        <v>96.428571428571431</v>
      </c>
      <c r="D87" s="751">
        <f>'lokale energieproductie'!C17</f>
        <v>113.44537815126051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18293.445378151264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22.915966386554626</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15549.428571428572</v>
      </c>
      <c r="C90" s="729">
        <f>SUM(C87:C89)</f>
        <v>96.428571428571431</v>
      </c>
      <c r="D90" s="729">
        <f t="shared" ref="D90:H90" si="12">SUM(D87:D89)</f>
        <v>113.44537815126051</v>
      </c>
      <c r="E90" s="729">
        <f t="shared" si="12"/>
        <v>0</v>
      </c>
      <c r="F90" s="729">
        <f t="shared" si="12"/>
        <v>0</v>
      </c>
      <c r="G90" s="729">
        <f t="shared" si="12"/>
        <v>0</v>
      </c>
      <c r="H90" s="729">
        <f t="shared" si="12"/>
        <v>0</v>
      </c>
      <c r="I90" s="729">
        <f>SUM(I87:I89)</f>
        <v>0</v>
      </c>
      <c r="J90" s="729">
        <f>SUM(J87:J89)</f>
        <v>18293.445378151264</v>
      </c>
      <c r="K90" s="729">
        <f t="shared" ref="K90:L90" si="13">SUM(K87:K89)</f>
        <v>0</v>
      </c>
      <c r="L90" s="729">
        <f t="shared" si="13"/>
        <v>0</v>
      </c>
      <c r="M90" s="729">
        <f>SUM(M87:M89)</f>
        <v>0</v>
      </c>
      <c r="N90" s="729">
        <f>SUM(N87:N89)</f>
        <v>0</v>
      </c>
      <c r="O90" s="729">
        <f>SUM(O87:O89)</f>
        <v>0</v>
      </c>
      <c r="P90" s="729">
        <v>0</v>
      </c>
      <c r="Q90" s="729">
        <f>SUM(Q87:Q89)</f>
        <v>22.915966386554626</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28080.200870807457</v>
      </c>
      <c r="C4" s="451">
        <f>huishoudens!C8</f>
        <v>0</v>
      </c>
      <c r="D4" s="451">
        <f>huishoudens!D8</f>
        <v>42510.284938000004</v>
      </c>
      <c r="E4" s="451">
        <f>huishoudens!E8</f>
        <v>16432.517386741296</v>
      </c>
      <c r="F4" s="451">
        <f>huishoudens!F8</f>
        <v>32680.370072277849</v>
      </c>
      <c r="G4" s="451">
        <f>huishoudens!G8</f>
        <v>0</v>
      </c>
      <c r="H4" s="451">
        <f>huishoudens!H8</f>
        <v>0</v>
      </c>
      <c r="I4" s="451">
        <f>huishoudens!I8</f>
        <v>0</v>
      </c>
      <c r="J4" s="451">
        <f>huishoudens!J8</f>
        <v>0</v>
      </c>
      <c r="K4" s="451">
        <f>huishoudens!K8</f>
        <v>0</v>
      </c>
      <c r="L4" s="451">
        <f>huishoudens!L8</f>
        <v>0</v>
      </c>
      <c r="M4" s="451">
        <f>huishoudens!M8</f>
        <v>0</v>
      </c>
      <c r="N4" s="451">
        <f>huishoudens!N8</f>
        <v>13788.449996478046</v>
      </c>
      <c r="O4" s="451">
        <f>huishoudens!O8</f>
        <v>332.99</v>
      </c>
      <c r="P4" s="452">
        <f>huishoudens!P8</f>
        <v>896.13333333333333</v>
      </c>
      <c r="Q4" s="453">
        <f>SUM(B4:P4)</f>
        <v>134720.94659763796</v>
      </c>
    </row>
    <row r="5" spans="1:17">
      <c r="A5" s="450" t="s">
        <v>155</v>
      </c>
      <c r="B5" s="451">
        <f ca="1">tertiair!B16</f>
        <v>32826.700000000004</v>
      </c>
      <c r="C5" s="451">
        <f ca="1">tertiair!C16</f>
        <v>96.428571428571431</v>
      </c>
      <c r="D5" s="451">
        <f ca="1">tertiair!D16</f>
        <v>20152.698153142857</v>
      </c>
      <c r="E5" s="451">
        <f>tertiair!E16</f>
        <v>631.20432086491439</v>
      </c>
      <c r="F5" s="451">
        <f ca="1">tertiair!F16</f>
        <v>7850.6067070267054</v>
      </c>
      <c r="G5" s="451">
        <f>tertiair!G16</f>
        <v>0</v>
      </c>
      <c r="H5" s="451">
        <f>tertiair!H16</f>
        <v>0</v>
      </c>
      <c r="I5" s="451">
        <f>tertiair!I16</f>
        <v>0</v>
      </c>
      <c r="J5" s="451">
        <f>tertiair!J16</f>
        <v>0</v>
      </c>
      <c r="K5" s="451">
        <f>tertiair!K16</f>
        <v>0</v>
      </c>
      <c r="L5" s="451">
        <f ca="1">tertiair!L16</f>
        <v>0</v>
      </c>
      <c r="M5" s="451">
        <f>tertiair!M16</f>
        <v>0</v>
      </c>
      <c r="N5" s="451">
        <f ca="1">tertiair!N16</f>
        <v>3990.8485543335341</v>
      </c>
      <c r="O5" s="451">
        <f>tertiair!O16</f>
        <v>4.6900000000000004</v>
      </c>
      <c r="P5" s="452">
        <f>tertiair!P16</f>
        <v>76.266666666666666</v>
      </c>
      <c r="Q5" s="450">
        <f t="shared" ref="Q5:Q14" ca="1" si="0">SUM(B5:P5)</f>
        <v>65629.442973463258</v>
      </c>
    </row>
    <row r="6" spans="1:17">
      <c r="A6" s="450" t="s">
        <v>193</v>
      </c>
      <c r="B6" s="451">
        <f>'openbare verlichting'!B8</f>
        <v>1190.0419999999999</v>
      </c>
      <c r="C6" s="451"/>
      <c r="D6" s="451"/>
      <c r="E6" s="451"/>
      <c r="F6" s="451"/>
      <c r="G6" s="451"/>
      <c r="H6" s="451"/>
      <c r="I6" s="451"/>
      <c r="J6" s="451"/>
      <c r="K6" s="451"/>
      <c r="L6" s="451"/>
      <c r="M6" s="451"/>
      <c r="N6" s="451"/>
      <c r="O6" s="451"/>
      <c r="P6" s="452"/>
      <c r="Q6" s="450">
        <f t="shared" si="0"/>
        <v>1190.0419999999999</v>
      </c>
    </row>
    <row r="7" spans="1:17">
      <c r="A7" s="450" t="s">
        <v>111</v>
      </c>
      <c r="B7" s="451">
        <f>landbouw!B8</f>
        <v>5553.1009999999997</v>
      </c>
      <c r="C7" s="451">
        <f>landbouw!C8</f>
        <v>15549.428571428572</v>
      </c>
      <c r="D7" s="451">
        <f>landbouw!D8</f>
        <v>4858.6004500000008</v>
      </c>
      <c r="E7" s="451">
        <f>landbouw!E8</f>
        <v>143.19315334723342</v>
      </c>
      <c r="F7" s="451">
        <f>landbouw!F8</f>
        <v>20297.641691713339</v>
      </c>
      <c r="G7" s="451">
        <f>landbouw!G8</f>
        <v>0</v>
      </c>
      <c r="H7" s="451">
        <f>landbouw!H8</f>
        <v>0</v>
      </c>
      <c r="I7" s="451">
        <f>landbouw!I8</f>
        <v>0</v>
      </c>
      <c r="J7" s="451">
        <f>landbouw!J8</f>
        <v>799.44226397781517</v>
      </c>
      <c r="K7" s="451">
        <f>landbouw!K8</f>
        <v>0</v>
      </c>
      <c r="L7" s="451">
        <f>landbouw!L8</f>
        <v>0</v>
      </c>
      <c r="M7" s="451">
        <f>landbouw!M8</f>
        <v>0</v>
      </c>
      <c r="N7" s="451">
        <f>landbouw!N8</f>
        <v>0</v>
      </c>
      <c r="O7" s="451">
        <f>landbouw!O8</f>
        <v>0</v>
      </c>
      <c r="P7" s="452">
        <f>landbouw!P8</f>
        <v>0</v>
      </c>
      <c r="Q7" s="450">
        <f t="shared" si="0"/>
        <v>47201.407130466956</v>
      </c>
    </row>
    <row r="8" spans="1:17">
      <c r="A8" s="450" t="s">
        <v>637</v>
      </c>
      <c r="B8" s="451">
        <f>industrie!B18</f>
        <v>37307.994000000006</v>
      </c>
      <c r="C8" s="451">
        <f>industrie!C18</f>
        <v>0</v>
      </c>
      <c r="D8" s="451">
        <f>industrie!D18</f>
        <v>116556.13692799999</v>
      </c>
      <c r="E8" s="451">
        <f>industrie!E18</f>
        <v>1519.1058906784338</v>
      </c>
      <c r="F8" s="451">
        <f>industrie!F18</f>
        <v>11498.288324033671</v>
      </c>
      <c r="G8" s="451">
        <f>industrie!G18</f>
        <v>0</v>
      </c>
      <c r="H8" s="451">
        <f>industrie!H18</f>
        <v>0</v>
      </c>
      <c r="I8" s="451">
        <f>industrie!I18</f>
        <v>0</v>
      </c>
      <c r="J8" s="451">
        <f>industrie!J18</f>
        <v>8.3623564249382643</v>
      </c>
      <c r="K8" s="451">
        <f>industrie!K18</f>
        <v>0</v>
      </c>
      <c r="L8" s="451">
        <f>industrie!L18</f>
        <v>0</v>
      </c>
      <c r="M8" s="451">
        <f>industrie!M18</f>
        <v>0</v>
      </c>
      <c r="N8" s="451">
        <f>industrie!N18</f>
        <v>10196.841993263981</v>
      </c>
      <c r="O8" s="451">
        <f>industrie!O18</f>
        <v>0</v>
      </c>
      <c r="P8" s="452">
        <f>industrie!P18</f>
        <v>0</v>
      </c>
      <c r="Q8" s="450">
        <f t="shared" si="0"/>
        <v>177086.72949240103</v>
      </c>
    </row>
    <row r="9" spans="1:17" s="456" customFormat="1">
      <c r="A9" s="454" t="s">
        <v>563</v>
      </c>
      <c r="B9" s="455">
        <f>transport!B14</f>
        <v>23.251051088455302</v>
      </c>
      <c r="C9" s="455">
        <f>transport!C14</f>
        <v>0</v>
      </c>
      <c r="D9" s="455">
        <f>transport!D14</f>
        <v>46.710409207665428</v>
      </c>
      <c r="E9" s="455">
        <f>transport!E14</f>
        <v>208.33784260802469</v>
      </c>
      <c r="F9" s="455">
        <f>transport!F14</f>
        <v>0</v>
      </c>
      <c r="G9" s="455">
        <f>transport!G14</f>
        <v>80363.612885017661</v>
      </c>
      <c r="H9" s="455">
        <f>transport!H14</f>
        <v>15925.749631094064</v>
      </c>
      <c r="I9" s="455">
        <f>transport!I14</f>
        <v>0</v>
      </c>
      <c r="J9" s="455">
        <f>transport!J14</f>
        <v>0</v>
      </c>
      <c r="K9" s="455">
        <f>transport!K14</f>
        <v>0</v>
      </c>
      <c r="L9" s="455">
        <f>transport!L14</f>
        <v>0</v>
      </c>
      <c r="M9" s="455">
        <f>transport!M14</f>
        <v>3005.5299080038826</v>
      </c>
      <c r="N9" s="455">
        <f>transport!N14</f>
        <v>0</v>
      </c>
      <c r="O9" s="455">
        <f>transport!O14</f>
        <v>0</v>
      </c>
      <c r="P9" s="455">
        <f>transport!P14</f>
        <v>0</v>
      </c>
      <c r="Q9" s="454">
        <f>SUM(B9:P9)</f>
        <v>99573.191727019745</v>
      </c>
    </row>
    <row r="10" spans="1:17">
      <c r="A10" s="450" t="s">
        <v>553</v>
      </c>
      <c r="B10" s="451">
        <f>transport!B54</f>
        <v>0</v>
      </c>
      <c r="C10" s="451">
        <f>transport!C54</f>
        <v>0</v>
      </c>
      <c r="D10" s="451">
        <f>transport!D54</f>
        <v>0</v>
      </c>
      <c r="E10" s="451">
        <f>transport!E54</f>
        <v>0</v>
      </c>
      <c r="F10" s="451">
        <f>transport!F54</f>
        <v>0</v>
      </c>
      <c r="G10" s="451">
        <f>transport!G54</f>
        <v>2114.8593424077721</v>
      </c>
      <c r="H10" s="451">
        <f>transport!H54</f>
        <v>0</v>
      </c>
      <c r="I10" s="451">
        <f>transport!I54</f>
        <v>0</v>
      </c>
      <c r="J10" s="451">
        <f>transport!J54</f>
        <v>0</v>
      </c>
      <c r="K10" s="451">
        <f>transport!K54</f>
        <v>0</v>
      </c>
      <c r="L10" s="451">
        <f>transport!L54</f>
        <v>0</v>
      </c>
      <c r="M10" s="451">
        <f>transport!M54</f>
        <v>65.51539648170187</v>
      </c>
      <c r="N10" s="451">
        <f>transport!N54</f>
        <v>0</v>
      </c>
      <c r="O10" s="451">
        <f>transport!O54</f>
        <v>0</v>
      </c>
      <c r="P10" s="452">
        <f>transport!P54</f>
        <v>0</v>
      </c>
      <c r="Q10" s="450">
        <f t="shared" si="0"/>
        <v>2180.374738889474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487.29</v>
      </c>
      <c r="C14" s="458"/>
      <c r="D14" s="458">
        <f>'SEAP template'!E25</f>
        <v>726.12</v>
      </c>
      <c r="E14" s="458"/>
      <c r="F14" s="458"/>
      <c r="G14" s="458"/>
      <c r="H14" s="458"/>
      <c r="I14" s="458"/>
      <c r="J14" s="458"/>
      <c r="K14" s="458"/>
      <c r="L14" s="458"/>
      <c r="M14" s="458"/>
      <c r="N14" s="458"/>
      <c r="O14" s="458"/>
      <c r="P14" s="459"/>
      <c r="Q14" s="450">
        <f t="shared" si="0"/>
        <v>1213.4100000000001</v>
      </c>
    </row>
    <row r="15" spans="1:17" s="460" customFormat="1">
      <c r="A15" s="1004" t="s">
        <v>557</v>
      </c>
      <c r="B15" s="944">
        <f ca="1">SUM(B4:B14)</f>
        <v>105468.57892189593</v>
      </c>
      <c r="C15" s="944">
        <f t="shared" ref="C15:Q15" ca="1" si="1">SUM(C4:C14)</f>
        <v>15645.857142857143</v>
      </c>
      <c r="D15" s="944">
        <f t="shared" ca="1" si="1"/>
        <v>184850.55087835051</v>
      </c>
      <c r="E15" s="944">
        <f t="shared" si="1"/>
        <v>18934.358594239904</v>
      </c>
      <c r="F15" s="944">
        <f t="shared" ca="1" si="1"/>
        <v>72326.90679505156</v>
      </c>
      <c r="G15" s="944">
        <f t="shared" si="1"/>
        <v>82478.472227425431</v>
      </c>
      <c r="H15" s="944">
        <f t="shared" si="1"/>
        <v>15925.749631094064</v>
      </c>
      <c r="I15" s="944">
        <f t="shared" si="1"/>
        <v>0</v>
      </c>
      <c r="J15" s="944">
        <f t="shared" si="1"/>
        <v>807.80462040275347</v>
      </c>
      <c r="K15" s="944">
        <f t="shared" si="1"/>
        <v>0</v>
      </c>
      <c r="L15" s="944">
        <f t="shared" ca="1" si="1"/>
        <v>0</v>
      </c>
      <c r="M15" s="944">
        <f t="shared" si="1"/>
        <v>3071.0453044855844</v>
      </c>
      <c r="N15" s="944">
        <f t="shared" ca="1" si="1"/>
        <v>27976.140544075563</v>
      </c>
      <c r="O15" s="944">
        <f t="shared" si="1"/>
        <v>337.68</v>
      </c>
      <c r="P15" s="944">
        <f t="shared" si="1"/>
        <v>972.4</v>
      </c>
      <c r="Q15" s="944">
        <f t="shared" ca="1" si="1"/>
        <v>528795.54465987848</v>
      </c>
    </row>
    <row r="17" spans="1:17">
      <c r="A17" s="461" t="s">
        <v>558</v>
      </c>
      <c r="B17" s="760">
        <f ca="1">huishoudens!B10</f>
        <v>0.17606500120235208</v>
      </c>
      <c r="C17" s="760">
        <f ca="1">huishoudens!C10</f>
        <v>1.4646667278958591E-3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4943.9406000810031</v>
      </c>
      <c r="C22" s="451">
        <f t="shared" ref="C22:C32" ca="1" si="3">C4*$C$17</f>
        <v>0</v>
      </c>
      <c r="D22" s="451">
        <f t="shared" ref="D22:D32" si="4">D4*$D$17</f>
        <v>8587.0775574760009</v>
      </c>
      <c r="E22" s="451">
        <f t="shared" ref="E22:E32" si="5">E4*$E$17</f>
        <v>3730.1814467902741</v>
      </c>
      <c r="F22" s="451">
        <f t="shared" ref="F22:F32" si="6">F4*$F$17</f>
        <v>8725.6588092981856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25986.858413645466</v>
      </c>
    </row>
    <row r="23" spans="1:17">
      <c r="A23" s="450" t="s">
        <v>155</v>
      </c>
      <c r="B23" s="451">
        <f t="shared" ca="1" si="2"/>
        <v>5779.6329749692513</v>
      </c>
      <c r="C23" s="451">
        <f t="shared" ca="1" si="3"/>
        <v>0.14123572018995784</v>
      </c>
      <c r="D23" s="451">
        <f t="shared" ca="1" si="4"/>
        <v>4070.8450269348573</v>
      </c>
      <c r="E23" s="451">
        <f t="shared" si="5"/>
        <v>143.28338083633557</v>
      </c>
      <c r="F23" s="451">
        <f t="shared" ca="1" si="6"/>
        <v>2096.1119907761304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12090.014609236765</v>
      </c>
    </row>
    <row r="24" spans="1:17">
      <c r="A24" s="450" t="s">
        <v>193</v>
      </c>
      <c r="B24" s="451">
        <f t="shared" ca="1" si="2"/>
        <v>209.52474616084945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209.52474616084945</v>
      </c>
    </row>
    <row r="25" spans="1:17">
      <c r="A25" s="450" t="s">
        <v>111</v>
      </c>
      <c r="B25" s="451">
        <f t="shared" ca="1" si="2"/>
        <v>977.70673424178244</v>
      </c>
      <c r="C25" s="451">
        <f t="shared" ca="1" si="3"/>
        <v>22.774730666364672</v>
      </c>
      <c r="D25" s="451">
        <f t="shared" si="4"/>
        <v>981.43729090000022</v>
      </c>
      <c r="E25" s="451">
        <f t="shared" si="5"/>
        <v>32.504845809821987</v>
      </c>
      <c r="F25" s="451">
        <f t="shared" si="6"/>
        <v>5419.470331687462</v>
      </c>
      <c r="G25" s="451">
        <f t="shared" si="7"/>
        <v>0</v>
      </c>
      <c r="H25" s="451">
        <f t="shared" si="8"/>
        <v>0</v>
      </c>
      <c r="I25" s="451">
        <f t="shared" si="9"/>
        <v>0</v>
      </c>
      <c r="J25" s="451">
        <f t="shared" si="10"/>
        <v>283.00256144814654</v>
      </c>
      <c r="K25" s="451">
        <f t="shared" si="11"/>
        <v>0</v>
      </c>
      <c r="L25" s="451">
        <f t="shared" si="12"/>
        <v>0</v>
      </c>
      <c r="M25" s="451">
        <f t="shared" si="13"/>
        <v>0</v>
      </c>
      <c r="N25" s="451">
        <f t="shared" si="14"/>
        <v>0</v>
      </c>
      <c r="O25" s="451">
        <f t="shared" si="15"/>
        <v>0</v>
      </c>
      <c r="P25" s="452">
        <f t="shared" si="16"/>
        <v>0</v>
      </c>
      <c r="Q25" s="450">
        <f t="shared" ca="1" si="17"/>
        <v>7716.8964947535778</v>
      </c>
    </row>
    <row r="26" spans="1:17">
      <c r="A26" s="450" t="s">
        <v>637</v>
      </c>
      <c r="B26" s="451">
        <f t="shared" ca="1" si="2"/>
        <v>6568.6320084673453</v>
      </c>
      <c r="C26" s="451">
        <f t="shared" ca="1" si="3"/>
        <v>0</v>
      </c>
      <c r="D26" s="451">
        <f t="shared" si="4"/>
        <v>23544.339659456</v>
      </c>
      <c r="E26" s="451">
        <f t="shared" si="5"/>
        <v>344.83703718400449</v>
      </c>
      <c r="F26" s="451">
        <f t="shared" si="6"/>
        <v>3070.0429825169904</v>
      </c>
      <c r="G26" s="451">
        <f t="shared" si="7"/>
        <v>0</v>
      </c>
      <c r="H26" s="451">
        <f t="shared" si="8"/>
        <v>0</v>
      </c>
      <c r="I26" s="451">
        <f t="shared" si="9"/>
        <v>0</v>
      </c>
      <c r="J26" s="451">
        <f t="shared" si="10"/>
        <v>2.9602741744281453</v>
      </c>
      <c r="K26" s="451">
        <f t="shared" si="11"/>
        <v>0</v>
      </c>
      <c r="L26" s="451">
        <f t="shared" si="12"/>
        <v>0</v>
      </c>
      <c r="M26" s="451">
        <f t="shared" si="13"/>
        <v>0</v>
      </c>
      <c r="N26" s="451">
        <f t="shared" si="14"/>
        <v>0</v>
      </c>
      <c r="O26" s="451">
        <f t="shared" si="15"/>
        <v>0</v>
      </c>
      <c r="P26" s="452">
        <f t="shared" si="16"/>
        <v>0</v>
      </c>
      <c r="Q26" s="450">
        <f t="shared" ca="1" si="17"/>
        <v>33530.811961798769</v>
      </c>
    </row>
    <row r="27" spans="1:17" s="456" customFormat="1">
      <c r="A27" s="454" t="s">
        <v>563</v>
      </c>
      <c r="B27" s="754">
        <f t="shared" ca="1" si="2"/>
        <v>4.0936963378448326</v>
      </c>
      <c r="C27" s="455">
        <f t="shared" ca="1" si="3"/>
        <v>0</v>
      </c>
      <c r="D27" s="455">
        <f t="shared" si="4"/>
        <v>9.4355026599484173</v>
      </c>
      <c r="E27" s="455">
        <f t="shared" si="5"/>
        <v>47.292690272021602</v>
      </c>
      <c r="F27" s="455">
        <f t="shared" si="6"/>
        <v>0</v>
      </c>
      <c r="G27" s="455">
        <f t="shared" si="7"/>
        <v>21457.084640299716</v>
      </c>
      <c r="H27" s="455">
        <f t="shared" si="8"/>
        <v>3965.5116581424218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25483.418187711952</v>
      </c>
    </row>
    <row r="28" spans="1:17">
      <c r="A28" s="450" t="s">
        <v>553</v>
      </c>
      <c r="B28" s="451">
        <f t="shared" ca="1" si="2"/>
        <v>0</v>
      </c>
      <c r="C28" s="451">
        <f t="shared" ca="1" si="3"/>
        <v>0</v>
      </c>
      <c r="D28" s="451">
        <f t="shared" si="4"/>
        <v>0</v>
      </c>
      <c r="E28" s="451">
        <f t="shared" si="5"/>
        <v>0</v>
      </c>
      <c r="F28" s="451">
        <f t="shared" si="6"/>
        <v>0</v>
      </c>
      <c r="G28" s="451">
        <f t="shared" si="7"/>
        <v>564.66744442287518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564.66744442287518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85.79471443589415</v>
      </c>
      <c r="C32" s="451">
        <f t="shared" ca="1" si="3"/>
        <v>0</v>
      </c>
      <c r="D32" s="451">
        <f t="shared" si="4"/>
        <v>146.67624000000001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232.47095443589416</v>
      </c>
    </row>
    <row r="33" spans="1:17" s="460" customFormat="1">
      <c r="A33" s="1004" t="s">
        <v>557</v>
      </c>
      <c r="B33" s="944">
        <f ca="1">SUM(B22:B32)</f>
        <v>18569.325474693971</v>
      </c>
      <c r="C33" s="944">
        <f t="shared" ref="C33:Q33" ca="1" si="18">SUM(C22:C32)</f>
        <v>22.915966386554629</v>
      </c>
      <c r="D33" s="944">
        <f t="shared" ca="1" si="18"/>
        <v>37339.811277426808</v>
      </c>
      <c r="E33" s="944">
        <f t="shared" si="18"/>
        <v>4298.0994008924581</v>
      </c>
      <c r="F33" s="944">
        <f t="shared" ca="1" si="18"/>
        <v>19311.284114278766</v>
      </c>
      <c r="G33" s="944">
        <f t="shared" si="18"/>
        <v>22021.75208472259</v>
      </c>
      <c r="H33" s="944">
        <f t="shared" si="18"/>
        <v>3965.5116581424218</v>
      </c>
      <c r="I33" s="944">
        <f t="shared" si="18"/>
        <v>0</v>
      </c>
      <c r="J33" s="944">
        <f t="shared" si="18"/>
        <v>285.96283562257469</v>
      </c>
      <c r="K33" s="944">
        <f t="shared" si="18"/>
        <v>0</v>
      </c>
      <c r="L33" s="944">
        <f t="shared" ca="1" si="18"/>
        <v>0</v>
      </c>
      <c r="M33" s="944">
        <f t="shared" si="18"/>
        <v>0</v>
      </c>
      <c r="N33" s="944">
        <f t="shared" ca="1" si="18"/>
        <v>0</v>
      </c>
      <c r="O33" s="944">
        <f t="shared" si="18"/>
        <v>0</v>
      </c>
      <c r="P33" s="944">
        <f t="shared" si="18"/>
        <v>0</v>
      </c>
      <c r="Q33" s="944">
        <f t="shared" ca="1" si="18"/>
        <v>105814.66281216615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10564.966260251662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10884.6</v>
      </c>
      <c r="C8" s="1021">
        <f>'SEAP template'!C76</f>
        <v>67.499999999999986</v>
      </c>
      <c r="D8" s="1021">
        <f>'SEAP template'!D76</f>
        <v>79.411764705882348</v>
      </c>
      <c r="E8" s="1021">
        <f>'SEAP template'!E76</f>
        <v>0</v>
      </c>
      <c r="F8" s="1021">
        <f>'SEAP template'!F76</f>
        <v>0</v>
      </c>
      <c r="G8" s="1021">
        <f>'SEAP template'!G76</f>
        <v>0</v>
      </c>
      <c r="H8" s="1021">
        <f>'SEAP template'!H76</f>
        <v>0</v>
      </c>
      <c r="I8" s="1021">
        <f>'SEAP template'!I76</f>
        <v>0</v>
      </c>
      <c r="J8" s="1021">
        <f>'SEAP template'!J76</f>
        <v>12805.411764705885</v>
      </c>
      <c r="K8" s="1021">
        <f>'SEAP template'!K76</f>
        <v>0</v>
      </c>
      <c r="L8" s="1021">
        <f>'SEAP template'!L76</f>
        <v>0</v>
      </c>
      <c r="M8" s="1021">
        <f>'SEAP template'!M76</f>
        <v>0</v>
      </c>
      <c r="N8" s="1021">
        <f>'SEAP template'!N76</f>
        <v>0</v>
      </c>
      <c r="O8" s="1021">
        <f>'SEAP template'!O76</f>
        <v>0</v>
      </c>
      <c r="P8" s="1022">
        <f>'SEAP template'!Q76</f>
        <v>16.041176470588237</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21449.56626025166</v>
      </c>
      <c r="C10" s="1025">
        <f>SUM(C4:C9)</f>
        <v>67.499999999999986</v>
      </c>
      <c r="D10" s="1025">
        <f t="shared" ref="D10:H10" si="0">SUM(D8:D9)</f>
        <v>79.411764705882348</v>
      </c>
      <c r="E10" s="1025">
        <f t="shared" si="0"/>
        <v>0</v>
      </c>
      <c r="F10" s="1025">
        <f t="shared" si="0"/>
        <v>0</v>
      </c>
      <c r="G10" s="1025">
        <f t="shared" si="0"/>
        <v>0</v>
      </c>
      <c r="H10" s="1025">
        <f t="shared" si="0"/>
        <v>0</v>
      </c>
      <c r="I10" s="1025">
        <f>SUM(I8:I9)</f>
        <v>0</v>
      </c>
      <c r="J10" s="1025">
        <f>SUM(J8:J9)</f>
        <v>12805.411764705885</v>
      </c>
      <c r="K10" s="1025">
        <f t="shared" ref="K10:L10" si="1">SUM(K8:K9)</f>
        <v>0</v>
      </c>
      <c r="L10" s="1025">
        <f t="shared" si="1"/>
        <v>0</v>
      </c>
      <c r="M10" s="1025">
        <f>SUM(M8:M9)</f>
        <v>0</v>
      </c>
      <c r="N10" s="1025">
        <f>SUM(N8:N9)</f>
        <v>0</v>
      </c>
      <c r="O10" s="1025">
        <f>SUM(O8:O9)</f>
        <v>0</v>
      </c>
      <c r="P10" s="1025">
        <f>SUM(P8:P9)</f>
        <v>16.041176470588237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0.17606500120235208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15549.428571428572</v>
      </c>
      <c r="C17" s="1027">
        <f>'SEAP template'!C87</f>
        <v>96.428571428571431</v>
      </c>
      <c r="D17" s="1022">
        <f>'SEAP template'!D87</f>
        <v>113.44537815126051</v>
      </c>
      <c r="E17" s="1022">
        <f>'SEAP template'!E87</f>
        <v>0</v>
      </c>
      <c r="F17" s="1022">
        <f>'SEAP template'!F87</f>
        <v>0</v>
      </c>
      <c r="G17" s="1022">
        <f>'SEAP template'!G87</f>
        <v>0</v>
      </c>
      <c r="H17" s="1022">
        <f>'SEAP template'!H87</f>
        <v>0</v>
      </c>
      <c r="I17" s="1022">
        <f>'SEAP template'!I87</f>
        <v>0</v>
      </c>
      <c r="J17" s="1022">
        <f>'SEAP template'!J87</f>
        <v>18293.445378151264</v>
      </c>
      <c r="K17" s="1022">
        <f>'SEAP template'!K87</f>
        <v>0</v>
      </c>
      <c r="L17" s="1022">
        <f>'SEAP template'!L87</f>
        <v>0</v>
      </c>
      <c r="M17" s="1022">
        <f>'SEAP template'!M87</f>
        <v>0</v>
      </c>
      <c r="N17" s="1022">
        <f>'SEAP template'!N87</f>
        <v>0</v>
      </c>
      <c r="O17" s="1022">
        <f>'SEAP template'!O87</f>
        <v>0</v>
      </c>
      <c r="P17" s="1022">
        <f>'SEAP template'!Q87</f>
        <v>22.915966386554626</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15549.428571428572</v>
      </c>
      <c r="C20" s="1025">
        <f>SUM(C17:C19)</f>
        <v>96.428571428571431</v>
      </c>
      <c r="D20" s="1025">
        <f t="shared" ref="D20:H20" si="2">SUM(D17:D19)</f>
        <v>113.44537815126051</v>
      </c>
      <c r="E20" s="1025">
        <f t="shared" si="2"/>
        <v>0</v>
      </c>
      <c r="F20" s="1025">
        <f t="shared" si="2"/>
        <v>0</v>
      </c>
      <c r="G20" s="1025">
        <f t="shared" si="2"/>
        <v>0</v>
      </c>
      <c r="H20" s="1025">
        <f t="shared" si="2"/>
        <v>0</v>
      </c>
      <c r="I20" s="1025">
        <f>SUM(I17:I19)</f>
        <v>0</v>
      </c>
      <c r="J20" s="1025">
        <f>SUM(J17:J19)</f>
        <v>18293.445378151264</v>
      </c>
      <c r="K20" s="1025">
        <f t="shared" ref="K20:L20" si="3">SUM(K17:K19)</f>
        <v>0</v>
      </c>
      <c r="L20" s="1025">
        <f t="shared" si="3"/>
        <v>0</v>
      </c>
      <c r="M20" s="1025">
        <f>SUM(M17:M19)</f>
        <v>0</v>
      </c>
      <c r="N20" s="1025">
        <f>SUM(N17:N19)</f>
        <v>0</v>
      </c>
      <c r="O20" s="1025">
        <f>SUM(O17:O19)</f>
        <v>0</v>
      </c>
      <c r="P20" s="1025">
        <f>SUM(P17:P19)</f>
        <v>22.915966386554626</v>
      </c>
    </row>
    <row r="22" spans="1:16">
      <c r="A22" s="461" t="s">
        <v>857</v>
      </c>
      <c r="B22" s="760" t="s">
        <v>851</v>
      </c>
      <c r="C22" s="760">
        <f ca="1">'EF ele_warmte'!B22</f>
        <v>1.4646667278958591E-3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0.17606500120235208</v>
      </c>
      <c r="C17" s="498">
        <f ca="1">'EF ele_warmte'!B22</f>
        <v>1.4646667278958591E-3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0.17606500120235208</v>
      </c>
      <c r="C17" s="498">
        <f ca="1">'EF ele_warmte'!B22</f>
        <v>1.4646667278958591E-3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0.17606500120235208</v>
      </c>
      <c r="C29" s="499">
        <f ca="1">'EF ele_warmte'!B22</f>
        <v>1.4646667278958591E-3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6524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4104.49</v>
      </c>
      <c r="C14" s="330"/>
      <c r="D14" s="330"/>
      <c r="E14" s="330"/>
      <c r="F14" s="330"/>
    </row>
    <row r="15" spans="1:6">
      <c r="A15" s="1291" t="s">
        <v>183</v>
      </c>
      <c r="B15" s="1292">
        <v>1958</v>
      </c>
      <c r="C15" s="330"/>
      <c r="D15" s="330"/>
      <c r="E15" s="330"/>
      <c r="F15" s="330"/>
    </row>
    <row r="16" spans="1:6">
      <c r="A16" s="1291" t="s">
        <v>6</v>
      </c>
      <c r="B16" s="1292">
        <v>4191</v>
      </c>
      <c r="C16" s="330"/>
      <c r="D16" s="330"/>
      <c r="E16" s="330"/>
      <c r="F16" s="330"/>
    </row>
    <row r="17" spans="1:6">
      <c r="A17" s="1291" t="s">
        <v>7</v>
      </c>
      <c r="B17" s="1292">
        <v>261</v>
      </c>
      <c r="C17" s="330"/>
      <c r="D17" s="330"/>
      <c r="E17" s="330"/>
      <c r="F17" s="330"/>
    </row>
    <row r="18" spans="1:6">
      <c r="A18" s="1291" t="s">
        <v>8</v>
      </c>
      <c r="B18" s="1292">
        <v>2325</v>
      </c>
      <c r="C18" s="330"/>
      <c r="D18" s="330"/>
      <c r="E18" s="330"/>
      <c r="F18" s="330"/>
    </row>
    <row r="19" spans="1:6">
      <c r="A19" s="1291" t="s">
        <v>9</v>
      </c>
      <c r="B19" s="1292">
        <v>2365</v>
      </c>
      <c r="C19" s="330"/>
      <c r="D19" s="330"/>
      <c r="E19" s="330"/>
      <c r="F19" s="330"/>
    </row>
    <row r="20" spans="1:6">
      <c r="A20" s="1291" t="s">
        <v>10</v>
      </c>
      <c r="B20" s="1292">
        <v>1079</v>
      </c>
      <c r="C20" s="330"/>
      <c r="D20" s="330"/>
      <c r="E20" s="330"/>
      <c r="F20" s="330"/>
    </row>
    <row r="21" spans="1:6">
      <c r="A21" s="1291" t="s">
        <v>11</v>
      </c>
      <c r="B21" s="1292">
        <v>9547</v>
      </c>
      <c r="C21" s="330"/>
      <c r="D21" s="330"/>
      <c r="E21" s="330"/>
      <c r="F21" s="330"/>
    </row>
    <row r="22" spans="1:6">
      <c r="A22" s="1291" t="s">
        <v>12</v>
      </c>
      <c r="B22" s="1292">
        <v>29079</v>
      </c>
      <c r="C22" s="330"/>
      <c r="D22" s="330"/>
      <c r="E22" s="330"/>
      <c r="F22" s="330"/>
    </row>
    <row r="23" spans="1:6">
      <c r="A23" s="1291" t="s">
        <v>13</v>
      </c>
      <c r="B23" s="1292">
        <v>299</v>
      </c>
      <c r="C23" s="330"/>
      <c r="D23" s="330"/>
      <c r="E23" s="330"/>
      <c r="F23" s="330"/>
    </row>
    <row r="24" spans="1:6">
      <c r="A24" s="1291" t="s">
        <v>14</v>
      </c>
      <c r="B24" s="1292">
        <v>26</v>
      </c>
      <c r="C24" s="330"/>
      <c r="D24" s="330"/>
      <c r="E24" s="330"/>
      <c r="F24" s="330"/>
    </row>
    <row r="25" spans="1:6">
      <c r="A25" s="1291" t="s">
        <v>15</v>
      </c>
      <c r="B25" s="1292">
        <v>2777</v>
      </c>
      <c r="C25" s="330"/>
      <c r="D25" s="330"/>
      <c r="E25" s="330"/>
      <c r="F25" s="330"/>
    </row>
    <row r="26" spans="1:6">
      <c r="A26" s="1291" t="s">
        <v>16</v>
      </c>
      <c r="B26" s="1292">
        <v>179</v>
      </c>
      <c r="C26" s="330"/>
      <c r="D26" s="330"/>
      <c r="E26" s="330"/>
      <c r="F26" s="330"/>
    </row>
    <row r="27" spans="1:6">
      <c r="A27" s="1291" t="s">
        <v>17</v>
      </c>
      <c r="B27" s="1292">
        <v>4</v>
      </c>
      <c r="C27" s="330"/>
      <c r="D27" s="330"/>
      <c r="E27" s="330"/>
      <c r="F27" s="330"/>
    </row>
    <row r="28" spans="1:6" s="43" customFormat="1">
      <c r="A28" s="1293" t="s">
        <v>18</v>
      </c>
      <c r="B28" s="1294">
        <v>222936</v>
      </c>
      <c r="C28" s="336"/>
      <c r="D28" s="336"/>
      <c r="E28" s="336"/>
      <c r="F28" s="336"/>
    </row>
    <row r="29" spans="1:6">
      <c r="A29" s="1293" t="s">
        <v>892</v>
      </c>
      <c r="B29" s="1294">
        <v>286</v>
      </c>
      <c r="C29" s="336"/>
      <c r="D29" s="336"/>
      <c r="E29" s="336"/>
      <c r="F29" s="336"/>
    </row>
    <row r="30" spans="1:6">
      <c r="A30" s="1286" t="s">
        <v>893</v>
      </c>
      <c r="B30" s="1295">
        <v>80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42</v>
      </c>
      <c r="F36" s="1292">
        <v>58563</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25177</v>
      </c>
    </row>
    <row r="39" spans="1:6">
      <c r="A39" s="1291" t="s">
        <v>29</v>
      </c>
      <c r="B39" s="1291" t="s">
        <v>30</v>
      </c>
      <c r="C39" s="1292">
        <v>3404</v>
      </c>
      <c r="D39" s="1292">
        <v>47128919</v>
      </c>
      <c r="E39" s="1292">
        <v>6639</v>
      </c>
      <c r="F39" s="1292">
        <v>22682061</v>
      </c>
    </row>
    <row r="40" spans="1:6">
      <c r="A40" s="1291" t="s">
        <v>29</v>
      </c>
      <c r="B40" s="1291" t="s">
        <v>28</v>
      </c>
      <c r="C40" s="1292">
        <v>0</v>
      </c>
      <c r="D40" s="1292">
        <v>0</v>
      </c>
      <c r="E40" s="1292">
        <v>0</v>
      </c>
      <c r="F40" s="1292">
        <v>0</v>
      </c>
    </row>
    <row r="41" spans="1:6">
      <c r="A41" s="1291" t="s">
        <v>31</v>
      </c>
      <c r="B41" s="1291" t="s">
        <v>32</v>
      </c>
      <c r="C41" s="1292">
        <v>57</v>
      </c>
      <c r="D41" s="1292">
        <v>1505160</v>
      </c>
      <c r="E41" s="1292">
        <v>158</v>
      </c>
      <c r="F41" s="1292">
        <v>2140201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17</v>
      </c>
      <c r="D44" s="1292">
        <v>4119190</v>
      </c>
      <c r="E44" s="1292">
        <v>36</v>
      </c>
      <c r="F44" s="1292">
        <v>8670996</v>
      </c>
    </row>
    <row r="45" spans="1:6">
      <c r="A45" s="1291" t="s">
        <v>31</v>
      </c>
      <c r="B45" s="1291" t="s">
        <v>36</v>
      </c>
      <c r="C45" s="1292">
        <v>4</v>
      </c>
      <c r="D45" s="1292">
        <v>71021</v>
      </c>
      <c r="E45" s="1292">
        <v>13</v>
      </c>
      <c r="F45" s="1292">
        <v>359726</v>
      </c>
    </row>
    <row r="46" spans="1:6">
      <c r="A46" s="1291" t="s">
        <v>31</v>
      </c>
      <c r="B46" s="1291" t="s">
        <v>37</v>
      </c>
      <c r="C46" s="1292">
        <v>0</v>
      </c>
      <c r="D46" s="1292">
        <v>0</v>
      </c>
      <c r="E46" s="1292">
        <v>0</v>
      </c>
      <c r="F46" s="1292">
        <v>0</v>
      </c>
    </row>
    <row r="47" spans="1:6">
      <c r="A47" s="1291" t="s">
        <v>31</v>
      </c>
      <c r="B47" s="1291" t="s">
        <v>38</v>
      </c>
      <c r="C47" s="1292">
        <v>9</v>
      </c>
      <c r="D47" s="1292">
        <v>231407</v>
      </c>
      <c r="E47" s="1292">
        <v>10</v>
      </c>
      <c r="F47" s="1292">
        <v>111046</v>
      </c>
    </row>
    <row r="48" spans="1:6">
      <c r="A48" s="1291" t="s">
        <v>31</v>
      </c>
      <c r="B48" s="1291" t="s">
        <v>28</v>
      </c>
      <c r="C48" s="1292">
        <v>0</v>
      </c>
      <c r="D48" s="1292">
        <v>8763</v>
      </c>
      <c r="E48" s="1292">
        <v>3</v>
      </c>
      <c r="F48" s="1292">
        <v>62824</v>
      </c>
    </row>
    <row r="49" spans="1:6">
      <c r="A49" s="1291" t="s">
        <v>31</v>
      </c>
      <c r="B49" s="1291" t="s">
        <v>39</v>
      </c>
      <c r="C49" s="1292">
        <v>3</v>
      </c>
      <c r="D49" s="1292">
        <v>1506833</v>
      </c>
      <c r="E49" s="1292">
        <v>3</v>
      </c>
      <c r="F49" s="1292">
        <v>466704</v>
      </c>
    </row>
    <row r="50" spans="1:6">
      <c r="A50" s="1291" t="s">
        <v>31</v>
      </c>
      <c r="B50" s="1291" t="s">
        <v>40</v>
      </c>
      <c r="C50" s="1292">
        <v>7</v>
      </c>
      <c r="D50" s="1292">
        <v>121777290</v>
      </c>
      <c r="E50" s="1292">
        <v>20</v>
      </c>
      <c r="F50" s="1292">
        <v>25496497</v>
      </c>
    </row>
    <row r="51" spans="1:6">
      <c r="A51" s="1291" t="s">
        <v>41</v>
      </c>
      <c r="B51" s="1291" t="s">
        <v>42</v>
      </c>
      <c r="C51" s="1292">
        <v>9</v>
      </c>
      <c r="D51" s="1292">
        <v>5386475</v>
      </c>
      <c r="E51" s="1292">
        <v>143</v>
      </c>
      <c r="F51" s="1292">
        <v>5553101</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98</v>
      </c>
      <c r="F54" s="1292">
        <v>1190042</v>
      </c>
    </row>
    <row r="55" spans="1:6">
      <c r="A55" s="1291" t="s">
        <v>45</v>
      </c>
      <c r="B55" s="1291" t="s">
        <v>28</v>
      </c>
      <c r="C55" s="1292">
        <v>0</v>
      </c>
      <c r="D55" s="1292">
        <v>0</v>
      </c>
      <c r="E55" s="1292">
        <v>0</v>
      </c>
      <c r="F55" s="1292">
        <v>0</v>
      </c>
    </row>
    <row r="56" spans="1:6">
      <c r="A56" s="1291" t="s">
        <v>47</v>
      </c>
      <c r="B56" s="1291" t="s">
        <v>28</v>
      </c>
      <c r="C56" s="1292">
        <v>53</v>
      </c>
      <c r="D56" s="1292">
        <v>726120</v>
      </c>
      <c r="E56" s="1292">
        <v>148</v>
      </c>
      <c r="F56" s="1292">
        <v>487290</v>
      </c>
    </row>
    <row r="57" spans="1:6">
      <c r="A57" s="1291" t="s">
        <v>48</v>
      </c>
      <c r="B57" s="1291" t="s">
        <v>49</v>
      </c>
      <c r="C57" s="1292">
        <v>34</v>
      </c>
      <c r="D57" s="1292">
        <v>1999736</v>
      </c>
      <c r="E57" s="1292">
        <v>87</v>
      </c>
      <c r="F57" s="1292">
        <v>5000715</v>
      </c>
    </row>
    <row r="58" spans="1:6">
      <c r="A58" s="1291" t="s">
        <v>48</v>
      </c>
      <c r="B58" s="1291" t="s">
        <v>50</v>
      </c>
      <c r="C58" s="1292">
        <v>30</v>
      </c>
      <c r="D58" s="1292">
        <v>4053320</v>
      </c>
      <c r="E58" s="1292">
        <v>57</v>
      </c>
      <c r="F58" s="1292">
        <v>1934127</v>
      </c>
    </row>
    <row r="59" spans="1:6">
      <c r="A59" s="1291" t="s">
        <v>48</v>
      </c>
      <c r="B59" s="1291" t="s">
        <v>51</v>
      </c>
      <c r="C59" s="1292">
        <v>101</v>
      </c>
      <c r="D59" s="1292">
        <v>5119203</v>
      </c>
      <c r="E59" s="1292">
        <v>255</v>
      </c>
      <c r="F59" s="1292">
        <v>13402578</v>
      </c>
    </row>
    <row r="60" spans="1:6">
      <c r="A60" s="1291" t="s">
        <v>48</v>
      </c>
      <c r="B60" s="1291" t="s">
        <v>52</v>
      </c>
      <c r="C60" s="1292">
        <v>54</v>
      </c>
      <c r="D60" s="1292">
        <v>2784227</v>
      </c>
      <c r="E60" s="1292">
        <v>86</v>
      </c>
      <c r="F60" s="1292">
        <v>2292157</v>
      </c>
    </row>
    <row r="61" spans="1:6">
      <c r="A61" s="1291" t="s">
        <v>48</v>
      </c>
      <c r="B61" s="1291" t="s">
        <v>53</v>
      </c>
      <c r="C61" s="1292">
        <v>132</v>
      </c>
      <c r="D61" s="1292">
        <v>6815506</v>
      </c>
      <c r="E61" s="1292">
        <v>365</v>
      </c>
      <c r="F61" s="1292">
        <v>9420476</v>
      </c>
    </row>
    <row r="62" spans="1:6">
      <c r="A62" s="1291" t="s">
        <v>48</v>
      </c>
      <c r="B62" s="1291" t="s">
        <v>54</v>
      </c>
      <c r="C62" s="1292">
        <v>12</v>
      </c>
      <c r="D62" s="1292">
        <v>1784056</v>
      </c>
      <c r="E62" s="1292">
        <v>19</v>
      </c>
      <c r="F62" s="1292">
        <v>709147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252778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175100</v>
      </c>
      <c r="E68" s="1295">
        <v>8</v>
      </c>
      <c r="F68" s="1295">
        <v>141219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94524235</v>
      </c>
      <c r="E73" s="449"/>
      <c r="F73" s="330"/>
    </row>
    <row r="74" spans="1:6">
      <c r="A74" s="1291" t="s">
        <v>63</v>
      </c>
      <c r="B74" s="1291" t="s">
        <v>664</v>
      </c>
      <c r="C74" s="1305" t="s">
        <v>666</v>
      </c>
      <c r="D74" s="1306">
        <v>8612016.4600579068</v>
      </c>
      <c r="E74" s="449"/>
      <c r="F74" s="330"/>
    </row>
    <row r="75" spans="1:6">
      <c r="A75" s="1291" t="s">
        <v>64</v>
      </c>
      <c r="B75" s="1291" t="s">
        <v>663</v>
      </c>
      <c r="C75" s="1305" t="s">
        <v>667</v>
      </c>
      <c r="D75" s="1306">
        <v>18480891</v>
      </c>
      <c r="E75" s="449"/>
      <c r="F75" s="330"/>
    </row>
    <row r="76" spans="1:6">
      <c r="A76" s="1291" t="s">
        <v>64</v>
      </c>
      <c r="B76" s="1291" t="s">
        <v>664</v>
      </c>
      <c r="C76" s="1305" t="s">
        <v>668</v>
      </c>
      <c r="D76" s="1306">
        <v>344679.46005790599</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591609.07988418802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5398.1398708074566</v>
      </c>
      <c r="C91" s="330"/>
      <c r="D91" s="330"/>
      <c r="E91" s="330"/>
      <c r="F91" s="330"/>
    </row>
    <row r="92" spans="1:6">
      <c r="A92" s="1286" t="s">
        <v>68</v>
      </c>
      <c r="B92" s="1287">
        <v>5166.8263894442043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913</v>
      </c>
      <c r="C97" s="330"/>
      <c r="D97" s="330"/>
      <c r="E97" s="330"/>
      <c r="F97" s="330"/>
    </row>
    <row r="98" spans="1:6">
      <c r="A98" s="1291" t="s">
        <v>71</v>
      </c>
      <c r="B98" s="1292">
        <v>1</v>
      </c>
      <c r="C98" s="330"/>
      <c r="D98" s="330"/>
      <c r="E98" s="330"/>
      <c r="F98" s="330"/>
    </row>
    <row r="99" spans="1:6">
      <c r="A99" s="1291" t="s">
        <v>72</v>
      </c>
      <c r="B99" s="1292">
        <v>40</v>
      </c>
      <c r="C99" s="330"/>
      <c r="D99" s="330"/>
      <c r="E99" s="330"/>
      <c r="F99" s="330"/>
    </row>
    <row r="100" spans="1:6">
      <c r="A100" s="1291" t="s">
        <v>73</v>
      </c>
      <c r="B100" s="1292">
        <v>210</v>
      </c>
      <c r="C100" s="330"/>
      <c r="D100" s="330"/>
      <c r="E100" s="330"/>
      <c r="F100" s="330"/>
    </row>
    <row r="101" spans="1:6">
      <c r="A101" s="1291" t="s">
        <v>74</v>
      </c>
      <c r="B101" s="1292">
        <v>42</v>
      </c>
      <c r="C101" s="330"/>
      <c r="D101" s="330"/>
      <c r="E101" s="330"/>
      <c r="F101" s="330"/>
    </row>
    <row r="102" spans="1:6">
      <c r="A102" s="1291" t="s">
        <v>75</v>
      </c>
      <c r="B102" s="1292">
        <v>57</v>
      </c>
      <c r="C102" s="330"/>
      <c r="D102" s="330"/>
      <c r="E102" s="330"/>
      <c r="F102" s="330"/>
    </row>
    <row r="103" spans="1:6">
      <c r="A103" s="1291" t="s">
        <v>76</v>
      </c>
      <c r="B103" s="1292">
        <v>93</v>
      </c>
      <c r="C103" s="330"/>
      <c r="D103" s="330"/>
      <c r="E103" s="330"/>
      <c r="F103" s="330"/>
    </row>
    <row r="104" spans="1:6">
      <c r="A104" s="1291" t="s">
        <v>77</v>
      </c>
      <c r="B104" s="1292">
        <v>3845</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11</v>
      </c>
      <c r="C123" s="1292">
        <v>32</v>
      </c>
      <c r="D123" s="330"/>
      <c r="E123" s="330"/>
      <c r="F123" s="330"/>
    </row>
    <row r="124" spans="1:6" s="43" customFormat="1">
      <c r="A124" s="1293" t="s">
        <v>88</v>
      </c>
      <c r="B124" s="1314">
        <v>1</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178</v>
      </c>
      <c r="C129" s="330"/>
      <c r="D129" s="330"/>
      <c r="E129" s="330"/>
      <c r="F129" s="330"/>
    </row>
    <row r="130" spans="1:6">
      <c r="A130" s="1291" t="s">
        <v>294</v>
      </c>
      <c r="B130" s="1292">
        <v>3</v>
      </c>
      <c r="C130" s="330"/>
      <c r="D130" s="330"/>
      <c r="E130" s="330"/>
      <c r="F130" s="330"/>
    </row>
    <row r="131" spans="1:6">
      <c r="A131" s="1291" t="s">
        <v>295</v>
      </c>
      <c r="B131" s="1292">
        <v>4</v>
      </c>
      <c r="C131" s="330"/>
      <c r="D131" s="330"/>
      <c r="E131" s="330"/>
      <c r="F131" s="330"/>
    </row>
    <row r="132" spans="1:6">
      <c r="A132" s="1286" t="s">
        <v>296</v>
      </c>
      <c r="B132" s="1287">
        <v>35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105468.57892189593</v>
      </c>
      <c r="C3" s="43" t="s">
        <v>169</v>
      </c>
      <c r="D3" s="43"/>
      <c r="E3" s="154"/>
      <c r="F3" s="43"/>
      <c r="G3" s="43"/>
      <c r="H3" s="43"/>
      <c r="I3" s="43"/>
      <c r="J3" s="43"/>
      <c r="K3" s="96"/>
    </row>
    <row r="4" spans="1:11">
      <c r="A4" s="358" t="s">
        <v>170</v>
      </c>
      <c r="B4" s="49">
        <f>IF(ISERROR('SEAP template'!B78+'SEAP template'!C78),0,'SEAP template'!B78+'SEAP template'!C78)</f>
        <v>21517.06626025166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16.041176470588237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0.17606500120235208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22.915966386554626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15645.857142857143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1.4646667278958591E-3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1190.0419999999999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1190.0419999999999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0.17606500120235208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209.52474616084945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22682.061000000002</v>
      </c>
      <c r="C5" s="17">
        <f>IF(ISERROR('Eigen informatie GS &amp; warmtenet'!B57),0,'Eigen informatie GS &amp; warmtenet'!B57)</f>
        <v>0</v>
      </c>
      <c r="D5" s="30">
        <f>(SUM(HH_hh_gas_kWh,HH_rest_gas_kWh)/1000)*0.902</f>
        <v>42510.284938000004</v>
      </c>
      <c r="E5" s="17">
        <f>B46*B57</f>
        <v>16432.517386741296</v>
      </c>
      <c r="F5" s="17">
        <f>B51*B62</f>
        <v>32680.370072277849</v>
      </c>
      <c r="G5" s="18"/>
      <c r="H5" s="17"/>
      <c r="I5" s="17"/>
      <c r="J5" s="17">
        <f>B50*B61+C50*C61</f>
        <v>0</v>
      </c>
      <c r="K5" s="17"/>
      <c r="L5" s="17"/>
      <c r="M5" s="17"/>
      <c r="N5" s="17">
        <f>B48*B59+C48*C59</f>
        <v>13788.449996478046</v>
      </c>
      <c r="O5" s="17">
        <f>B69*B70*B71</f>
        <v>332.99</v>
      </c>
      <c r="P5" s="17">
        <f>B77*B78*B79/1000-B77*B78*B79/1000/B80</f>
        <v>896.13333333333333</v>
      </c>
    </row>
    <row r="6" spans="1:16">
      <c r="A6" s="16" t="s">
        <v>623</v>
      </c>
      <c r="B6" s="762">
        <f>kWh_PV_kleiner_dan_10kW</f>
        <v>5398.1398708074566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28080.200870807457</v>
      </c>
      <c r="C8" s="21">
        <f>C5</f>
        <v>0</v>
      </c>
      <c r="D8" s="21">
        <f>D5</f>
        <v>42510.284938000004</v>
      </c>
      <c r="E8" s="21">
        <f>E5</f>
        <v>16432.517386741296</v>
      </c>
      <c r="F8" s="21">
        <f>F5</f>
        <v>32680.370072277849</v>
      </c>
      <c r="G8" s="21"/>
      <c r="H8" s="21"/>
      <c r="I8" s="21"/>
      <c r="J8" s="21">
        <f>J5</f>
        <v>0</v>
      </c>
      <c r="K8" s="21"/>
      <c r="L8" s="21">
        <f>L5</f>
        <v>0</v>
      </c>
      <c r="M8" s="21">
        <f>M5</f>
        <v>0</v>
      </c>
      <c r="N8" s="21">
        <f>N5</f>
        <v>13788.449996478046</v>
      </c>
      <c r="O8" s="21">
        <f>O5</f>
        <v>332.99</v>
      </c>
      <c r="P8" s="21">
        <f>P5</f>
        <v>896.13333333333333</v>
      </c>
    </row>
    <row r="9" spans="1:16">
      <c r="B9" s="19"/>
      <c r="C9" s="19"/>
      <c r="D9" s="258"/>
      <c r="E9" s="19"/>
      <c r="F9" s="19"/>
      <c r="G9" s="19"/>
      <c r="H9" s="19"/>
      <c r="I9" s="19"/>
      <c r="J9" s="19"/>
      <c r="K9" s="19"/>
      <c r="L9" s="19"/>
      <c r="M9" s="19"/>
      <c r="N9" s="19"/>
      <c r="O9" s="19"/>
      <c r="P9" s="19"/>
    </row>
    <row r="10" spans="1:16">
      <c r="A10" s="24" t="s">
        <v>213</v>
      </c>
      <c r="B10" s="25">
        <f ca="1">'EF ele_warmte'!B12</f>
        <v>0.17606500120235208</v>
      </c>
      <c r="C10" s="25">
        <f ca="1">'EF ele_warmte'!B22</f>
        <v>1.4646667278958591E-3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4943.9406000810031</v>
      </c>
      <c r="C12" s="23">
        <f ca="1">C10*C8</f>
        <v>0</v>
      </c>
      <c r="D12" s="23">
        <f>D8*D10</f>
        <v>8587.0775574760009</v>
      </c>
      <c r="E12" s="23">
        <f>E10*E8</f>
        <v>3730.1814467902741</v>
      </c>
      <c r="F12" s="23">
        <f>F10*F8</f>
        <v>8725.6588092981856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6524</v>
      </c>
      <c r="C28" s="36"/>
      <c r="D28" s="228"/>
    </row>
    <row r="29" spans="1:7" s="15" customFormat="1">
      <c r="A29" s="230" t="s">
        <v>696</v>
      </c>
      <c r="B29" s="37">
        <f>SUM(HH_hh_gas_aantal,HH_rest_gas_aantal)</f>
        <v>3404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3404</v>
      </c>
      <c r="C32" s="167">
        <f>IF(ISERROR(B32/SUM($B$32,$B$34,$B$35,$B$36,$B$38,$B$39)*100),0,B32/SUM($B$32,$B$34,$B$35,$B$36,$B$38,$B$39)*100)</f>
        <v>52.555195306469052</v>
      </c>
      <c r="D32" s="233"/>
      <c r="G32" s="15"/>
    </row>
    <row r="33" spans="1:7">
      <c r="A33" s="171" t="s">
        <v>71</v>
      </c>
      <c r="B33" s="34" t="s">
        <v>110</v>
      </c>
      <c r="C33" s="167"/>
      <c r="D33" s="233"/>
      <c r="G33" s="15"/>
    </row>
    <row r="34" spans="1:7">
      <c r="A34" s="171" t="s">
        <v>72</v>
      </c>
      <c r="B34" s="33">
        <f>IF((($B$28-$B$32-$B$39-$B$77-$B$38)*C20/100)&lt;0,0,($B$28-$B$32-$B$39-$B$77-$B$38)*C20/100)</f>
        <v>201.35616438356166</v>
      </c>
      <c r="C34" s="167">
        <f>IF(ISERROR(B34/SUM($B$32,$B$34,$B$35,$B$36,$B$38,$B$39)*100),0,B34/SUM($B$32,$B$34,$B$35,$B$36,$B$38,$B$39)*100)</f>
        <v>3.1087874692536923</v>
      </c>
      <c r="D34" s="233"/>
      <c r="G34" s="15"/>
    </row>
    <row r="35" spans="1:7">
      <c r="A35" s="171" t="s">
        <v>73</v>
      </c>
      <c r="B35" s="33">
        <f>IF((($B$28-$B$32-$B$39-$B$77-$B$38)*C21/100)&lt;0,0,($B$28-$B$32-$B$39-$B$77-$B$38)*C21/100)</f>
        <v>1057.1198630136987</v>
      </c>
      <c r="C35" s="167">
        <f>IF(ISERROR(B35/SUM($B$32,$B$34,$B$35,$B$36,$B$38,$B$39)*100),0,B35/SUM($B$32,$B$34,$B$35,$B$36,$B$38,$B$39)*100)</f>
        <v>16.321134213581885</v>
      </c>
      <c r="D35" s="233"/>
      <c r="G35" s="15"/>
    </row>
    <row r="36" spans="1:7">
      <c r="A36" s="171" t="s">
        <v>74</v>
      </c>
      <c r="B36" s="33">
        <f>IF((($B$28-$B$32-$B$39-$B$77-$B$38)*C22/100)&lt;0,0,($B$28-$B$32-$B$39-$B$77-$B$38)*C22/100)</f>
        <v>211.42397260273975</v>
      </c>
      <c r="C36" s="167">
        <f>IF(ISERROR(B36/SUM($B$32,$B$34,$B$35,$B$36,$B$38,$B$39)*100),0,B36/SUM($B$32,$B$34,$B$35,$B$36,$B$38,$B$39)*100)</f>
        <v>3.264226842716377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1603.1</v>
      </c>
      <c r="C39" s="167">
        <f>IF(ISERROR(B39/SUM($B$32,$B$34,$B$35,$B$36,$B$38,$B$39)*100),0,B39/SUM($B$32,$B$34,$B$35,$B$36,$B$38,$B$39)*100)</f>
        <v>24.750656167979002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3404</v>
      </c>
      <c r="C44" s="34" t="s">
        <v>110</v>
      </c>
      <c r="D44" s="174"/>
    </row>
    <row r="45" spans="1:7">
      <c r="A45" s="171" t="s">
        <v>71</v>
      </c>
      <c r="B45" s="33" t="str">
        <f t="shared" si="0"/>
        <v>-</v>
      </c>
      <c r="C45" s="34" t="s">
        <v>110</v>
      </c>
      <c r="D45" s="174"/>
    </row>
    <row r="46" spans="1:7">
      <c r="A46" s="171" t="s">
        <v>72</v>
      </c>
      <c r="B46" s="33">
        <f t="shared" si="0"/>
        <v>201.35616438356166</v>
      </c>
      <c r="C46" s="34" t="s">
        <v>110</v>
      </c>
      <c r="D46" s="174"/>
    </row>
    <row r="47" spans="1:7">
      <c r="A47" s="171" t="s">
        <v>73</v>
      </c>
      <c r="B47" s="33">
        <f t="shared" si="0"/>
        <v>1057.1198630136987</v>
      </c>
      <c r="C47" s="34" t="s">
        <v>110</v>
      </c>
      <c r="D47" s="174"/>
    </row>
    <row r="48" spans="1:7">
      <c r="A48" s="171" t="s">
        <v>74</v>
      </c>
      <c r="B48" s="33">
        <f t="shared" si="0"/>
        <v>211.42397260273975</v>
      </c>
      <c r="C48" s="33">
        <f>B48*10</f>
        <v>2114.2397260273974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1603.1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32759.200000000004</v>
      </c>
      <c r="C5" s="17">
        <f>IF(ISERROR('Eigen informatie GS &amp; warmtenet'!B58),0,'Eigen informatie GS &amp; warmtenet'!B58)</f>
        <v>0</v>
      </c>
      <c r="D5" s="30">
        <f>SUM(D6:D12)</f>
        <v>20345.555295999999</v>
      </c>
      <c r="E5" s="17">
        <f>SUM(E6:E12)</f>
        <v>631.20432086491439</v>
      </c>
      <c r="F5" s="17">
        <f>SUM(F6:F12)</f>
        <v>7850.6067070267054</v>
      </c>
      <c r="G5" s="18"/>
      <c r="H5" s="17"/>
      <c r="I5" s="17"/>
      <c r="J5" s="17">
        <f>SUM(J6:J12)</f>
        <v>0</v>
      </c>
      <c r="K5" s="17"/>
      <c r="L5" s="17"/>
      <c r="M5" s="17"/>
      <c r="N5" s="17">
        <f>SUM(N6:N12)</f>
        <v>3990.8485543335341</v>
      </c>
      <c r="O5" s="17">
        <f>B38*B39*B40</f>
        <v>4.6900000000000004</v>
      </c>
      <c r="P5" s="17">
        <f>B46*B47*B48/1000-B46*B47*B48/1000/B49</f>
        <v>76.266666666666666</v>
      </c>
      <c r="R5" s="32"/>
    </row>
    <row r="6" spans="1:18">
      <c r="A6" s="32" t="s">
        <v>53</v>
      </c>
      <c r="B6" s="37">
        <f>B26</f>
        <v>9420.4760000000006</v>
      </c>
      <c r="C6" s="33"/>
      <c r="D6" s="37">
        <f>IF(ISERROR(TER_kantoor_gas_kWh/1000),0,TER_kantoor_gas_kWh/1000)*0.902</f>
        <v>6147.5864120000006</v>
      </c>
      <c r="E6" s="33">
        <f>$C$26*'E Balans VL '!I12/100/3.6*1000000</f>
        <v>123.32563518375545</v>
      </c>
      <c r="F6" s="33">
        <f>$C$26*('E Balans VL '!L12+'E Balans VL '!N12)/100/3.6*1000000</f>
        <v>2402.1240324374244</v>
      </c>
      <c r="G6" s="34"/>
      <c r="H6" s="33"/>
      <c r="I6" s="33"/>
      <c r="J6" s="33">
        <f>$C$26*('E Balans VL '!D12+'E Balans VL '!E12)/100/3.6*1000000</f>
        <v>0</v>
      </c>
      <c r="K6" s="33"/>
      <c r="L6" s="33"/>
      <c r="M6" s="33"/>
      <c r="N6" s="33">
        <f>$C$26*'E Balans VL '!Y12/100/3.6*1000000</f>
        <v>9.4521989483428399</v>
      </c>
      <c r="O6" s="33"/>
      <c r="P6" s="33"/>
      <c r="R6" s="32"/>
    </row>
    <row r="7" spans="1:18">
      <c r="A7" s="32" t="s">
        <v>52</v>
      </c>
      <c r="B7" s="37">
        <f t="shared" ref="B7:B12" si="0">B27</f>
        <v>2292.1570000000002</v>
      </c>
      <c r="C7" s="33"/>
      <c r="D7" s="37">
        <f>IF(ISERROR(TER_horeca_gas_kWh/1000),0,TER_horeca_gas_kWh/1000)*0.902</f>
        <v>2511.372754</v>
      </c>
      <c r="E7" s="33">
        <f>$C$27*'E Balans VL '!I9/100/3.6*1000000</f>
        <v>75.856453976690787</v>
      </c>
      <c r="F7" s="33">
        <f>$C$27*('E Balans VL '!L9+'E Balans VL '!N9)/100/3.6*1000000</f>
        <v>985.61872539031174</v>
      </c>
      <c r="G7" s="34"/>
      <c r="H7" s="33"/>
      <c r="I7" s="33"/>
      <c r="J7" s="33">
        <f>$C$27*('E Balans VL '!D9+'E Balans VL '!E9)/100/3.6*1000000</f>
        <v>0</v>
      </c>
      <c r="K7" s="33"/>
      <c r="L7" s="33"/>
      <c r="M7" s="33"/>
      <c r="N7" s="33">
        <f>$C$27*'E Balans VL '!Y9/100/3.6*1000000</f>
        <v>0.55175547567245009</v>
      </c>
      <c r="O7" s="33"/>
      <c r="P7" s="33"/>
      <c r="R7" s="32"/>
    </row>
    <row r="8" spans="1:18">
      <c r="A8" s="6" t="s">
        <v>51</v>
      </c>
      <c r="B8" s="37">
        <f t="shared" si="0"/>
        <v>13402.578</v>
      </c>
      <c r="C8" s="33"/>
      <c r="D8" s="37">
        <f>IF(ISERROR(TER_handel_gas_kWh/1000),0,TER_handel_gas_kWh/1000)*0.902</f>
        <v>4617.5211060000001</v>
      </c>
      <c r="E8" s="33">
        <f>$C$28*'E Balans VL '!I13/100/3.6*1000000</f>
        <v>423.00584020960798</v>
      </c>
      <c r="F8" s="33">
        <f>$C$28*('E Balans VL '!L13+'E Balans VL '!N13)/100/3.6*1000000</f>
        <v>2628.4815505461061</v>
      </c>
      <c r="G8" s="34"/>
      <c r="H8" s="33"/>
      <c r="I8" s="33"/>
      <c r="J8" s="33">
        <f>$C$28*('E Balans VL '!D13+'E Balans VL '!E13)/100/3.6*1000000</f>
        <v>0</v>
      </c>
      <c r="K8" s="33"/>
      <c r="L8" s="33"/>
      <c r="M8" s="33"/>
      <c r="N8" s="33">
        <f>$C$28*'E Balans VL '!Y13/100/3.6*1000000</f>
        <v>15.906258007425629</v>
      </c>
      <c r="O8" s="33"/>
      <c r="P8" s="33"/>
      <c r="R8" s="32"/>
    </row>
    <row r="9" spans="1:18">
      <c r="A9" s="32" t="s">
        <v>50</v>
      </c>
      <c r="B9" s="37">
        <f t="shared" si="0"/>
        <v>1934.127</v>
      </c>
      <c r="C9" s="33"/>
      <c r="D9" s="37">
        <f>IF(ISERROR(TER_gezond_gas_kWh/1000),0,TER_gezond_gas_kWh/1000)*0.902</f>
        <v>3656.0946400000003</v>
      </c>
      <c r="E9" s="33">
        <f>$C$29*'E Balans VL '!I10/100/3.6*1000000</f>
        <v>0.24762483762994478</v>
      </c>
      <c r="F9" s="33">
        <f>$C$29*('E Balans VL '!L10+'E Balans VL '!N10)/100/3.6*1000000</f>
        <v>402.95972079179586</v>
      </c>
      <c r="G9" s="34"/>
      <c r="H9" s="33"/>
      <c r="I9" s="33"/>
      <c r="J9" s="33">
        <f>$C$29*('E Balans VL '!D10+'E Balans VL '!E10)/100/3.6*1000000</f>
        <v>0</v>
      </c>
      <c r="K9" s="33"/>
      <c r="L9" s="33"/>
      <c r="M9" s="33"/>
      <c r="N9" s="33">
        <f>$C$29*'E Balans VL '!Y10/100/3.6*1000000</f>
        <v>22.717235803604765</v>
      </c>
      <c r="O9" s="33"/>
      <c r="P9" s="33"/>
      <c r="R9" s="32"/>
    </row>
    <row r="10" spans="1:18">
      <c r="A10" s="32" t="s">
        <v>49</v>
      </c>
      <c r="B10" s="37">
        <f t="shared" si="0"/>
        <v>5000.7150000000001</v>
      </c>
      <c r="C10" s="33"/>
      <c r="D10" s="37">
        <f>IF(ISERROR(TER_ander_gas_kWh/1000),0,TER_ander_gas_kWh/1000)*0.902</f>
        <v>1803.761872</v>
      </c>
      <c r="E10" s="33">
        <f>$C$30*'E Balans VL '!I14/100/3.6*1000000</f>
        <v>7.5198993639170011</v>
      </c>
      <c r="F10" s="33">
        <f>$C$30*('E Balans VL '!L14+'E Balans VL '!N14)/100/3.6*1000000</f>
        <v>1103.9966759673257</v>
      </c>
      <c r="G10" s="34"/>
      <c r="H10" s="33"/>
      <c r="I10" s="33"/>
      <c r="J10" s="33">
        <f>$C$30*('E Balans VL '!D14+'E Balans VL '!E14)/100/3.6*1000000</f>
        <v>0</v>
      </c>
      <c r="K10" s="33"/>
      <c r="L10" s="33"/>
      <c r="M10" s="33"/>
      <c r="N10" s="33">
        <f>$C$30*'E Balans VL '!Y14/100/3.6*1000000</f>
        <v>3940.8999554308512</v>
      </c>
      <c r="O10" s="33"/>
      <c r="P10" s="33"/>
      <c r="R10" s="32"/>
    </row>
    <row r="11" spans="1:18">
      <c r="A11" s="32" t="s">
        <v>54</v>
      </c>
      <c r="B11" s="37">
        <f t="shared" si="0"/>
        <v>709.14700000000005</v>
      </c>
      <c r="C11" s="33"/>
      <c r="D11" s="37">
        <f>IF(ISERROR(TER_onderwijs_gas_kWh/1000),0,TER_onderwijs_gas_kWh/1000)*0.902</f>
        <v>1609.2185120000001</v>
      </c>
      <c r="E11" s="33">
        <f>$C$31*'E Balans VL '!I11/100/3.6*1000000</f>
        <v>1.2488672933131848</v>
      </c>
      <c r="F11" s="33">
        <f>$C$31*('E Balans VL '!L11+'E Balans VL '!N11)/100/3.6*1000000</f>
        <v>327.42600189374178</v>
      </c>
      <c r="G11" s="34"/>
      <c r="H11" s="33"/>
      <c r="I11" s="33"/>
      <c r="J11" s="33">
        <f>$C$31*('E Balans VL '!D11+'E Balans VL '!E11)/100/3.6*1000000</f>
        <v>0</v>
      </c>
      <c r="K11" s="33"/>
      <c r="L11" s="33"/>
      <c r="M11" s="33"/>
      <c r="N11" s="33">
        <f>$C$31*'E Balans VL '!Y11/100/3.6*1000000</f>
        <v>1.3211506676369362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energieproductie'!N43+'lokale energieproductie'!N36</f>
        <v>67.5</v>
      </c>
      <c r="C13" s="247">
        <f ca="1">'lokale energieproductie'!O43+'lokale energieproductie'!O36</f>
        <v>96.428571428571431</v>
      </c>
      <c r="D13" s="308">
        <f ca="1">('lokale energieproductie'!P36+'lokale energieproductie'!P43)*(-1)</f>
        <v>-192.85714285714286</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32826.700000000004</v>
      </c>
      <c r="C16" s="21">
        <f t="shared" ca="1" si="1"/>
        <v>96.428571428571431</v>
      </c>
      <c r="D16" s="21">
        <f t="shared" ca="1" si="1"/>
        <v>20152.698153142857</v>
      </c>
      <c r="E16" s="21">
        <f t="shared" si="1"/>
        <v>631.20432086491439</v>
      </c>
      <c r="F16" s="21">
        <f t="shared" ca="1" si="1"/>
        <v>7850.6067070267054</v>
      </c>
      <c r="G16" s="21">
        <f t="shared" si="1"/>
        <v>0</v>
      </c>
      <c r="H16" s="21">
        <f t="shared" si="1"/>
        <v>0</v>
      </c>
      <c r="I16" s="21">
        <f t="shared" si="1"/>
        <v>0</v>
      </c>
      <c r="J16" s="21">
        <f t="shared" si="1"/>
        <v>0</v>
      </c>
      <c r="K16" s="21">
        <f t="shared" si="1"/>
        <v>0</v>
      </c>
      <c r="L16" s="21">
        <f t="shared" ca="1" si="1"/>
        <v>0</v>
      </c>
      <c r="M16" s="21">
        <f t="shared" si="1"/>
        <v>0</v>
      </c>
      <c r="N16" s="21">
        <f t="shared" ca="1" si="1"/>
        <v>3990.8485543335341</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0.17606500120235208</v>
      </c>
      <c r="C18" s="25">
        <f ca="1">'EF ele_warmte'!B22</f>
        <v>1.4646667278958591E-3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5779.6329749692513</v>
      </c>
      <c r="C20" s="23">
        <f t="shared" ref="C20:P20" ca="1" si="2">C16*C18</f>
        <v>0.14123572018995784</v>
      </c>
      <c r="D20" s="23">
        <f t="shared" ca="1" si="2"/>
        <v>4070.8450269348573</v>
      </c>
      <c r="E20" s="23">
        <f t="shared" si="2"/>
        <v>143.28338083633557</v>
      </c>
      <c r="F20" s="23">
        <f t="shared" ca="1" si="2"/>
        <v>2096.1119907761304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9420.4760000000006</v>
      </c>
      <c r="C26" s="39">
        <f>IF(ISERROR(B26*3.6/1000000/'E Balans VL '!Z12*100),0,B26*3.6/1000000/'E Balans VL '!Z12*100)</f>
        <v>0.20179391440282612</v>
      </c>
      <c r="D26" s="237" t="s">
        <v>659</v>
      </c>
      <c r="F26" s="6"/>
    </row>
    <row r="27" spans="1:18">
      <c r="A27" s="231" t="s">
        <v>52</v>
      </c>
      <c r="B27" s="33">
        <f>IF(ISERROR(TER_horeca_ele_kWh/1000),0,TER_horeca_ele_kWh/1000)</f>
        <v>2292.1570000000002</v>
      </c>
      <c r="C27" s="39">
        <f>IF(ISERROR(B27*3.6/1000000/'E Balans VL '!Z9*100),0,B27*3.6/1000000/'E Balans VL '!Z9*100)</f>
        <v>0.18393763179359318</v>
      </c>
      <c r="D27" s="237" t="s">
        <v>659</v>
      </c>
      <c r="F27" s="6"/>
    </row>
    <row r="28" spans="1:18">
      <c r="A28" s="171" t="s">
        <v>51</v>
      </c>
      <c r="B28" s="33">
        <f>IF(ISERROR(TER_handel_ele_kWh/1000),0,TER_handel_ele_kWh/1000)</f>
        <v>13402.578</v>
      </c>
      <c r="C28" s="39">
        <f>IF(ISERROR(B28*3.6/1000000/'E Balans VL '!Z13*100),0,B28*3.6/1000000/'E Balans VL '!Z13*100)</f>
        <v>0.39529917687885158</v>
      </c>
      <c r="D28" s="237" t="s">
        <v>659</v>
      </c>
      <c r="F28" s="6"/>
    </row>
    <row r="29" spans="1:18">
      <c r="A29" s="231" t="s">
        <v>50</v>
      </c>
      <c r="B29" s="33">
        <f>IF(ISERROR(TER_gezond_ele_kWh/1000),0,TER_gezond_ele_kWh/1000)</f>
        <v>1934.127</v>
      </c>
      <c r="C29" s="39">
        <f>IF(ISERROR(B29*3.6/1000000/'E Balans VL '!Z10*100),0,B29*3.6/1000000/'E Balans VL '!Z10*100)</f>
        <v>0.2065129077105502</v>
      </c>
      <c r="D29" s="237" t="s">
        <v>659</v>
      </c>
      <c r="F29" s="6"/>
    </row>
    <row r="30" spans="1:18">
      <c r="A30" s="231" t="s">
        <v>49</v>
      </c>
      <c r="B30" s="33">
        <f>IF(ISERROR(TER_ander_ele_kWh/1000),0,TER_ander_ele_kWh/1000)</f>
        <v>5000.7150000000001</v>
      </c>
      <c r="C30" s="39">
        <f>IF(ISERROR(B30*3.6/1000000/'E Balans VL '!Z14*100),0,B30*3.6/1000000/'E Balans VL '!Z14*100)</f>
        <v>0.37772364096571309</v>
      </c>
      <c r="D30" s="237" t="s">
        <v>659</v>
      </c>
      <c r="F30" s="6"/>
    </row>
    <row r="31" spans="1:18">
      <c r="A31" s="231" t="s">
        <v>54</v>
      </c>
      <c r="B31" s="33">
        <f>IF(ISERROR(TER_onderwijs_ele_kWh/1000),0,TER_onderwijs_ele_kWh/1000)</f>
        <v>709.14700000000005</v>
      </c>
      <c r="C31" s="39">
        <f>IF(ISERROR(B31*3.6/1000000/'E Balans VL '!Z11*100),0,B31*3.6/1000000/'E Balans VL '!Z11*100)</f>
        <v>0.14320045245571097</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37307.994000000006</v>
      </c>
      <c r="C5" s="17">
        <f>IF(ISERROR('Eigen informatie GS &amp; warmtenet'!B59),0,'Eigen informatie GS &amp; warmtenet'!B59)</f>
        <v>0</v>
      </c>
      <c r="D5" s="30">
        <f>SUM(D6:D15)</f>
        <v>116556.13692799999</v>
      </c>
      <c r="E5" s="17">
        <f>SUM(E6:E15)</f>
        <v>1519.1058906784338</v>
      </c>
      <c r="F5" s="17">
        <f>SUM(F6:F15)</f>
        <v>11498.288324033671</v>
      </c>
      <c r="G5" s="18"/>
      <c r="H5" s="17"/>
      <c r="I5" s="17"/>
      <c r="J5" s="17">
        <f>SUM(J6:J15)</f>
        <v>8.3623564249382643</v>
      </c>
      <c r="K5" s="17"/>
      <c r="L5" s="17"/>
      <c r="M5" s="17"/>
      <c r="N5" s="17">
        <f>SUM(N6:N15)</f>
        <v>10196.841993263981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8670.9959999999992</v>
      </c>
      <c r="C8" s="33"/>
      <c r="D8" s="37">
        <f>IF( ISERROR(IND_metaal_Gas_kWH/1000),0,IND_metaal_Gas_kWH/1000)*0.902</f>
        <v>3715.50938</v>
      </c>
      <c r="E8" s="33">
        <f>C30*'E Balans VL '!I18/100/3.6*1000000</f>
        <v>312.00866762108382</v>
      </c>
      <c r="F8" s="33">
        <f>C30*'E Balans VL '!L18/100/3.6*1000000+C30*'E Balans VL '!N18/100/3.6*1000000</f>
        <v>3786.3428697514114</v>
      </c>
      <c r="G8" s="34"/>
      <c r="H8" s="33"/>
      <c r="I8" s="33"/>
      <c r="J8" s="40">
        <f>C30*'E Balans VL '!D18/100/3.6*1000000+C30*'E Balans VL '!E18/100/3.6*1000000</f>
        <v>0</v>
      </c>
      <c r="K8" s="33"/>
      <c r="L8" s="33"/>
      <c r="M8" s="33"/>
      <c r="N8" s="33">
        <f>C30*'E Balans VL '!Y18/100/3.6*1000000</f>
        <v>434.584426953844</v>
      </c>
      <c r="O8" s="33"/>
      <c r="P8" s="33"/>
      <c r="R8" s="32"/>
    </row>
    <row r="9" spans="1:18">
      <c r="A9" s="6" t="s">
        <v>32</v>
      </c>
      <c r="B9" s="37">
        <f t="shared" si="0"/>
        <v>2140.201</v>
      </c>
      <c r="C9" s="33"/>
      <c r="D9" s="37">
        <f>IF( ISERROR(IND_andere_gas_kWh/1000),0,IND_andere_gas_kWh/1000)*0.902</f>
        <v>1357.6543200000001</v>
      </c>
      <c r="E9" s="33">
        <f>C31*'E Balans VL '!I19/100/3.6*1000000</f>
        <v>546.1308717960859</v>
      </c>
      <c r="F9" s="33">
        <f>C31*'E Balans VL '!L19/100/3.6*1000000+C31*'E Balans VL '!N19/100/3.6*1000000</f>
        <v>1842.5521972389943</v>
      </c>
      <c r="G9" s="34"/>
      <c r="H9" s="33"/>
      <c r="I9" s="33"/>
      <c r="J9" s="40">
        <f>C31*'E Balans VL '!D19/100/3.6*1000000+C31*'E Balans VL '!E19/100/3.6*1000000</f>
        <v>0</v>
      </c>
      <c r="K9" s="33"/>
      <c r="L9" s="33"/>
      <c r="M9" s="33"/>
      <c r="N9" s="33">
        <f>C31*'E Balans VL '!Y19/100/3.6*1000000</f>
        <v>168.83681487507266</v>
      </c>
      <c r="O9" s="33"/>
      <c r="P9" s="33"/>
      <c r="R9" s="32"/>
    </row>
    <row r="10" spans="1:18">
      <c r="A10" s="6" t="s">
        <v>40</v>
      </c>
      <c r="B10" s="37">
        <f t="shared" si="0"/>
        <v>25496.496999999999</v>
      </c>
      <c r="C10" s="33"/>
      <c r="D10" s="37">
        <f>IF( ISERROR(IND_voed_gas_kWh/1000),0,IND_voed_gas_kWh/1000)*0.902</f>
        <v>109843.11558</v>
      </c>
      <c r="E10" s="33">
        <f>C32*'E Balans VL '!I20/100/3.6*1000000</f>
        <v>648.15596329935522</v>
      </c>
      <c r="F10" s="33">
        <f>C32*'E Balans VL '!L20/100/3.6*1000000+C32*'E Balans VL '!N20/100/3.6*1000000</f>
        <v>5769.4745356729063</v>
      </c>
      <c r="G10" s="34"/>
      <c r="H10" s="33"/>
      <c r="I10" s="33"/>
      <c r="J10" s="40">
        <f>C32*'E Balans VL '!D20/100/3.6*1000000+C32*'E Balans VL '!E20/100/3.6*1000000</f>
        <v>0</v>
      </c>
      <c r="K10" s="33"/>
      <c r="L10" s="33"/>
      <c r="M10" s="33"/>
      <c r="N10" s="33">
        <f>C32*'E Balans VL '!Y20/100/3.6*1000000</f>
        <v>9561.8774847350614</v>
      </c>
      <c r="O10" s="33"/>
      <c r="P10" s="33"/>
      <c r="R10" s="32"/>
    </row>
    <row r="11" spans="1:18">
      <c r="A11" s="6" t="s">
        <v>39</v>
      </c>
      <c r="B11" s="37">
        <f t="shared" si="0"/>
        <v>466.70400000000001</v>
      </c>
      <c r="C11" s="33"/>
      <c r="D11" s="37">
        <f>IF( ISERROR(IND_textiel_gas_kWh/1000),0,IND_textiel_gas_kWh/1000)*0.902</f>
        <v>1359.1633660000002</v>
      </c>
      <c r="E11" s="33">
        <f>C33*'E Balans VL '!I21/100/3.6*1000000</f>
        <v>1.2812279873698729</v>
      </c>
      <c r="F11" s="33">
        <f>C33*'E Balans VL '!L21/100/3.6*1000000+C33*'E Balans VL '!N21/100/3.6*1000000</f>
        <v>24.742701073810274</v>
      </c>
      <c r="G11" s="34"/>
      <c r="H11" s="33"/>
      <c r="I11" s="33"/>
      <c r="J11" s="40">
        <f>C33*'E Balans VL '!D21/100/3.6*1000000+C33*'E Balans VL '!E21/100/3.6*1000000</f>
        <v>0</v>
      </c>
      <c r="K11" s="33"/>
      <c r="L11" s="33"/>
      <c r="M11" s="33"/>
      <c r="N11" s="33">
        <f>C33*'E Balans VL '!Y21/100/3.6*1000000</f>
        <v>0.93799780860572946</v>
      </c>
      <c r="O11" s="33"/>
      <c r="P11" s="33"/>
      <c r="R11" s="32"/>
    </row>
    <row r="12" spans="1:18">
      <c r="A12" s="6" t="s">
        <v>36</v>
      </c>
      <c r="B12" s="37">
        <f t="shared" si="0"/>
        <v>359.726</v>
      </c>
      <c r="C12" s="33"/>
      <c r="D12" s="37">
        <f>IF( ISERROR(IND_min_gas_kWh/1000),0,IND_min_gas_kWh/1000)*0.902</f>
        <v>64.060941999999997</v>
      </c>
      <c r="E12" s="33">
        <f>C34*'E Balans VL '!I22/100/3.6*1000000</f>
        <v>7.6432759467074955</v>
      </c>
      <c r="F12" s="33">
        <f>C34*'E Balans VL '!L22/100/3.6*1000000+C34*'E Balans VL '!N22/100/3.6*1000000</f>
        <v>58.692362520446565</v>
      </c>
      <c r="G12" s="34"/>
      <c r="H12" s="33"/>
      <c r="I12" s="33"/>
      <c r="J12" s="40">
        <f>C34*'E Balans VL '!D22/100/3.6*1000000+C34*'E Balans VL '!E22/100/3.6*1000000</f>
        <v>0.41911435981448186</v>
      </c>
      <c r="K12" s="33"/>
      <c r="L12" s="33"/>
      <c r="M12" s="33"/>
      <c r="N12" s="33">
        <f>C34*'E Balans VL '!Y22/100/3.6*1000000</f>
        <v>0</v>
      </c>
      <c r="O12" s="33"/>
      <c r="P12" s="33"/>
      <c r="R12" s="32"/>
    </row>
    <row r="13" spans="1:18">
      <c r="A13" s="6" t="s">
        <v>38</v>
      </c>
      <c r="B13" s="37">
        <f t="shared" si="0"/>
        <v>111.04600000000001</v>
      </c>
      <c r="C13" s="33"/>
      <c r="D13" s="37">
        <f>IF( ISERROR(IND_papier_gas_kWh/1000),0,IND_papier_gas_kWh/1000)*0.902</f>
        <v>208.72911400000001</v>
      </c>
      <c r="E13" s="33">
        <f>C35*'E Balans VL '!I23/100/3.6*1000000</f>
        <v>0.47624398874380552</v>
      </c>
      <c r="F13" s="33">
        <f>C35*'E Balans VL '!L23/100/3.6*1000000+C35*'E Balans VL '!N23/100/3.6*1000000</f>
        <v>2.790930644842621</v>
      </c>
      <c r="G13" s="34"/>
      <c r="H13" s="33"/>
      <c r="I13" s="33"/>
      <c r="J13" s="40">
        <f>C35*'E Balans VL '!D23/100/3.6*1000000+C35*'E Balans VL '!E23/100/3.6*1000000</f>
        <v>7.4339206377443583</v>
      </c>
      <c r="K13" s="33"/>
      <c r="L13" s="33"/>
      <c r="M13" s="33"/>
      <c r="N13" s="33">
        <f>C35*'E Balans VL '!Y23/100/3.6*1000000</f>
        <v>27.080082972443261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62.823999999999998</v>
      </c>
      <c r="C15" s="33"/>
      <c r="D15" s="37">
        <f>IF( ISERROR(IND_rest_gas_kWh/1000),0,IND_rest_gas_kWh/1000)*0.902</f>
        <v>7.9042260000000004</v>
      </c>
      <c r="E15" s="33">
        <f>C37*'E Balans VL '!I15/100/3.6*1000000</f>
        <v>3.4096400390876691</v>
      </c>
      <c r="F15" s="33">
        <f>C37*'E Balans VL '!L15/100/3.6*1000000+C37*'E Balans VL '!N15/100/3.6*1000000</f>
        <v>13.692727131260328</v>
      </c>
      <c r="G15" s="34"/>
      <c r="H15" s="33"/>
      <c r="I15" s="33"/>
      <c r="J15" s="40">
        <f>C37*'E Balans VL '!D15/100/3.6*1000000+C37*'E Balans VL '!E15/100/3.6*1000000</f>
        <v>0.50932142737942354</v>
      </c>
      <c r="K15" s="33"/>
      <c r="L15" s="33"/>
      <c r="M15" s="33"/>
      <c r="N15" s="33">
        <f>C37*'E Balans VL '!Y15/100/3.6*1000000</f>
        <v>3.5251859189534178</v>
      </c>
      <c r="O15" s="33"/>
      <c r="P15" s="33"/>
      <c r="R15" s="32"/>
    </row>
    <row r="16" spans="1:18">
      <c r="A16" s="16" t="s">
        <v>490</v>
      </c>
      <c r="B16" s="247">
        <f>'lokale energieproductie'!N42+'lokale energieproductie'!N35</f>
        <v>0</v>
      </c>
      <c r="C16" s="247">
        <f>'lokale energieproductie'!O42+'lokale energieproductie'!O35</f>
        <v>0</v>
      </c>
      <c r="D16" s="308">
        <f>('lokale energieproductie'!P35+'lokale energieproductie'!P42)*(-1)</f>
        <v>0</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37307.994000000006</v>
      </c>
      <c r="C18" s="21">
        <f>C5+C16</f>
        <v>0</v>
      </c>
      <c r="D18" s="21">
        <f>MAX((D5+D16),0)</f>
        <v>116556.13692799999</v>
      </c>
      <c r="E18" s="21">
        <f>MAX((E5+E16),0)</f>
        <v>1519.1058906784338</v>
      </c>
      <c r="F18" s="21">
        <f>MAX((F5+F16),0)</f>
        <v>11498.288324033671</v>
      </c>
      <c r="G18" s="21"/>
      <c r="H18" s="21"/>
      <c r="I18" s="21"/>
      <c r="J18" s="21">
        <f>MAX((J5+J16),0)</f>
        <v>8.3623564249382643</v>
      </c>
      <c r="K18" s="21"/>
      <c r="L18" s="21">
        <f>MAX((L5+L16),0)</f>
        <v>0</v>
      </c>
      <c r="M18" s="21"/>
      <c r="N18" s="21">
        <f>MAX((N5+N16),0)</f>
        <v>10196.841993263981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0.17606500120235208</v>
      </c>
      <c r="C20" s="25">
        <f ca="1">'EF ele_warmte'!B22</f>
        <v>1.4646667278958591E-3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6568.6320084673453</v>
      </c>
      <c r="C22" s="23">
        <f ca="1">C18*C20</f>
        <v>0</v>
      </c>
      <c r="D22" s="23">
        <f>D18*D20</f>
        <v>23544.339659456</v>
      </c>
      <c r="E22" s="23">
        <f>E18*E20</f>
        <v>344.83703718400449</v>
      </c>
      <c r="F22" s="23">
        <f>F18*F20</f>
        <v>3070.0429825169904</v>
      </c>
      <c r="G22" s="23"/>
      <c r="H22" s="23"/>
      <c r="I22" s="23"/>
      <c r="J22" s="23">
        <f>J18*J20</f>
        <v>2.9602741744281453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8670.9959999999992</v>
      </c>
      <c r="C30" s="39">
        <f>IF(ISERROR(B30*3.6/1000000/'E Balans VL '!Z18*100),0,B30*3.6/1000000/'E Balans VL '!Z18*100)</f>
        <v>1.8371981511452882</v>
      </c>
      <c r="D30" s="237" t="s">
        <v>659</v>
      </c>
    </row>
    <row r="31" spans="1:18">
      <c r="A31" s="6" t="s">
        <v>32</v>
      </c>
      <c r="B31" s="37">
        <f>IF( ISERROR(IND_ander_ele_kWh/1000),0,IND_ander_ele_kWh/1000)</f>
        <v>2140.201</v>
      </c>
      <c r="C31" s="39">
        <f>IF(ISERROR(B31*3.6/1000000/'E Balans VL '!Z19*100),0,B31*3.6/1000000/'E Balans VL '!Z19*100)</f>
        <v>9.0085919769795159E-2</v>
      </c>
      <c r="D31" s="237" t="s">
        <v>659</v>
      </c>
    </row>
    <row r="32" spans="1:18">
      <c r="A32" s="171" t="s">
        <v>40</v>
      </c>
      <c r="B32" s="37">
        <f>IF( ISERROR(IND_voed_ele_kWh/1000),0,IND_voed_ele_kWh/1000)</f>
        <v>25496.496999999999</v>
      </c>
      <c r="C32" s="39">
        <f>IF(ISERROR(B32*3.6/1000000/'E Balans VL '!Z20*100),0,B32*3.6/1000000/'E Balans VL '!Z20*100)</f>
        <v>4.2594782968733407</v>
      </c>
      <c r="D32" s="237" t="s">
        <v>659</v>
      </c>
    </row>
    <row r="33" spans="1:5">
      <c r="A33" s="171" t="s">
        <v>39</v>
      </c>
      <c r="B33" s="37">
        <f>IF( ISERROR(IND_textiel_ele_kWh/1000),0,IND_textiel_ele_kWh/1000)</f>
        <v>466.70400000000001</v>
      </c>
      <c r="C33" s="39">
        <f>IF(ISERROR(B33*3.6/1000000/'E Balans VL '!Z21*100),0,B33*3.6/1000000/'E Balans VL '!Z21*100)</f>
        <v>2.7247576139599983E-2</v>
      </c>
      <c r="D33" s="237" t="s">
        <v>659</v>
      </c>
    </row>
    <row r="34" spans="1:5">
      <c r="A34" s="171" t="s">
        <v>36</v>
      </c>
      <c r="B34" s="37">
        <f>IF( ISERROR(IND_min_ele_kWh/1000),0,IND_min_ele_kWh/1000)</f>
        <v>359.726</v>
      </c>
      <c r="C34" s="39">
        <f>IF(ISERROR(B34*3.6/1000000/'E Balans VL '!Z22*100),0,B34*3.6/1000000/'E Balans VL '!Z22*100)</f>
        <v>4.559721049658829E-2</v>
      </c>
      <c r="D34" s="237" t="s">
        <v>659</v>
      </c>
    </row>
    <row r="35" spans="1:5">
      <c r="A35" s="171" t="s">
        <v>38</v>
      </c>
      <c r="B35" s="37">
        <f>IF( ISERROR(IND_papier_ele_kWh/1000),0,IND_papier_ele_kWh/1000)</f>
        <v>111.04600000000001</v>
      </c>
      <c r="C35" s="39">
        <f>IF(ISERROR(B35*3.6/1000000/'E Balans VL '!Z22*100),0,B35*3.6/1000000/'E Balans VL '!Z22*100)</f>
        <v>1.4075679369309261E-2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62.823999999999998</v>
      </c>
      <c r="C37" s="39">
        <f>IF(ISERROR(B37*3.6/1000000/'E Balans VL '!Z15*100),0,B37*3.6/1000000/'E Balans VL '!Z15*100)</f>
        <v>5.0720247856777775E-4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5553.1009999999997</v>
      </c>
      <c r="C5" s="17">
        <f>'Eigen informatie GS &amp; warmtenet'!B60</f>
        <v>0</v>
      </c>
      <c r="D5" s="30">
        <f>IF(ISERROR(SUM(LB_lb_gas_kWh,LB_rest_gas_kWh)/1000),0,SUM(LB_lb_gas_kWh,LB_rest_gas_kWh)/1000)*0.902</f>
        <v>4858.6004500000008</v>
      </c>
      <c r="E5" s="17">
        <f>B17*'E Balans VL '!I25/3.6*1000000/100</f>
        <v>143.19315334723342</v>
      </c>
      <c r="F5" s="17">
        <f>B17*('E Balans VL '!L25/3.6*1000000+'E Balans VL '!N25/3.6*1000000)/100</f>
        <v>20297.641691713339</v>
      </c>
      <c r="G5" s="18"/>
      <c r="H5" s="17"/>
      <c r="I5" s="17"/>
      <c r="J5" s="17">
        <f>('E Balans VL '!D25+'E Balans VL '!E25)/3.6*1000000*landbouw!B17/100</f>
        <v>799.44226397781517</v>
      </c>
      <c r="K5" s="17"/>
      <c r="L5" s="17">
        <f>L6*(-1)</f>
        <v>0</v>
      </c>
      <c r="M5" s="17"/>
      <c r="N5" s="17">
        <f>N6*(-1)</f>
        <v>31098.857142857149</v>
      </c>
      <c r="O5" s="17"/>
      <c r="P5" s="17"/>
      <c r="R5" s="32"/>
    </row>
    <row r="6" spans="1:18">
      <c r="A6" s="16" t="s">
        <v>490</v>
      </c>
      <c r="B6" s="17" t="s">
        <v>210</v>
      </c>
      <c r="C6" s="17">
        <f>'lokale energieproductie'!O44+'lokale energieproductie'!O37</f>
        <v>15549.428571428572</v>
      </c>
      <c r="D6" s="308">
        <f>('lokale energieproductie'!P37+'lokale energieproductie'!P44)*(-1)</f>
        <v>0</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-31098.857142857149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5553.1009999999997</v>
      </c>
      <c r="C8" s="21">
        <f>C5+C6</f>
        <v>15549.428571428572</v>
      </c>
      <c r="D8" s="21">
        <f>MAX((D5+D6),0)</f>
        <v>4858.6004500000008</v>
      </c>
      <c r="E8" s="21">
        <f>MAX((E5+E6),0)</f>
        <v>143.19315334723342</v>
      </c>
      <c r="F8" s="21">
        <f>MAX((F5+F6),0)</f>
        <v>20297.641691713339</v>
      </c>
      <c r="G8" s="21"/>
      <c r="H8" s="21"/>
      <c r="I8" s="21"/>
      <c r="J8" s="21">
        <f>MAX((J5+J6),0)</f>
        <v>799.44226397781517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0.17606500120235208</v>
      </c>
      <c r="C10" s="31">
        <f ca="1">'EF ele_warmte'!B22</f>
        <v>1.4646667278958591E-3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977.70673424178244</v>
      </c>
      <c r="C12" s="23">
        <f ca="1">C8*C10</f>
        <v>22.774730666364672</v>
      </c>
      <c r="D12" s="23">
        <f>D8*D10</f>
        <v>981.43729090000022</v>
      </c>
      <c r="E12" s="23">
        <f>E8*E10</f>
        <v>32.504845809821987</v>
      </c>
      <c r="F12" s="23">
        <f>F8*F10</f>
        <v>5419.470331687462</v>
      </c>
      <c r="G12" s="23"/>
      <c r="H12" s="23"/>
      <c r="I12" s="23"/>
      <c r="J12" s="23">
        <f>J8*J10</f>
        <v>283.00256144814654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0.78302402391624537</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966.12574804739609</v>
      </c>
      <c r="C26" s="247">
        <f>B26*'GWP N2O_CH4'!B5</f>
        <v>20288.640708995317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380.68336249255839</v>
      </c>
      <c r="C27" s="247">
        <f>B27*'GWP N2O_CH4'!B5</f>
        <v>7994.3506123437264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12.555593801082134</v>
      </c>
      <c r="C28" s="247">
        <f>B28*'GWP N2O_CH4'!B4</f>
        <v>3892.2340783354616</v>
      </c>
      <c r="D28" s="50"/>
    </row>
    <row r="29" spans="1:4">
      <c r="A29" s="41" t="s">
        <v>276</v>
      </c>
      <c r="B29" s="247">
        <f>B34*'ha_N2O bodem landbouw'!B4</f>
        <v>27.077651417027095</v>
      </c>
      <c r="C29" s="247">
        <f>B29*'GWP N2O_CH4'!B4</f>
        <v>8394.0719392783994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6.0939430112124668E-3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8.3703783918439095E-5</v>
      </c>
      <c r="C5" s="437" t="s">
        <v>210</v>
      </c>
      <c r="D5" s="422">
        <f>SUM(D6:D11)</f>
        <v>1.6815747314759554E-4</v>
      </c>
      <c r="E5" s="422">
        <f>SUM(E6:E11)</f>
        <v>7.5001623338888889E-4</v>
      </c>
      <c r="F5" s="435" t="s">
        <v>210</v>
      </c>
      <c r="G5" s="422">
        <f>SUM(G6:G11)</f>
        <v>0.28930900638606355</v>
      </c>
      <c r="H5" s="422">
        <f>SUM(H6:H11)</f>
        <v>5.7332698671938631E-2</v>
      </c>
      <c r="I5" s="437" t="s">
        <v>210</v>
      </c>
      <c r="J5" s="437" t="s">
        <v>210</v>
      </c>
      <c r="K5" s="437" t="s">
        <v>210</v>
      </c>
      <c r="L5" s="437" t="s">
        <v>210</v>
      </c>
      <c r="M5" s="422">
        <f>SUM(M6:M11)</f>
        <v>1.0819907668813978E-2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7.0014842879744744E-5</v>
      </c>
      <c r="C6" s="423"/>
      <c r="D6" s="865">
        <f>vkm_GW_PW*SUMIFS(TableVerdeelsleutelVkm[CNG],TableVerdeelsleutelVkm[Voertuigtype],"Lichte voertuigen")*SUMIFS(TableECFTransport[EnergieConsumptieFactor (PJ per km)],TableECFTransport[Index],CONCATENATE($A6,"_CNG_CNG"))</f>
        <v>1.2621412391873742E-4</v>
      </c>
      <c r="E6" s="865">
        <f>vkm_GW_PW*SUMIFS(TableVerdeelsleutelVkm[LPG],TableVerdeelsleutelVkm[Voertuigtype],"Lichte voertuigen")*SUMIFS(TableECFTransport[EnergieConsumptieFactor (PJ per km)],TableECFTransport[Index],CONCATENATE($A6,"_LPG_LPG"))</f>
        <v>5.7016300051017442E-4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0.15576775350551869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4.3336227082862562E-2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6.1992596758115017E-3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8.3121737426472497E-2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1.4999163916190984E-6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2.6150145189647394E-3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1.368894103869435E-5</v>
      </c>
      <c r="C8" s="423"/>
      <c r="D8" s="425">
        <f>vkm_NGW_PW*SUMIFS(TableVerdeelsleutelVkm[CNG],TableVerdeelsleutelVkm[Voertuigtype],"Lichte voertuigen")*SUMIFS(TableECFTransport[EnergieConsumptieFactor (PJ per km)],TableECFTransport[Index],CONCATENATE($A8,"_CNG_CNG"))</f>
        <v>4.19433492288581E-5</v>
      </c>
      <c r="E8" s="425">
        <f>vkm_NGW_PW*SUMIFS(TableVerdeelsleutelVkm[LPG],TableVerdeelsleutelVkm[Voertuigtype],"Lichte voertuigen")*SUMIFS(TableECFTransport[EnergieConsumptieFactor (PJ per km)],TableECFTransport[Index],CONCATENATE($A8,"_LPG_LPG"))</f>
        <v>1.7985323287871444E-4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4.6136432463979193E-2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1.3994876264471797E-2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1.8708868999548097E-3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4.2830829900931747E-3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9.5408212658333321E-8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1.3474657408292913E-4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23.251051088455302</v>
      </c>
      <c r="C14" s="21"/>
      <c r="D14" s="21">
        <f t="shared" ref="D14:M14" si="0">((D5)*10^9/3600)+D12</f>
        <v>46.710409207665428</v>
      </c>
      <c r="E14" s="21">
        <f t="shared" si="0"/>
        <v>208.33784260802469</v>
      </c>
      <c r="F14" s="21"/>
      <c r="G14" s="21">
        <f t="shared" si="0"/>
        <v>80363.612885017661</v>
      </c>
      <c r="H14" s="21">
        <f t="shared" si="0"/>
        <v>15925.749631094064</v>
      </c>
      <c r="I14" s="21"/>
      <c r="J14" s="21"/>
      <c r="K14" s="21"/>
      <c r="L14" s="21"/>
      <c r="M14" s="21">
        <f t="shared" si="0"/>
        <v>3005.5299080038826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0.17606500120235208</v>
      </c>
      <c r="C16" s="56">
        <f ca="1">'EF ele_warmte'!B22</f>
        <v>1.4646667278958591E-3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4.0936963378448326</v>
      </c>
      <c r="C18" s="23"/>
      <c r="D18" s="23">
        <f t="shared" ref="D18:M18" si="1">D14*D16</f>
        <v>9.4355026599484173</v>
      </c>
      <c r="E18" s="23">
        <f t="shared" si="1"/>
        <v>47.292690272021602</v>
      </c>
      <c r="F18" s="23"/>
      <c r="G18" s="23">
        <f t="shared" si="1"/>
        <v>21457.084640299716</v>
      </c>
      <c r="H18" s="23">
        <f t="shared" si="1"/>
        <v>3965.5116581424218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7.6134936326679795E-3</v>
      </c>
      <c r="H50" s="319">
        <f t="shared" si="2"/>
        <v>0</v>
      </c>
      <c r="I50" s="319">
        <f t="shared" si="2"/>
        <v>0</v>
      </c>
      <c r="J50" s="319">
        <f t="shared" si="2"/>
        <v>0</v>
      </c>
      <c r="K50" s="319">
        <f t="shared" si="2"/>
        <v>0</v>
      </c>
      <c r="L50" s="319">
        <f t="shared" si="2"/>
        <v>0</v>
      </c>
      <c r="M50" s="319">
        <f t="shared" si="2"/>
        <v>2.3585542733412675E-4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7.6134936326679795E-3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2.3585542733412675E-4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2114.8593424077721</v>
      </c>
      <c r="H54" s="21">
        <f t="shared" si="3"/>
        <v>0</v>
      </c>
      <c r="I54" s="21">
        <f t="shared" si="3"/>
        <v>0</v>
      </c>
      <c r="J54" s="21">
        <f t="shared" si="3"/>
        <v>0</v>
      </c>
      <c r="K54" s="21">
        <f t="shared" si="3"/>
        <v>0</v>
      </c>
      <c r="L54" s="21">
        <f t="shared" si="3"/>
        <v>0</v>
      </c>
      <c r="M54" s="21">
        <f t="shared" si="3"/>
        <v>65.51539648170187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0.17606500120235208</v>
      </c>
      <c r="C56" s="56">
        <f ca="1">'EF ele_warmte'!B22</f>
        <v>1.4646667278958591E-3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564.66744442287518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7" zoomScale="65" zoomScaleNormal="65" workbookViewId="0">
      <selection activeCell="M33" sqref="M33"/>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10564.966260251662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N34</f>
        <v>10952.1</v>
      </c>
      <c r="C8" s="544">
        <f>B53</f>
        <v>79.411764705882348</v>
      </c>
      <c r="D8" s="1009"/>
      <c r="E8" s="1009">
        <f>E53</f>
        <v>0</v>
      </c>
      <c r="F8" s="1010"/>
      <c r="G8" s="545"/>
      <c r="H8" s="1009">
        <f>I53</f>
        <v>0</v>
      </c>
      <c r="I8" s="1009">
        <f>G53+F53</f>
        <v>0</v>
      </c>
      <c r="J8" s="1009">
        <f>H53+D53+C53</f>
        <v>12805.411764705885</v>
      </c>
      <c r="K8" s="1009"/>
      <c r="L8" s="1009"/>
      <c r="M8" s="1009"/>
      <c r="N8" s="546"/>
      <c r="O8" s="547">
        <f>C8*$C$12+D8*$D$12+E8*$E$12+F8*$F$12+G8*$G$12+H8*$H$12+I8*$I$12+J8*$J$12</f>
        <v>16.041176470588237</v>
      </c>
      <c r="P8" s="1239"/>
      <c r="Q8" s="1240"/>
      <c r="S8" s="973"/>
      <c r="T8" s="1260"/>
      <c r="U8" s="1260"/>
    </row>
    <row r="9" spans="1:21" s="533" customFormat="1" ht="17.45" customHeight="1" thickBot="1">
      <c r="A9" s="548" t="s">
        <v>247</v>
      </c>
      <c r="B9" s="549">
        <f>N41+'Eigen informatie GS &amp; warmtenet'!B12</f>
        <v>0</v>
      </c>
      <c r="C9" s="55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21517.06626025166</v>
      </c>
      <c r="C10" s="557">
        <f t="shared" ref="C10:L10" si="0">SUM(C8:C9)</f>
        <v>79.411764705882348</v>
      </c>
      <c r="D10" s="557">
        <f t="shared" si="0"/>
        <v>0</v>
      </c>
      <c r="E10" s="557">
        <f t="shared" si="0"/>
        <v>0</v>
      </c>
      <c r="F10" s="557">
        <f t="shared" si="0"/>
        <v>0</v>
      </c>
      <c r="G10" s="557">
        <f t="shared" si="0"/>
        <v>0</v>
      </c>
      <c r="H10" s="557">
        <f t="shared" si="0"/>
        <v>0</v>
      </c>
      <c r="I10" s="557">
        <f t="shared" si="0"/>
        <v>0</v>
      </c>
      <c r="J10" s="557">
        <f t="shared" si="0"/>
        <v>12805.411764705885</v>
      </c>
      <c r="K10" s="557">
        <f t="shared" si="0"/>
        <v>0</v>
      </c>
      <c r="L10" s="557">
        <f t="shared" si="0"/>
        <v>0</v>
      </c>
      <c r="M10" s="1012"/>
      <c r="N10" s="1012"/>
      <c r="O10" s="558">
        <f>SUM(O4:O9)</f>
        <v>16.041176470588237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O34</f>
        <v>15645.857142857143</v>
      </c>
      <c r="C17" s="569">
        <f>B54</f>
        <v>113.44537815126051</v>
      </c>
      <c r="D17" s="570"/>
      <c r="E17" s="570">
        <f>E54</f>
        <v>0</v>
      </c>
      <c r="F17" s="1015"/>
      <c r="G17" s="571"/>
      <c r="H17" s="569">
        <f>I54</f>
        <v>0</v>
      </c>
      <c r="I17" s="570">
        <f>G54+F54</f>
        <v>0</v>
      </c>
      <c r="J17" s="570">
        <f>H54+D54+C54</f>
        <v>18293.445378151264</v>
      </c>
      <c r="K17" s="570"/>
      <c r="L17" s="570"/>
      <c r="M17" s="570"/>
      <c r="N17" s="1016"/>
      <c r="O17" s="572">
        <f>C17*$C$22+E17*$E$22+H17*$H$22+I17*$I$22+J17*$J$22+D17*$D$22+F17*$F$22+G17*$G$22+K17*$K$22+L17*$L$22</f>
        <v>22.915966386554626</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15645.857142857143</v>
      </c>
      <c r="C20" s="556">
        <f>SUM(C17:C19)</f>
        <v>113.44537815126051</v>
      </c>
      <c r="D20" s="556">
        <f t="shared" ref="D20:L20" si="1">SUM(D17:D19)</f>
        <v>0</v>
      </c>
      <c r="E20" s="556">
        <f t="shared" si="1"/>
        <v>0</v>
      </c>
      <c r="F20" s="556">
        <f t="shared" si="1"/>
        <v>0</v>
      </c>
      <c r="G20" s="556">
        <f t="shared" si="1"/>
        <v>0</v>
      </c>
      <c r="H20" s="556">
        <f t="shared" si="1"/>
        <v>0</v>
      </c>
      <c r="I20" s="556">
        <f t="shared" si="1"/>
        <v>0</v>
      </c>
      <c r="J20" s="556">
        <f t="shared" si="1"/>
        <v>18293.445378151264</v>
      </c>
      <c r="K20" s="556">
        <f t="shared" si="1"/>
        <v>0</v>
      </c>
      <c r="L20" s="556">
        <f t="shared" si="1"/>
        <v>0</v>
      </c>
      <c r="M20" s="556"/>
      <c r="N20" s="556"/>
      <c r="O20" s="575">
        <f>SUM(O17:O19)</f>
        <v>22.915966386554626</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72004</v>
      </c>
      <c r="C28" s="770">
        <v>3960</v>
      </c>
      <c r="D28" s="627" t="s">
        <v>896</v>
      </c>
      <c r="E28" s="626" t="s">
        <v>897</v>
      </c>
      <c r="F28" s="626" t="s">
        <v>898</v>
      </c>
      <c r="G28" s="626" t="s">
        <v>899</v>
      </c>
      <c r="H28" s="626" t="s">
        <v>900</v>
      </c>
      <c r="I28" s="626" t="s">
        <v>897</v>
      </c>
      <c r="J28" s="769">
        <v>41068</v>
      </c>
      <c r="K28" s="769">
        <v>41275</v>
      </c>
      <c r="L28" s="626" t="s">
        <v>901</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72004</v>
      </c>
      <c r="C29" s="770">
        <v>3960</v>
      </c>
      <c r="D29" s="627" t="s">
        <v>902</v>
      </c>
      <c r="E29" s="626" t="s">
        <v>903</v>
      </c>
      <c r="F29" s="626" t="s">
        <v>904</v>
      </c>
      <c r="G29" s="626" t="s">
        <v>899</v>
      </c>
      <c r="H29" s="626" t="s">
        <v>900</v>
      </c>
      <c r="I29" s="626" t="s">
        <v>905</v>
      </c>
      <c r="J29" s="769">
        <v>41078</v>
      </c>
      <c r="K29" s="769">
        <v>41275</v>
      </c>
      <c r="L29" s="626" t="s">
        <v>901</v>
      </c>
      <c r="M29" s="626">
        <v>19.399999999999999</v>
      </c>
      <c r="N29" s="626">
        <v>87.299999999999983</v>
      </c>
      <c r="O29" s="626">
        <v>124.71428571428569</v>
      </c>
      <c r="P29" s="626">
        <v>0</v>
      </c>
      <c r="Q29" s="626">
        <v>249.42857142857139</v>
      </c>
      <c r="R29" s="626">
        <v>0</v>
      </c>
      <c r="S29" s="626">
        <v>0</v>
      </c>
      <c r="T29" s="626">
        <v>0</v>
      </c>
      <c r="U29" s="626">
        <v>0</v>
      </c>
      <c r="V29" s="626">
        <v>0</v>
      </c>
      <c r="W29" s="626">
        <v>0</v>
      </c>
      <c r="X29" s="626">
        <v>10</v>
      </c>
      <c r="Y29" s="626" t="s">
        <v>111</v>
      </c>
      <c r="Z29" s="628" t="s">
        <v>111</v>
      </c>
    </row>
    <row r="30" spans="1:26" s="580" customFormat="1" ht="25.5">
      <c r="A30" s="579"/>
      <c r="B30" s="770">
        <v>72004</v>
      </c>
      <c r="C30" s="770">
        <v>3960</v>
      </c>
      <c r="D30" s="627" t="s">
        <v>906</v>
      </c>
      <c r="E30" s="626" t="s">
        <v>907</v>
      </c>
      <c r="F30" s="626" t="s">
        <v>908</v>
      </c>
      <c r="G30" s="626" t="s">
        <v>899</v>
      </c>
      <c r="H30" s="626" t="s">
        <v>900</v>
      </c>
      <c r="I30" s="626" t="s">
        <v>909</v>
      </c>
      <c r="J30" s="769">
        <v>41382</v>
      </c>
      <c r="K30" s="769">
        <v>41382</v>
      </c>
      <c r="L30" s="626" t="s">
        <v>901</v>
      </c>
      <c r="M30" s="626">
        <v>2380</v>
      </c>
      <c r="N30" s="626">
        <v>10710</v>
      </c>
      <c r="O30" s="626">
        <v>15300</v>
      </c>
      <c r="P30" s="626">
        <v>0</v>
      </c>
      <c r="Q30" s="626">
        <v>30600.000000000004</v>
      </c>
      <c r="R30" s="626">
        <v>0</v>
      </c>
      <c r="S30" s="626">
        <v>0</v>
      </c>
      <c r="T30" s="626">
        <v>0</v>
      </c>
      <c r="U30" s="626">
        <v>0</v>
      </c>
      <c r="V30" s="626">
        <v>0</v>
      </c>
      <c r="W30" s="626">
        <v>0</v>
      </c>
      <c r="X30" s="626">
        <v>10</v>
      </c>
      <c r="Y30" s="626" t="s">
        <v>111</v>
      </c>
      <c r="Z30" s="628" t="s">
        <v>111</v>
      </c>
    </row>
    <row r="31" spans="1:26" s="580" customFormat="1" ht="25.5">
      <c r="A31" s="579"/>
      <c r="B31" s="770">
        <v>72004</v>
      </c>
      <c r="C31" s="770">
        <v>3960</v>
      </c>
      <c r="D31" s="627" t="s">
        <v>910</v>
      </c>
      <c r="E31" s="626" t="s">
        <v>911</v>
      </c>
      <c r="F31" s="626" t="s">
        <v>912</v>
      </c>
      <c r="G31" s="626" t="s">
        <v>899</v>
      </c>
      <c r="H31" s="626" t="s">
        <v>900</v>
      </c>
      <c r="I31" s="626" t="s">
        <v>911</v>
      </c>
      <c r="J31" s="769">
        <v>41252</v>
      </c>
      <c r="K31" s="769">
        <v>41865</v>
      </c>
      <c r="L31" s="626" t="s">
        <v>901</v>
      </c>
      <c r="M31" s="626">
        <v>15</v>
      </c>
      <c r="N31" s="626">
        <v>67.5</v>
      </c>
      <c r="O31" s="626">
        <v>96.428571428571431</v>
      </c>
      <c r="P31" s="626">
        <v>192.85714285714286</v>
      </c>
      <c r="Q31" s="626">
        <v>0</v>
      </c>
      <c r="R31" s="626">
        <v>0</v>
      </c>
      <c r="S31" s="626">
        <v>0</v>
      </c>
      <c r="T31" s="626">
        <v>0</v>
      </c>
      <c r="U31" s="626">
        <v>0</v>
      </c>
      <c r="V31" s="626">
        <v>0</v>
      </c>
      <c r="W31" s="626">
        <v>0</v>
      </c>
      <c r="X31" s="626">
        <v>1200</v>
      </c>
      <c r="Y31" s="626" t="s">
        <v>913</v>
      </c>
      <c r="Z31" s="628" t="s">
        <v>155</v>
      </c>
    </row>
    <row r="32" spans="1:26" s="580" customFormat="1" ht="25.5">
      <c r="A32" s="579"/>
      <c r="B32" s="770">
        <v>72004</v>
      </c>
      <c r="C32" s="770">
        <v>3960</v>
      </c>
      <c r="D32" s="627" t="s">
        <v>914</v>
      </c>
      <c r="E32" s="626" t="s">
        <v>915</v>
      </c>
      <c r="F32" s="626" t="s">
        <v>916</v>
      </c>
      <c r="G32" s="626" t="s">
        <v>899</v>
      </c>
      <c r="H32" s="626" t="s">
        <v>900</v>
      </c>
      <c r="I32" s="626" t="s">
        <v>915</v>
      </c>
      <c r="J32" s="769">
        <v>41862</v>
      </c>
      <c r="K32" s="769">
        <v>41887</v>
      </c>
      <c r="L32" s="626" t="s">
        <v>901</v>
      </c>
      <c r="M32" s="626">
        <v>9.6999999999999993</v>
      </c>
      <c r="N32" s="626">
        <v>43.649999999999991</v>
      </c>
      <c r="O32" s="626">
        <v>62.357142857142847</v>
      </c>
      <c r="P32" s="626">
        <v>0</v>
      </c>
      <c r="Q32" s="626">
        <v>124.71428571428569</v>
      </c>
      <c r="R32" s="626">
        <v>0</v>
      </c>
      <c r="S32" s="626">
        <v>0</v>
      </c>
      <c r="T32" s="626">
        <v>0</v>
      </c>
      <c r="U32" s="626">
        <v>0</v>
      </c>
      <c r="V32" s="626">
        <v>0</v>
      </c>
      <c r="W32" s="626">
        <v>0</v>
      </c>
      <c r="X32" s="626">
        <v>10</v>
      </c>
      <c r="Y32" s="626" t="s">
        <v>111</v>
      </c>
      <c r="Z32" s="628" t="s">
        <v>111</v>
      </c>
    </row>
    <row r="33" spans="1:27" s="580" customFormat="1" ht="25.5">
      <c r="A33" s="579"/>
      <c r="B33" s="770">
        <v>72004</v>
      </c>
      <c r="C33" s="770">
        <v>3960</v>
      </c>
      <c r="D33" s="627"/>
      <c r="E33" s="626"/>
      <c r="F33" s="626" t="s">
        <v>917</v>
      </c>
      <c r="G33" s="626" t="s">
        <v>899</v>
      </c>
      <c r="H33" s="626" t="s">
        <v>900</v>
      </c>
      <c r="I33" s="626" t="s">
        <v>907</v>
      </c>
      <c r="J33" s="769">
        <v>42346</v>
      </c>
      <c r="K33" s="769">
        <v>42346</v>
      </c>
      <c r="L33" s="626" t="s">
        <v>901</v>
      </c>
      <c r="M33" s="626">
        <v>1189</v>
      </c>
      <c r="N33" s="626">
        <v>0</v>
      </c>
      <c r="O33" s="626">
        <v>0</v>
      </c>
      <c r="P33" s="626">
        <v>0</v>
      </c>
      <c r="Q33" s="626">
        <v>0</v>
      </c>
      <c r="R33" s="626">
        <v>0</v>
      </c>
      <c r="S33" s="626">
        <v>0</v>
      </c>
      <c r="T33" s="626">
        <v>0</v>
      </c>
      <c r="U33" s="626">
        <v>0</v>
      </c>
      <c r="V33" s="626">
        <v>0</v>
      </c>
      <c r="W33" s="626">
        <v>0</v>
      </c>
      <c r="X33" s="626">
        <v>10</v>
      </c>
      <c r="Y33" s="626" t="s">
        <v>111</v>
      </c>
      <c r="Z33" s="628" t="s">
        <v>111</v>
      </c>
    </row>
    <row r="34" spans="1:27" s="564" customFormat="1">
      <c r="A34" s="582" t="s">
        <v>279</v>
      </c>
      <c r="B34" s="583"/>
      <c r="C34" s="583"/>
      <c r="D34" s="583"/>
      <c r="E34" s="583"/>
      <c r="F34" s="583"/>
      <c r="G34" s="583"/>
      <c r="H34" s="583"/>
      <c r="I34" s="583"/>
      <c r="J34" s="583"/>
      <c r="K34" s="583"/>
      <c r="L34" s="584"/>
      <c r="M34" s="584">
        <f>SUM(M28:M33)</f>
        <v>3622.7999999999997</v>
      </c>
      <c r="N34" s="584">
        <f>SUM(N28:N33)</f>
        <v>10952.1</v>
      </c>
      <c r="O34" s="584">
        <f>SUM(O28:O33)</f>
        <v>15645.857142857143</v>
      </c>
      <c r="P34" s="584">
        <f>SUM(P28:P33)</f>
        <v>192.85714285714286</v>
      </c>
      <c r="Q34" s="584">
        <f>SUM(Q28:Q33)</f>
        <v>31098.857142857149</v>
      </c>
      <c r="R34" s="584">
        <f>SUM(R28:R33)</f>
        <v>0</v>
      </c>
      <c r="S34" s="584">
        <f>SUM(S28:S33)</f>
        <v>0</v>
      </c>
      <c r="T34" s="584">
        <f>SUM(T28:T33)</f>
        <v>0</v>
      </c>
      <c r="U34" s="584">
        <f>SUM(U28:U33)</f>
        <v>0</v>
      </c>
      <c r="V34" s="584">
        <f>SUM(V28:V33)</f>
        <v>0</v>
      </c>
      <c r="W34" s="584">
        <f>SUM(W28:W33)</f>
        <v>0</v>
      </c>
      <c r="X34" s="585"/>
      <c r="Y34" s="585"/>
      <c r="Z34" s="586"/>
    </row>
    <row r="35" spans="1:27" s="564" customFormat="1">
      <c r="A35" s="582" t="s">
        <v>286</v>
      </c>
      <c r="B35" s="583"/>
      <c r="C35" s="583"/>
      <c r="D35" s="583"/>
      <c r="E35" s="583"/>
      <c r="F35" s="583"/>
      <c r="G35" s="583"/>
      <c r="H35" s="583"/>
      <c r="I35" s="583"/>
      <c r="J35" s="583"/>
      <c r="K35" s="583"/>
      <c r="L35" s="584"/>
      <c r="M35" s="584">
        <f>SUMIF($Z$28:$Z$33,"industrie",M28:M33)</f>
        <v>0</v>
      </c>
      <c r="N35" s="584">
        <f>SUMIF($Z$28:$Z$33,"industrie",N28:N33)</f>
        <v>0</v>
      </c>
      <c r="O35" s="584">
        <f>SUMIF($Z$28:$Z$33,"industrie",O28:O33)</f>
        <v>0</v>
      </c>
      <c r="P35" s="584">
        <f>SUMIF($Z$28:$Z$33,"industrie",P28:P33)</f>
        <v>0</v>
      </c>
      <c r="Q35" s="584">
        <f>SUMIF($Z$28:$Z$33,"industrie",Q28:Q33)</f>
        <v>0</v>
      </c>
      <c r="R35" s="584">
        <f>SUMIF($Z$28:$Z$33,"industrie",R28:R33)</f>
        <v>0</v>
      </c>
      <c r="S35" s="584">
        <f>SUMIF($Z$28:$Z$33,"industrie",S28:S33)</f>
        <v>0</v>
      </c>
      <c r="T35" s="584">
        <f>SUMIF($Z$28:$Z$33,"industrie",T28:T33)</f>
        <v>0</v>
      </c>
      <c r="U35" s="584">
        <f>SUMIF($Z$28:$Z$33,"industrie",U28:U33)</f>
        <v>0</v>
      </c>
      <c r="V35" s="584">
        <f>SUMIF($Z$28:$Z$33,"industrie",V28:V33)</f>
        <v>0</v>
      </c>
      <c r="W35" s="584">
        <f>SUMIF($Z$28:$Z$33,"industrie",W28:W33)</f>
        <v>0</v>
      </c>
      <c r="X35" s="585"/>
      <c r="Y35" s="585"/>
      <c r="Z35" s="586"/>
    </row>
    <row r="36" spans="1:27" s="564" customFormat="1">
      <c r="A36" s="582" t="s">
        <v>287</v>
      </c>
      <c r="B36" s="583"/>
      <c r="C36" s="583"/>
      <c r="D36" s="583"/>
      <c r="E36" s="583"/>
      <c r="F36" s="583"/>
      <c r="G36" s="583"/>
      <c r="H36" s="583"/>
      <c r="I36" s="583"/>
      <c r="J36" s="583"/>
      <c r="K36" s="583"/>
      <c r="L36" s="584"/>
      <c r="M36" s="584">
        <f ca="1">SUMIF($Z$28:AC33,"tertiair",M28:M33)</f>
        <v>15</v>
      </c>
      <c r="N36" s="584">
        <f ca="1">SUMIF($Z$28:AD33,"tertiair",N28:N33)</f>
        <v>67.5</v>
      </c>
      <c r="O36" s="584">
        <f ca="1">SUMIF($Z$28:AE33,"tertiair",O28:O33)</f>
        <v>96.428571428571431</v>
      </c>
      <c r="P36" s="584">
        <f ca="1">SUMIF($Z$28:AF33,"tertiair",P28:P33)</f>
        <v>192.85714285714286</v>
      </c>
      <c r="Q36" s="584">
        <f ca="1">SUMIF($Z$28:AG33,"tertiair",Q28:Q33)</f>
        <v>0</v>
      </c>
      <c r="R36" s="584">
        <f ca="1">SUMIF($Z$28:AH33,"tertiair",R28:R33)</f>
        <v>0</v>
      </c>
      <c r="S36" s="584">
        <f ca="1">SUMIF($Z$28:AI33,"tertiair",S28:S33)</f>
        <v>0</v>
      </c>
      <c r="T36" s="584">
        <f ca="1">SUMIF($Z$28:AJ33,"tertiair",T28:T33)</f>
        <v>0</v>
      </c>
      <c r="U36" s="584">
        <f ca="1">SUMIF($Z$28:AK33,"tertiair",U28:U33)</f>
        <v>0</v>
      </c>
      <c r="V36" s="584">
        <f ca="1">SUMIF($Z$28:AL33,"tertiair",V28:V33)</f>
        <v>0</v>
      </c>
      <c r="W36" s="584">
        <f ca="1">SUMIF($Z$28:AM33,"tertiair",W28:W33)</f>
        <v>0</v>
      </c>
      <c r="X36" s="585"/>
      <c r="Y36" s="585"/>
      <c r="Z36" s="586"/>
    </row>
    <row r="37" spans="1:27" s="564" customFormat="1" ht="15.75" thickBot="1">
      <c r="A37" s="587" t="s">
        <v>288</v>
      </c>
      <c r="B37" s="588"/>
      <c r="C37" s="588"/>
      <c r="D37" s="588"/>
      <c r="E37" s="588"/>
      <c r="F37" s="588"/>
      <c r="G37" s="588"/>
      <c r="H37" s="588"/>
      <c r="I37" s="588"/>
      <c r="J37" s="588"/>
      <c r="K37" s="588"/>
      <c r="L37" s="589"/>
      <c r="M37" s="589">
        <f>SUMIF($Z$28:$Z$33,"landbouw",M28:M33)</f>
        <v>3607.7999999999997</v>
      </c>
      <c r="N37" s="589">
        <f>SUMIF($Z$28:$Z$33,"landbouw",N28:N33)</f>
        <v>10884.6</v>
      </c>
      <c r="O37" s="589">
        <f>SUMIF($Z$28:$Z$33,"landbouw",O28:O33)</f>
        <v>15549.428571428572</v>
      </c>
      <c r="P37" s="589">
        <f>SUMIF($Z$28:$Z$33,"landbouw",P28:P33)</f>
        <v>0</v>
      </c>
      <c r="Q37" s="589">
        <f>SUMIF($Z$28:$Z$33,"landbouw",Q28:Q33)</f>
        <v>31098.857142857149</v>
      </c>
      <c r="R37" s="589">
        <f>SUMIF($Z$28:$Z$33,"landbouw",R28:R33)</f>
        <v>0</v>
      </c>
      <c r="S37" s="589">
        <f>SUMIF($Z$28:$Z$33,"landbouw",S28:S33)</f>
        <v>0</v>
      </c>
      <c r="T37" s="589">
        <f>SUMIF($Z$28:$Z$33,"landbouw",T28:T33)</f>
        <v>0</v>
      </c>
      <c r="U37" s="589">
        <f>SUMIF($Z$28:$Z$33,"landbouw",U28:U33)</f>
        <v>0</v>
      </c>
      <c r="V37" s="589">
        <f>SUMIF($Z$28:$Z$33,"landbouw",V28:V33)</f>
        <v>0</v>
      </c>
      <c r="W37" s="589">
        <f>SUMIF($Z$28:$Z$33,"landbouw",W28:W33)</f>
        <v>0</v>
      </c>
      <c r="X37" s="590"/>
      <c r="Y37" s="590"/>
      <c r="Z37" s="591"/>
    </row>
    <row r="38" spans="1:27" s="533" customFormat="1" ht="15.75" thickBot="1">
      <c r="A38" s="592"/>
      <c r="B38" s="593"/>
      <c r="C38" s="593"/>
      <c r="D38" s="593"/>
      <c r="E38" s="593"/>
      <c r="F38" s="593"/>
      <c r="G38" s="593"/>
      <c r="H38" s="593"/>
      <c r="I38" s="593"/>
      <c r="J38" s="593"/>
      <c r="K38" s="593"/>
      <c r="L38" s="576"/>
      <c r="M38" s="576"/>
      <c r="N38" s="576"/>
      <c r="O38" s="577"/>
      <c r="P38" s="577"/>
    </row>
    <row r="39" spans="1:27" s="533" customFormat="1" ht="45">
      <c r="A39" s="594" t="s">
        <v>280</v>
      </c>
      <c r="B39" s="623" t="s">
        <v>89</v>
      </c>
      <c r="C39" s="623" t="s">
        <v>90</v>
      </c>
      <c r="D39" s="623" t="s">
        <v>91</v>
      </c>
      <c r="E39" s="623" t="s">
        <v>92</v>
      </c>
      <c r="F39" s="623" t="s">
        <v>93</v>
      </c>
      <c r="G39" s="623" t="s">
        <v>94</v>
      </c>
      <c r="H39" s="623" t="s">
        <v>95</v>
      </c>
      <c r="I39" s="623" t="s">
        <v>96</v>
      </c>
      <c r="J39" s="623" t="s">
        <v>97</v>
      </c>
      <c r="K39" s="623" t="s">
        <v>98</v>
      </c>
      <c r="L39" s="623" t="s">
        <v>99</v>
      </c>
      <c r="M39" s="624" t="s">
        <v>297</v>
      </c>
      <c r="N39" s="624" t="s">
        <v>100</v>
      </c>
      <c r="O39" s="624" t="s">
        <v>101</v>
      </c>
      <c r="P39" s="624" t="s">
        <v>536</v>
      </c>
      <c r="Q39" s="624" t="s">
        <v>102</v>
      </c>
      <c r="R39" s="624" t="s">
        <v>103</v>
      </c>
      <c r="S39" s="624" t="s">
        <v>104</v>
      </c>
      <c r="T39" s="624" t="s">
        <v>105</v>
      </c>
      <c r="U39" s="624" t="s">
        <v>106</v>
      </c>
      <c r="V39" s="624" t="s">
        <v>107</v>
      </c>
      <c r="W39" s="623" t="s">
        <v>108</v>
      </c>
      <c r="X39" s="623" t="s">
        <v>298</v>
      </c>
      <c r="Y39" s="623" t="s">
        <v>109</v>
      </c>
      <c r="Z39" s="625" t="s">
        <v>299</v>
      </c>
    </row>
    <row r="40" spans="1:27" s="595" customFormat="1" ht="12.75">
      <c r="A40" s="581"/>
      <c r="B40" s="770"/>
      <c r="C40" s="770"/>
      <c r="D40" s="629"/>
      <c r="E40" s="629"/>
      <c r="F40" s="629"/>
      <c r="G40" s="629"/>
      <c r="H40" s="629"/>
      <c r="I40" s="629"/>
      <c r="J40" s="769"/>
      <c r="K40" s="769"/>
      <c r="L40" s="629"/>
      <c r="M40" s="629"/>
      <c r="N40" s="629"/>
      <c r="O40" s="629"/>
      <c r="P40" s="629"/>
      <c r="Q40" s="629"/>
      <c r="R40" s="629"/>
      <c r="S40" s="629"/>
      <c r="T40" s="629"/>
      <c r="U40" s="629"/>
      <c r="V40" s="629"/>
      <c r="W40" s="629"/>
      <c r="X40" s="629"/>
      <c r="Y40" s="629"/>
      <c r="Z40" s="630"/>
    </row>
    <row r="41" spans="1:27" s="564" customFormat="1">
      <c r="A41" s="582" t="s">
        <v>279</v>
      </c>
      <c r="B41" s="583"/>
      <c r="C41" s="583"/>
      <c r="D41" s="583"/>
      <c r="E41" s="583"/>
      <c r="F41" s="583"/>
      <c r="G41" s="583"/>
      <c r="H41" s="583"/>
      <c r="I41" s="583"/>
      <c r="J41" s="583"/>
      <c r="K41" s="583"/>
      <c r="L41" s="584"/>
      <c r="M41" s="584">
        <f>SUM(M40:M40)</f>
        <v>0</v>
      </c>
      <c r="N41" s="584">
        <f>SUM(N40:N40)</f>
        <v>0</v>
      </c>
      <c r="O41" s="584">
        <f>SUM(O40:O40)</f>
        <v>0</v>
      </c>
      <c r="P41" s="584">
        <f>SUM(P40:P40)</f>
        <v>0</v>
      </c>
      <c r="Q41" s="584">
        <f>SUM(Q40:Q40)</f>
        <v>0</v>
      </c>
      <c r="R41" s="584">
        <f>SUM(R40:R40)</f>
        <v>0</v>
      </c>
      <c r="S41" s="584">
        <f>SUM(S40:S40)</f>
        <v>0</v>
      </c>
      <c r="T41" s="584">
        <f>SUM(T40:T40)</f>
        <v>0</v>
      </c>
      <c r="U41" s="584">
        <f>SUM(U40:U40)</f>
        <v>0</v>
      </c>
      <c r="V41" s="584">
        <f>SUM(V40:V40)</f>
        <v>0</v>
      </c>
      <c r="W41" s="584">
        <f>SUM(W40:W40)</f>
        <v>0</v>
      </c>
      <c r="X41" s="585"/>
      <c r="Y41" s="585"/>
      <c r="Z41" s="586"/>
    </row>
    <row r="42" spans="1:27" s="564" customFormat="1">
      <c r="A42" s="582" t="s">
        <v>286</v>
      </c>
      <c r="B42" s="583"/>
      <c r="C42" s="583"/>
      <c r="D42" s="583"/>
      <c r="E42" s="583"/>
      <c r="F42" s="583"/>
      <c r="G42" s="583"/>
      <c r="H42" s="583"/>
      <c r="I42" s="583"/>
      <c r="J42" s="583"/>
      <c r="K42" s="583"/>
      <c r="L42" s="584"/>
      <c r="M42" s="584">
        <f>SUMIF($Z$40:$Z$40,"industrie",M40:M40)</f>
        <v>0</v>
      </c>
      <c r="N42" s="584">
        <f>SUMIF($Z$40:$Z$40,"industrie",N40:N40)</f>
        <v>0</v>
      </c>
      <c r="O42" s="584">
        <f>SUMIF($Z$40:$Z$40,"industrie",O40:O40)</f>
        <v>0</v>
      </c>
      <c r="P42" s="584">
        <f>SUMIF($Z$40:$Z$40,"industrie",P40:P40)</f>
        <v>0</v>
      </c>
      <c r="Q42" s="584">
        <f>SUMIF($Z$40:$Z$40,"industrie",Q40:Q40)</f>
        <v>0</v>
      </c>
      <c r="R42" s="584">
        <f>SUMIF($Z$40:$Z$40,"industrie",R40:R40)</f>
        <v>0</v>
      </c>
      <c r="S42" s="584">
        <f>SUMIF($Z$40:$Z$40,"industrie",S40:S40)</f>
        <v>0</v>
      </c>
      <c r="T42" s="584">
        <f>SUMIF($Z$40:$Z$40,"industrie",T40:T40)</f>
        <v>0</v>
      </c>
      <c r="U42" s="584">
        <f>SUMIF($Z$40:$Z$40,"industrie",U40:U40)</f>
        <v>0</v>
      </c>
      <c r="V42" s="584">
        <f>SUMIF($Z$40:$Z$40,"industrie",V40:V40)</f>
        <v>0</v>
      </c>
      <c r="W42" s="584">
        <f>SUMIF($Z$40:$Z$40,"industrie",W40:W40)</f>
        <v>0</v>
      </c>
      <c r="X42" s="585"/>
      <c r="Y42" s="585"/>
      <c r="Z42" s="586"/>
    </row>
    <row r="43" spans="1:27" s="564" customFormat="1">
      <c r="A43" s="582" t="s">
        <v>287</v>
      </c>
      <c r="B43" s="583"/>
      <c r="C43" s="583"/>
      <c r="D43" s="583"/>
      <c r="E43" s="583"/>
      <c r="F43" s="583"/>
      <c r="G43" s="583"/>
      <c r="H43" s="583"/>
      <c r="I43" s="583"/>
      <c r="J43" s="583"/>
      <c r="K43" s="583"/>
      <c r="L43" s="584"/>
      <c r="M43" s="584">
        <f>SUMIF($Z$40:$Z$41,"tertiair",M40:M41)</f>
        <v>0</v>
      </c>
      <c r="N43" s="584">
        <f>SUMIF($Z$40:$Z$41,"tertiair",N40:N41)</f>
        <v>0</v>
      </c>
      <c r="O43" s="584">
        <f>SUMIF($Z$40:$Z$41,"tertiair",O40:O41)</f>
        <v>0</v>
      </c>
      <c r="P43" s="584">
        <f>SUMIF($Z$40:$Z$41,"tertiair",P40:P41)</f>
        <v>0</v>
      </c>
      <c r="Q43" s="584">
        <f>SUMIF($Z$40:$Z$41,"tertiair",Q40:Q41)</f>
        <v>0</v>
      </c>
      <c r="R43" s="584">
        <f>SUMIF($Z$40:$Z$41,"tertiair",R40:R41)</f>
        <v>0</v>
      </c>
      <c r="S43" s="584">
        <f>SUMIF($Z$40:$Z$41,"tertiair",S40:S41)</f>
        <v>0</v>
      </c>
      <c r="T43" s="584">
        <f>SUMIF($Z$40:$Z$41,"tertiair",T40:T41)</f>
        <v>0</v>
      </c>
      <c r="U43" s="584">
        <f>SUMIF($Z$40:$Z$41,"tertiair",U40:U41)</f>
        <v>0</v>
      </c>
      <c r="V43" s="584">
        <f>SUMIF($Z$40:$Z$41,"tertiair",V40:V41)</f>
        <v>0</v>
      </c>
      <c r="W43" s="584">
        <f>SUMIF($Z$40:$Z$41,"tertiair",W40:W41)</f>
        <v>0</v>
      </c>
      <c r="X43" s="585"/>
      <c r="Y43" s="585"/>
      <c r="Z43" s="586"/>
    </row>
    <row r="44" spans="1:27" s="564" customFormat="1" ht="15.75" thickBot="1">
      <c r="A44" s="587" t="s">
        <v>288</v>
      </c>
      <c r="B44" s="588"/>
      <c r="C44" s="588"/>
      <c r="D44" s="588"/>
      <c r="E44" s="588"/>
      <c r="F44" s="588"/>
      <c r="G44" s="588"/>
      <c r="H44" s="588"/>
      <c r="I44" s="588"/>
      <c r="J44" s="588"/>
      <c r="K44" s="588"/>
      <c r="L44" s="589"/>
      <c r="M44" s="589">
        <f>SUMIF($Z$40:$Z$42,"landbouw",M40:M42)</f>
        <v>0</v>
      </c>
      <c r="N44" s="589">
        <f>SUMIF($Z$40:$Z$42,"landbouw",N40:N42)</f>
        <v>0</v>
      </c>
      <c r="O44" s="589">
        <f>SUMIF($Z$40:$Z$42,"landbouw",O40:O42)</f>
        <v>0</v>
      </c>
      <c r="P44" s="589">
        <f>SUMIF($Z$40:$Z$42,"landbouw",P40:P42)</f>
        <v>0</v>
      </c>
      <c r="Q44" s="589">
        <f>SUMIF($Z$40:$Z$42,"landbouw",Q40:Q42)</f>
        <v>0</v>
      </c>
      <c r="R44" s="589">
        <f>SUMIF($Z$40:$Z$42,"landbouw",R40:R42)</f>
        <v>0</v>
      </c>
      <c r="S44" s="589">
        <f>SUMIF($Z$40:$Z$42,"landbouw",S40:S42)</f>
        <v>0</v>
      </c>
      <c r="T44" s="589">
        <f>SUMIF($Z$40:$Z$42,"landbouw",T40:T42)</f>
        <v>0</v>
      </c>
      <c r="U44" s="589">
        <f>SUMIF($Z$40:$Z$42,"landbouw",U40:U42)</f>
        <v>0</v>
      </c>
      <c r="V44" s="589">
        <f>SUMIF($Z$40:$Z$42,"landbouw",V40:V42)</f>
        <v>0</v>
      </c>
      <c r="W44" s="589">
        <f>SUMIF($Z$40:$Z$42,"landbouw",W40:W42)</f>
        <v>0</v>
      </c>
      <c r="X44" s="590"/>
      <c r="Y44" s="590"/>
      <c r="Z44" s="591"/>
    </row>
    <row r="45" spans="1:27" s="596" customForma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row>
    <row r="46" spans="1:27" s="596" customFormat="1" ht="15.75" thickBot="1">
      <c r="A46" s="592"/>
      <c r="B46" s="576"/>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row>
    <row r="47" spans="1:27">
      <c r="A47" s="597" t="s">
        <v>281</v>
      </c>
      <c r="B47" s="598"/>
      <c r="C47" s="598"/>
      <c r="D47" s="598"/>
      <c r="E47" s="598"/>
      <c r="F47" s="598"/>
      <c r="G47" s="598"/>
      <c r="H47" s="598"/>
      <c r="I47" s="599"/>
      <c r="J47" s="600"/>
      <c r="K47" s="600"/>
      <c r="L47" s="601"/>
      <c r="M47" s="601"/>
      <c r="N47" s="601"/>
      <c r="O47" s="601"/>
      <c r="P47" s="601"/>
    </row>
    <row r="48" spans="1:27">
      <c r="A48" s="603"/>
      <c r="B48" s="593"/>
      <c r="C48" s="593"/>
      <c r="D48" s="593"/>
      <c r="E48" s="593"/>
      <c r="F48" s="593"/>
      <c r="G48" s="593"/>
      <c r="H48" s="593"/>
      <c r="I48" s="604"/>
      <c r="J48" s="593"/>
      <c r="K48" s="593"/>
      <c r="L48" s="601"/>
      <c r="M48" s="601"/>
      <c r="N48" s="601"/>
      <c r="O48" s="601"/>
      <c r="P48" s="601"/>
    </row>
    <row r="49" spans="1:16">
      <c r="A49" s="605"/>
      <c r="B49" s="606" t="s">
        <v>282</v>
      </c>
      <c r="C49" s="606" t="s">
        <v>283</v>
      </c>
      <c r="D49" s="606"/>
      <c r="E49" s="606"/>
      <c r="F49" s="606"/>
      <c r="G49" s="606"/>
      <c r="H49" s="606"/>
      <c r="I49" s="607"/>
      <c r="J49" s="606"/>
      <c r="K49" s="606"/>
      <c r="L49" s="606"/>
      <c r="M49" s="606"/>
      <c r="N49" s="606"/>
      <c r="O49" s="606"/>
      <c r="P49" s="601"/>
    </row>
    <row r="50" spans="1:16">
      <c r="A50" s="603" t="s">
        <v>279</v>
      </c>
      <c r="B50" s="608">
        <f>IF(ISERROR(O34/(O34+N34)),0,O34/(O34+N34))</f>
        <v>0.58823529411764708</v>
      </c>
      <c r="C50" s="609">
        <f>IF(ISERROR(N34/(O34+N34)),0,N34/(N34+O34))</f>
        <v>0.41176470588235292</v>
      </c>
      <c r="D50" s="576"/>
      <c r="E50" s="576"/>
      <c r="F50" s="576"/>
      <c r="G50" s="576"/>
      <c r="H50" s="576"/>
      <c r="I50" s="610"/>
      <c r="J50" s="576"/>
      <c r="K50" s="576"/>
      <c r="L50" s="611"/>
      <c r="M50" s="611"/>
      <c r="N50" s="611"/>
      <c r="O50" s="611"/>
      <c r="P50" s="601"/>
    </row>
    <row r="51" spans="1:16">
      <c r="A51" s="603"/>
      <c r="B51" s="612"/>
      <c r="C51" s="612"/>
      <c r="D51" s="612"/>
      <c r="E51" s="612"/>
      <c r="F51" s="612"/>
      <c r="G51" s="612"/>
      <c r="H51" s="612"/>
      <c r="I51" s="613"/>
      <c r="J51" s="612"/>
      <c r="K51" s="612"/>
      <c r="L51" s="614"/>
      <c r="M51" s="614"/>
      <c r="N51" s="614"/>
      <c r="O51" s="614"/>
      <c r="P51" s="601"/>
    </row>
    <row r="52" spans="1:16" ht="30">
      <c r="A52" s="615"/>
      <c r="B52" s="616" t="s">
        <v>536</v>
      </c>
      <c r="C52" s="616" t="s">
        <v>102</v>
      </c>
      <c r="D52" s="616" t="s">
        <v>103</v>
      </c>
      <c r="E52" s="616" t="s">
        <v>104</v>
      </c>
      <c r="F52" s="616" t="s">
        <v>105</v>
      </c>
      <c r="G52" s="616" t="s">
        <v>106</v>
      </c>
      <c r="H52" s="616" t="s">
        <v>107</v>
      </c>
      <c r="I52" s="617" t="s">
        <v>108</v>
      </c>
      <c r="J52" s="606"/>
      <c r="K52" s="606"/>
      <c r="L52" s="614"/>
      <c r="M52" s="614"/>
      <c r="N52" s="614"/>
      <c r="O52" s="601"/>
      <c r="P52" s="601"/>
    </row>
    <row r="53" spans="1:16">
      <c r="A53" s="605" t="s">
        <v>284</v>
      </c>
      <c r="B53" s="618">
        <f t="shared" ref="B53:I53" si="2">$C$50*P34</f>
        <v>79.411764705882348</v>
      </c>
      <c r="C53" s="618">
        <f t="shared" si="2"/>
        <v>12805.411764705885</v>
      </c>
      <c r="D53" s="618">
        <f t="shared" si="2"/>
        <v>0</v>
      </c>
      <c r="E53" s="618">
        <f t="shared" si="2"/>
        <v>0</v>
      </c>
      <c r="F53" s="618">
        <f t="shared" si="2"/>
        <v>0</v>
      </c>
      <c r="G53" s="618">
        <f t="shared" si="2"/>
        <v>0</v>
      </c>
      <c r="H53" s="618">
        <f t="shared" si="2"/>
        <v>0</v>
      </c>
      <c r="I53" s="619">
        <f t="shared" si="2"/>
        <v>0</v>
      </c>
      <c r="J53" s="576"/>
      <c r="K53" s="576"/>
      <c r="L53" s="614"/>
      <c r="M53" s="614"/>
      <c r="N53" s="614"/>
      <c r="O53" s="601"/>
      <c r="P53" s="601"/>
    </row>
    <row r="54" spans="1:16" ht="15.75" thickBot="1">
      <c r="A54" s="620" t="s">
        <v>285</v>
      </c>
      <c r="B54" s="621">
        <f t="shared" ref="B54:I54" si="3">$B$50*P34</f>
        <v>113.44537815126051</v>
      </c>
      <c r="C54" s="621">
        <f t="shared" si="3"/>
        <v>18293.445378151264</v>
      </c>
      <c r="D54" s="621">
        <f t="shared" si="3"/>
        <v>0</v>
      </c>
      <c r="E54" s="621">
        <f t="shared" si="3"/>
        <v>0</v>
      </c>
      <c r="F54" s="621">
        <f t="shared" si="3"/>
        <v>0</v>
      </c>
      <c r="G54" s="621">
        <f t="shared" si="3"/>
        <v>0</v>
      </c>
      <c r="H54" s="621">
        <f t="shared" si="3"/>
        <v>0</v>
      </c>
      <c r="I54" s="622">
        <f t="shared" si="3"/>
        <v>0</v>
      </c>
      <c r="J54" s="576"/>
      <c r="K54" s="576"/>
      <c r="L54" s="614"/>
      <c r="M54" s="614"/>
      <c r="N54" s="614"/>
      <c r="O54" s="601"/>
      <c r="P54" s="601"/>
    </row>
    <row r="55" spans="1:16">
      <c r="J55" s="562"/>
      <c r="K55" s="562"/>
      <c r="L55" s="562"/>
      <c r="M55" s="562"/>
      <c r="N55" s="562"/>
    </row>
    <row r="56" spans="1:16">
      <c r="J56" s="562"/>
      <c r="K56" s="562"/>
      <c r="L56" s="562"/>
      <c r="M56" s="562"/>
      <c r="N56"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2020-06-20T15:59:56Z</dcterms:modified>
</cp:coreProperties>
</file>