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C9" i="18" s="1"/>
  <c r="D77" i="14" s="1"/>
  <c r="D9" i="59" s="1"/>
  <c r="O40" i="18"/>
  <c r="N40" i="18"/>
  <c r="B9" i="18" s="1"/>
  <c r="M40" i="18"/>
  <c r="W36" i="18"/>
  <c r="V36" i="18"/>
  <c r="U36" i="18"/>
  <c r="L6" i="17" s="1"/>
  <c r="T36" i="18"/>
  <c r="S36" i="18"/>
  <c r="R36" i="18"/>
  <c r="Q36" i="18"/>
  <c r="P36" i="18"/>
  <c r="O36" i="18"/>
  <c r="N36" i="18"/>
  <c r="M36" i="18"/>
  <c r="W35" i="18"/>
  <c r="V35" i="18"/>
  <c r="U35" i="18"/>
  <c r="T35" i="18"/>
  <c r="S35" i="18"/>
  <c r="F13" i="15" s="1"/>
  <c r="R35" i="18"/>
  <c r="Q35" i="18"/>
  <c r="P35" i="18"/>
  <c r="D13" i="15" s="1"/>
  <c r="O35" i="18"/>
  <c r="C13" i="15" s="1"/>
  <c r="N35" i="18"/>
  <c r="B13" i="15" s="1"/>
  <c r="M35" i="18"/>
  <c r="W34" i="18"/>
  <c r="V34" i="18"/>
  <c r="U34" i="18"/>
  <c r="T34" i="18"/>
  <c r="S34" i="18"/>
  <c r="R34" i="18"/>
  <c r="Q34" i="18"/>
  <c r="P34" i="18"/>
  <c r="O34" i="18"/>
  <c r="N34" i="18"/>
  <c r="M34" i="18"/>
  <c r="W33" i="18"/>
  <c r="V33" i="18"/>
  <c r="U33" i="18"/>
  <c r="T33" i="18"/>
  <c r="S33" i="18"/>
  <c r="R33" i="18"/>
  <c r="Q33" i="18"/>
  <c r="P33" i="18"/>
  <c r="O33" i="18"/>
  <c r="N33" i="18"/>
  <c r="B8" i="18" s="1"/>
  <c r="M33"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9" i="18"/>
  <c r="G53" i="18" s="1"/>
  <c r="I9" i="18"/>
  <c r="I77" i="14" s="1"/>
  <c r="I9" i="59" s="1"/>
  <c r="B17" i="18"/>
  <c r="B20" i="18" s="1"/>
  <c r="C6" i="17"/>
  <c r="E10" i="59"/>
  <c r="G77" i="14"/>
  <c r="G9" i="59" s="1"/>
  <c r="G10" i="59" s="1"/>
  <c r="J9" i="18"/>
  <c r="J77" i="14" s="1"/>
  <c r="J9" i="59" s="1"/>
  <c r="E20" i="59"/>
  <c r="C49" i="18"/>
  <c r="I52"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3" i="18"/>
  <c r="H17" i="18" s="1"/>
  <c r="E53" i="18"/>
  <c r="E17" i="18" s="1"/>
  <c r="H53" i="18"/>
  <c r="D53"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2" i="18" l="1"/>
  <c r="B53" i="18"/>
  <c r="C17" i="18" s="1"/>
  <c r="B52" i="18"/>
  <c r="C8" i="18" s="1"/>
  <c r="C10" i="18" s="1"/>
  <c r="F53" i="18"/>
  <c r="C53" i="18"/>
  <c r="J17" i="18" s="1"/>
  <c r="O9" i="18"/>
  <c r="G78" i="14"/>
  <c r="C77" i="14"/>
  <c r="C9" i="59" s="1"/>
  <c r="F52" i="18"/>
  <c r="H52" i="18"/>
  <c r="C52" i="18"/>
  <c r="E52" i="18"/>
  <c r="E8" i="18" s="1"/>
  <c r="F76" i="14" s="1"/>
  <c r="F8" i="59" s="1"/>
  <c r="F10" i="59" s="1"/>
  <c r="B77" i="14"/>
  <c r="B9" i="59" s="1"/>
  <c r="G52"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E22" i="16" s="1"/>
  <c r="F43" i="14" s="1"/>
  <c r="F46" i="14" s="1"/>
  <c r="F61" i="14" s="1"/>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R22" i="14"/>
  <c r="G33" i="48"/>
  <c r="E23" i="48"/>
  <c r="E8" i="48"/>
  <c r="E26" i="48" s="1"/>
  <c r="E33" i="48" s="1"/>
  <c r="F13" i="14"/>
  <c r="F16" i="14" s="1"/>
  <c r="F27" i="14" s="1"/>
  <c r="F63" i="14" s="1"/>
  <c r="N8" i="48"/>
  <c r="N26" i="48" s="1"/>
  <c r="O13" i="14"/>
  <c r="N22" i="16"/>
  <c r="O43" i="14" s="1"/>
  <c r="G13" i="14"/>
  <c r="F8" i="48"/>
  <c r="J26" i="48" l="1"/>
  <c r="J33" i="48" s="1"/>
  <c r="J15" i="48"/>
  <c r="E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<sst xmlns="http://schemas.openxmlformats.org/spreadsheetml/2006/main" count="2461" uniqueCount="921">
  <si>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</si>
  <si>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</si>
  <si>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</si>
  <si>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</si>
  <si>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</si>
  <si>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</si>
  <si>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</si>
  <si>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</si>
  <si>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</si>
  <si>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</si>
  <si>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</si>
  <si>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</si>
  <si>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</si>
  <si>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</si>
  <si>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</si>
  <si>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</si>
  <si>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</si>
  <si>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</si>
  <si>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</si>
  <si>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</si>
  <si>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</si>
  <si>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</si>
  <si>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</si>
  <si>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</si>
  <si>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</si>
  <si>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</si>
  <si>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</si>
  <si>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</si>
  <si>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</si>
  <si>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</si>
  <si>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</si>
  <si>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</si>
  <si>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</si>
  <si>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</si>
  <si>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</si>
  <si>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</si>
  <si>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</si>
  <si>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</si>
  <si>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</si>
  <si>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</si>
  <si>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</si>
  <si>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</si>
  <si>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</si>
  <si>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</si>
  <si>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</si>
  <si>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</si>
  <si>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</si>
  <si>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</si>
  <si>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</si>
  <si>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</si>
  <si>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</si>
  <si>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</si>
  <si>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</si>
  <si>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</si>
  <si>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</si>
  <si>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</si>
  <si>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</si>
  <si>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</si>
  <si>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</si>
  <si>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</si>
  <si>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</si>
  <si>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</si>
  <si>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</si>
  <si>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</si>
  <si>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</si>
  <si>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</si>
  <si>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</si>
  <si>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</si>
  <si>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</si>
  <si>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</si>
  <si>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</si>
  <si>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</si>
  <si>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</si>
  <si>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</si>
  <si>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</si>
  <si>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</si>
  <si>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</si>
  <si>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</si>
  <si>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</si>
  <si>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</si>
  <si>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</si>
  <si>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</si>
  <si>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</si>
  <si>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</si>
  <si>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</si>
  <si>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</si>
  <si>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</si>
  <si>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</si>
  <si>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</si>
  <si>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</si>
  <si>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</si>
  <si>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</si>
  <si>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</si>
  <si>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</si>
  <si>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</si>
  <si>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</si>
  <si>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</si>
  <si>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</si>
  <si>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</si>
  <si>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</si>
  <si>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</si>
  <si>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</si>
  <si>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</si>
  <si>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</si>
  <si>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</si>
  <si>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</si>
  <si>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</si>
  <si>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</si>
  <si>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</si>
  <si>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</si>
  <si>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</si>
  <si>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</si>
  <si>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</si>
  <si>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</si>
  <si>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</si>
  <si>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</si>
  <si>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</si>
  <si>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</si>
  <si>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</si>
  <si>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</si>
  <si>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</si>
  <si>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</si>
  <si>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</si>
  <si>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</si>
  <si>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</si>
  <si>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</si>
  <si>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</si>
  <si>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</si>
  <si>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</si>
  <si>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</si>
  <si>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</si>
  <si>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</si>
  <si>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</si>
  <si>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</si>
  <si>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</si>
  <si>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</si>
  <si>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</si>
  <si>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</si>
  <si>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</si>
  <si>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</si>
  <si>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</si>
  <si>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</si>
  <si>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</si>
  <si>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</si>
  <si>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</si>
  <si>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</si>
  <si>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</si>
  <si>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</si>
  <si>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</si>
  <si>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</si>
  <si>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</si>
  <si>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</si>
  <si>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</si>
  <si>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</si>
  <si>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</si>
  <si>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</si>
  <si>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</si>
  <si>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</si>
  <si>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</si>
  <si>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</si>
  <si>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</si>
  <si>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</si>
  <si>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</si>
  <si>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</si>
  <si>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</si>
  <si>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</si>
  <si>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</si>
  <si>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</si>
  <si>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</si>
  <si>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</si>
  <si>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</si>
  <si>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</si>
  <si>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</si>
  <si>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</si>
  <si>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</si>
  <si>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</si>
  <si>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</si>
  <si>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</si>
  <si>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</si>
  <si>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</si>
  <si>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</si>
  <si>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</si>
  <si>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</si>
  <si>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</si>
  <si>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</si>
  <si>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</si>
  <si>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</si>
  <si>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</si>
  <si>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</si>
  <si>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</si>
  <si>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</si>
  <si>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</si>
  <si>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</si>
  <si>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</si>
  <si>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</si>
  <si>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</si>
  <si>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</si>
  <si>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</si>
  <si>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</si>
  <si>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</si>
  <si>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</si>
  <si>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</si>
  <si>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</si>
  <si>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</si>
  <si>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</si>
  <si>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</si>
  <si>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</si>
  <si>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</si>
  <si>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</si>
  <si>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</si>
  <si>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</si>
  <si>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</si>
  <si>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</si>
  <si>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</si>
  <si>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</si>
  <si>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</si>
  <si>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</si>
  <si>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</si>
  <si>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</si>
  <si>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</si>
  <si>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</si>
  <si>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</si>
  <si>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</si>
  <si>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</si>
  <si>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</si>
  <si>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</si>
  <si>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</si>
  <si>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</si>
  <si>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</si>
  <si>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</si>
  <si>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</si>
  <si>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</si>
  <si>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</si>
  <si>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</si>
  <si>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</si>
  <si>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</si>
  <si>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</si>
  <si>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</si>
  <si>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</si>
  <si>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</si>
  <si>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</si>
  <si>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</si>
  <si>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</si>
  <si>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</si>
  <si>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</si>
  <si>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</si>
  <si>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</si>
  <si>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</si>
  <si>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</si>
  <si>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</si>
  <si>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</si>
  <si>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</si>
  <si>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</si>
  <si>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</si>
  <si>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</si>
  <si>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</si>
  <si>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</si>
  <si>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</si>
  <si>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</si>
  <si>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</si>
  <si>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</si>
  <si>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</si>
  <si>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</si>
  <si>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</si>
  <si>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</si>
  <si>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</si>
  <si>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</si>
  <si>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</si>
  <si>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</si>
  <si>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</si>
  <si>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</si>
  <si>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</si>
  <si>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</si>
  <si>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</si>
  <si>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</si>
  <si>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</si>
  <si>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</si>
  <si>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</si>
  <si>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</si>
  <si>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</si>
  <si>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</si>
  <si>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</si>
  <si>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</si>
  <si>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</si>
  <si>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</si>
  <si>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</si>
  <si>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</si>
  <si>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</si>
  <si>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</si>
  <si>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</si>
  <si>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</si>
  <si>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</si>
  <si>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</si>
  <si>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</si>
  <si>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</si>
  <si>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</si>
  <si>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</si>
  <si>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</si>
  <si>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</si>
  <si>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</si>
  <si>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</si>
  <si>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</si>
  <si>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</si>
  <si>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</si>
  <si>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</si>
  <si>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</si>
  <si>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</si>
  <si>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</si>
  <si>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</si>
  <si>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</si>
  <si>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</si>
  <si>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</si>
  <si>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</si>
  <si>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</si>
  <si>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</si>
  <si>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</si>
  <si>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</si>
  <si>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</si>
  <si>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</si>
  <si>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</si>
  <si>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</si>
  <si>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</si>
  <si>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</si>
  <si>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</si>
  <si>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</si>
  <si>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</si>
  <si>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</si>
  <si>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</si>
  <si>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</si>
  <si>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</si>
  <si>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</si>
  <si>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</si>
  <si>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</si>
  <si>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</si>
  <si>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</si>
  <si>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</si>
  <si>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</si>
  <si>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</si>
  <si>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</si>
  <si>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</si>
  <si>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</si>
  <si>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</si>
  <si>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</si>
  <si>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</si>
  <si>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</si>
  <si>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</si>
  <si>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</si>
  <si>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</si>
  <si>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</si>
  <si>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</si>
  <si>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</si>
  <si>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</si>
  <si>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</si>
  <si>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</si>
  <si>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</si>
  <si>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</si>
  <si>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</si>
  <si>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</si>
  <si>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</si>
  <si>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</si>
  <si>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</si>
  <si>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</si>
  <si>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</si>
  <si>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</si>
  <si>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</si>
  <si>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</si>
  <si>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</si>
  <si>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</si>
  <si>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</si>
  <si>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</si>
  <si>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</si>
  <si>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</si>
  <si>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</si>
  <si>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</si>
  <si>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</si>
  <si>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</si>
  <si>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</si>
  <si>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</si>
  <si>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</si>
  <si>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</si>
  <si>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</si>
  <si>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</si>
  <si>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</si>
  <si>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</si>
  <si>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</si>
  <si>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</si>
  <si>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</si>
  <si>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</si>
  <si>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</si>
  <si>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</si>
  <si>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</si>
  <si>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</si>
  <si>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</si>
  <si>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</si>
  <si>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</si>
  <si>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</si>
  <si>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</si>
  <si>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</si>
  <si>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</si>
  <si>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</si>
  <si>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</si>
  <si>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</si>
  <si>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</si>
  <si>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</si>
  <si>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</si>
  <si>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</si>
  <si>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</si>
  <si>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</si>
  <si>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</si>
  <si>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</si>
  <si>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</si>
  <si>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</si>
  <si>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</si>
  <si>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</si>
  <si>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</si>
  <si>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</si>
  <si>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</si>
  <si>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</si>
  <si>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</si>
  <si>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</si>
  <si>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</si>
  <si>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</si>
  <si>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</si>
  <si>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</si>
  <si>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</si>
  <si>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</si>
  <si>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</si>
  <si>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</si>
  <si>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</si>
  <si>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</si>
  <si>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</si>
  <si>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</si>
  <si>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</si>
  <si>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</si>
  <si>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</si>
  <si>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</si>
  <si>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</si>
  <si>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</si>
  <si>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</si>
  <si>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</si>
  <si>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</si>
  <si>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</si>
  <si>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</si>
  <si>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</si>
  <si>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</si>
  <si>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</si>
  <si>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</si>
  <si>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</si>
  <si>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</si>
  <si>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</si>
  <si>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</si>
  <si>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</si>
  <si>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</si>
  <si>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</si>
  <si>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</si>
  <si>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</si>
  <si>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</si>
  <si>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</si>
  <si>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</si>
  <si>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</si>
  <si>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</si>
  <si>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</si>
  <si>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</si>
  <si>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</si>
  <si>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</si>
  <si>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</si>
  <si>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</si>
  <si>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</si>
  <si>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</si>
  <si>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</si>
  <si>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</si>
  <si>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</si>
  <si>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</si>
  <si>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</si>
  <si>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</si>
  <si>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</si>
  <si>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</si>
  <si>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</si>
  <si>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</si>
  <si>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</si>
  <si>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</si>
  <si>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</si>
  <si>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</si>
  <si>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</si>
  <si>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</si>
  <si>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</si>
  <si>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</si>
  <si>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</si>
  <si>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</si>
  <si>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</si>
  <si>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</si>
  <si>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</si>
  <si>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</si>
  <si>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</si>
  <si>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</si>
  <si>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</si>
  <si>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</si>
  <si>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</si>
  <si>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</si>
  <si>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</si>
  <si>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</si>
  <si>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</si>
  <si>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</si>
  <si>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</si>
  <si>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</si>
  <si>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</si>
  <si>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</si>
  <si>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</si>
  <si>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</si>
  <si>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</si>
  <si>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</si>
  <si>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</si>
  <si>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</si>
  <si>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</si>
  <si>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</si>
  <si>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</si>
  <si>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</si>
  <si>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</si>
  <si>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</si>
  <si>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</si>
  <si>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</si>
  <si>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</si>
  <si>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</si>
  <si>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</si>
  <si>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</si>
  <si>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</si>
  <si>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</si>
  <si>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</si>
  <si>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</si>
  <si>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</si>
  <si>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</si>
  <si>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</si>
  <si>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</si>
  <si>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</si>
  <si>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</si>
  <si>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</si>
  <si>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</si>
  <si>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</si>
  <si>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</si>
  <si>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</si>
  <si>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</si>
  <si>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</si>
  <si>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</si>
  <si>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</si>
  <si>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</si>
  <si>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</si>
  <si>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</si>
  <si>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</si>
  <si>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</si>
  <si>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</si>
  <si>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</si>
  <si>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</si>
  <si>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</si>
  <si>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</si>
  <si>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</si>
  <si>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</si>
  <si>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</si>
  <si>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</si>
  <si>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</si>
  <si>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</si>
  <si>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</si>
  <si>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</si>
  <si>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</si>
  <si>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</si>
  <si>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</si>
  <si>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</si>
  <si>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</si>
  <si>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</si>
  <si>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</si>
  <si>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</si>
  <si>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</si>
  <si>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</si>
  <si>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</si>
  <si>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</si>
  <si>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</si>
  <si>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</si>
  <si>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</si>
  <si>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</si>
  <si>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</si>
  <si>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</si>
  <si>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</si>
  <si>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</si>
  <si>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</si>
  <si>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</si>
  <si>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</si>
  <si>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</si>
  <si>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</si>
  <si>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</si>
  <si>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</si>
  <si>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</si>
  <si>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</si>
  <si>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</si>
  <si>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</si>
  <si>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</si>
  <si>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</si>
  <si>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</si>
  <si>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</si>
  <si>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</si>
  <si>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</si>
  <si>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</si>
  <si>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</si>
  <si>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</si>
  <si>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</si>
  <si>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</si>
  <si>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</si>
  <si>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</si>
  <si>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</si>
  <si>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</si>
  <si>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</si>
  <si>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</si>
  <si>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</si>
  <si>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</si>
  <si>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</si>
  <si>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</si>
  <si>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</si>
  <si>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</si>
  <si>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</si>
  <si>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</si>
  <si>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</si>
  <si>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</si>
  <si>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</si>
  <si>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</si>
  <si>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</si>
  <si>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</si>
  <si>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</si>
  <si>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</si>
  <si>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</si>
  <si>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</si>
  <si>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</si>
  <si>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</si>
  <si>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</si>
  <si>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</si>
  <si>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</si>
  <si>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</si>
  <si>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</si>
  <si>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</si>
  <si>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</si>
  <si>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</si>
  <si>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</si>
  <si>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</si>
  <si>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</si>
  <si>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</si>
  <si>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</si>
  <si>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</si>
  <si>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</si>
  <si>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</si>
  <si>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</si>
  <si>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</si>
  <si>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</si>
  <si>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</si>
  <si>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</si>
  <si>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</si>
  <si>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</si>
  <si>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</si>
  <si>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</si>
  <si>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</si>
  <si>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</si>
  <si>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</si>
  <si>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</si>
  <si>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</si>
  <si>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</si>
  <si>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</si>
  <si>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</si>
  <si>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</si>
  <si>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</si>
  <si>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</si>
  <si>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</si>
  <si>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</si>
  <si>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</si>
  <si>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</si>
  <si>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</si>
  <si>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</si>
  <si>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</si>
  <si>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</si>
  <si>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</si>
  <si>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</si>
  <si>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</si>
  <si>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</si>
  <si>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</si>
  <si>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</si>
  <si>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</si>
  <si>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</si>
  <si>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</si>
  <si>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</si>
  <si>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</si>
  <si>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</si>
  <si>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</si>
  <si>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</si>
  <si>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</si>
  <si>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</si>
  <si>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</si>
  <si>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</si>
  <si>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</si>
  <si>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</si>
  <si>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</si>
  <si>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</si>
  <si>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</si>
  <si>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</si>
  <si>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</si>
  <si>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</si>
  <si>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</si>
  <si>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</si>
  <si>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</si>
  <si>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</si>
  <si>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</si>
  <si>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</si>
  <si>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</si>
  <si>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</si>
  <si>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</si>
  <si>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</si>
  <si>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</si>
  <si>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</si>
  <si>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</si>
  <si>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</si>
  <si>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</si>
  <si>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</si>
  <si>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</si>
  <si>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</si>
  <si>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</si>
  <si>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</si>
  <si>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</si>
  <si>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</si>
  <si>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</si>
  <si>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</si>
  <si>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</si>
  <si>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</si>
  <si>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</si>
  <si>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</si>
  <si>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</si>
  <si>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</si>
  <si>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</si>
  <si>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</si>
  <si>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</si>
  <si>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</si>
  <si>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</si>
  <si>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</si>
  <si>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</si>
  <si>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</si>
  <si>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</si>
  <si>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</si>
  <si>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</si>
  <si>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</si>
  <si>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</si>
  <si>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</si>
  <si>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</si>
  <si>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</si>
  <si>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</si>
  <si>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</si>
  <si>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</si>
  <si>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</si>
  <si>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</si>
  <si>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</si>
  <si>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</si>
  <si>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</si>
  <si>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</si>
  <si>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</si>
  <si>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</si>
  <si>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</si>
  <si>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</si>
  <si>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</si>
  <si>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</si>
  <si>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</si>
  <si>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</si>
  <si>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</si>
  <si>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</si>
  <si>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</si>
  <si>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</si>
  <si>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</si>
  <si>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</si>
  <si>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</si>
  <si>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</si>
  <si>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</si>
  <si>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</si>
  <si>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</si>
  <si>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</si>
  <si>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</si>
  <si>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</si>
  <si>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</si>
  <si>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</si>
  <si>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</si>
  <si>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</si>
  <si>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</si>
  <si>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</si>
  <si>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</si>
  <si>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</si>
  <si>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</si>
  <si>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</si>
  <si>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</si>
  <si>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</si>
  <si>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</si>
  <si>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</si>
  <si>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</si>
  <si>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</si>
  <si>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</si>
  <si>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</si>
  <si>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</si>
  <si>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</si>
  <si>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</si>
  <si>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</si>
  <si>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</si>
  <si>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</si>
  <si>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</si>
  <si>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</si>
  <si>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</si>
  <si>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</si>
  <si>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</si>
  <si>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</si>
  <si>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</si>
  <si>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</si>
  <si>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</si>
  <si>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</si>
  <si>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</si>
  <si>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</si>
  <si>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</si>
  <si>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</si>
  <si>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</si>
  <si>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</si>
  <si>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</si>
  <si>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</si>
  <si>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</si>
  <si>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</si>
  <si>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</si>
  <si>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</si>
  <si>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</si>
  <si>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</si>
  <si>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</si>
  <si>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</si>
  <si>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</si>
  <si>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</si>
  <si>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</si>
  <si>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</si>
  <si>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</si>
  <si>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</si>
  <si>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</si>
  <si>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</si>
  <si>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</si>
  <si>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</si>
  <si>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</si>
  <si>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</si>
  <si>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</si>
  <si>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</si>
  <si>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</si>
  <si>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</si>
  <si>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</si>
  <si>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</si>
  <si>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</si>
  <si>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</si>
  <si>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</si>
  <si>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</si>
  <si>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</si>
  <si>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</si>
  <si>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</si>
  <si>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</si>
  <si>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</si>
  <si>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</si>
  <si>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</si>
  <si>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</si>
  <si>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</si>
  <si>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</si>
  <si>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</si>
  <si>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</si>
  <si>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</si>
  <si>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</si>
  <si>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</si>
  <si>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</si>
  <si>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</si>
  <si>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</si>
  <si>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</si>
  <si>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</si>
  <si>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</si>
  <si>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</si>
  <si>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</si>
  <si>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</si>
  <si>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</si>
  <si>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</si>
  <si>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</si>
  <si>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</si>
  <si>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</si>
  <si>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</si>
  <si>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</si>
  <si>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</si>
  <si>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</si>
  <si>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</si>
  <si>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</si>
  <si>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</si>
  <si>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</si>
  <si>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</si>
  <si>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</si>
  <si>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</si>
  <si>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</si>
  <si>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</si>
  <si>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</si>
  <si>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Paarden&amp;pony's 200 - 600 kg</t>
  </si>
  <si>
    <t>Paarden&amp;pony's &lt; 200 kg</t>
  </si>
  <si>
    <t>Fluvius</t>
  </si>
  <si>
    <t>referentietaak LNE (2017); Jaarverslag De Lijn</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</si>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</sst>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566858.90645640821</c:v>
                </c:pt>
                <c:pt idx="1">
                  <c:v>471602.99943763606</c:v>
                </c:pt>
                <c:pt idx="2">
                  <c:v>5279.5950000000003</c:v>
                </c:pt>
                <c:pt idx="3">
                  <c:v>10499.175669773729</c:v>
                </c:pt>
                <c:pt idx="4">
                  <c:v>233345.17452510982</c:v>
                </c:pt>
                <c:pt idx="5">
                  <c:v>637332.42116753687</c:v>
                </c:pt>
                <c:pt idx="6">
                  <c:v>17544.615892461483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566858.90645640821</c:v>
                </c:pt>
                <c:pt idx="1">
                  <c:v>471602.99943763606</c:v>
                </c:pt>
                <c:pt idx="2">
                  <c:v>5279.5950000000003</c:v>
                </c:pt>
                <c:pt idx="3">
                  <c:v>10499.175669773729</c:v>
                </c:pt>
                <c:pt idx="4">
                  <c:v>233345.17452510982</c:v>
                </c:pt>
                <c:pt idx="5">
                  <c:v>637332.42116753687</c:v>
                </c:pt>
                <c:pt idx="6">
                  <c:v>17544.615892461483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111491.71023264551</c:v>
                </c:pt>
                <c:pt idx="2">
                  <c:v>95950.74350572309</c:v>
                </c:pt>
                <c:pt idx="3">
                  <c:v>1048.8809938378377</c:v>
                </c:pt>
                <c:pt idx="4">
                  <c:v>2588.9251474368875</c:v>
                </c:pt>
                <c:pt idx="5">
                  <c:v>47906.667668546615</c:v>
                </c:pt>
                <c:pt idx="6">
                  <c:v>163072.17908884995</c:v>
                </c:pt>
                <c:pt idx="7">
                  <c:v>4543.6563003032379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111491.71023264551</c:v>
                </c:pt>
                <c:pt idx="2">
                  <c:v>95950.74350572309</c:v>
                </c:pt>
                <c:pt idx="3">
                  <c:v>1048.8809938378377</c:v>
                </c:pt>
                <c:pt idx="4">
                  <c:v>2588.9251474368875</c:v>
                </c:pt>
                <c:pt idx="5">
                  <c:v>47906.667668546615</c:v>
                </c:pt>
                <c:pt idx="6">
                  <c:v>163072.17908884995</c:v>
                </c:pt>
                <c:pt idx="7">
                  <c:v>4543.6563003032379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654</v>
      </c>
      <c r="B2" s="394"/>
      <c r="C2" s="395"/>
    </row>
    <row r="3" spans="1:7" s="11" customFormat="1" ht="15" customHeight="1">
      <c r="A3" s="93"/>
      <c r="B3" s="74"/>
      <c r="C3" s="94"/>
    </row>
    <row r="4" spans="1:7" s="11" customFormat="1" ht="15.75" customHeight="1" thickBot="1">
      <c r="A4" s="105" t="s">
        <v>889</v>
      </c>
      <c r="B4" s="106"/>
      <c r="C4" s="107"/>
    </row>
    <row r="5" spans="1:7" s="388" customFormat="1" ht="15.75" customHeight="1">
      <c r="A5" s="385" t="s">
        <v>0</v>
      </c>
      <c r="B5" s="386"/>
      <c r="C5" s="387"/>
    </row>
    <row r="6" spans="1:7" s="388" customFormat="1" ht="15" customHeight="1">
      <c r="A6" s="389" t="str">
        <f>txtNIS</f>
        <v>71022</v>
      </c>
      <c r="B6" s="390"/>
      <c r="C6" s="391"/>
    </row>
    <row r="7" spans="1:7" s="388" customFormat="1" ht="15.75" customHeight="1">
      <c r="A7" s="392" t="str">
        <f>txtMunicipality</f>
        <v>HASSELT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687</v>
      </c>
      <c r="B10" s="1061"/>
      <c r="C10" s="1062"/>
    </row>
    <row r="11" spans="1:7" s="382" customFormat="1" ht="15.75" thickBot="1">
      <c r="A11" s="405" t="s">
        <v>358</v>
      </c>
      <c r="B11" s="408"/>
      <c r="C11" s="409"/>
      <c r="G11" s="383"/>
    </row>
    <row r="12" spans="1:7">
      <c r="A12" s="44"/>
      <c r="B12" s="43"/>
      <c r="C12" s="96"/>
    </row>
    <row r="13" spans="1:7" s="382" customFormat="1">
      <c r="A13" s="752" t="s">
        <v>620</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686</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577</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580</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607</v>
      </c>
      <c r="B17" s="498">
        <f ca="1">'EF ele_warmte'!B12</f>
        <v>0.19866694203586405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580</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598</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607</v>
      </c>
      <c r="B29" s="499">
        <f ca="1">'EF ele_warmte'!B12</f>
        <v>0.19866694203586405</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568</v>
      </c>
      <c r="B10" s="501"/>
      <c r="C10" s="141" t="s">
        <v>181</v>
      </c>
      <c r="D10" s="144" t="s">
        <v>390</v>
      </c>
      <c r="I10" s="1185"/>
      <c r="K10" s="58"/>
    </row>
    <row r="11" spans="1:11" s="43" customFormat="1">
      <c r="A11" s="44" t="s">
        <v>569</v>
      </c>
      <c r="B11" s="47"/>
      <c r="D11" s="142" t="s">
        <v>391</v>
      </c>
      <c r="I11" s="1185"/>
      <c r="K11" s="58"/>
    </row>
    <row r="12" spans="1:11" s="43" customFormat="1">
      <c r="A12" s="44" t="s">
        <v>570</v>
      </c>
      <c r="B12" s="47"/>
      <c r="D12" s="142" t="s">
        <v>391</v>
      </c>
      <c r="I12" s="1185"/>
      <c r="K12" s="58"/>
    </row>
    <row r="13" spans="1:11" s="43" customFormat="1">
      <c r="A13" s="44"/>
      <c r="B13" s="451"/>
      <c r="D13" s="96"/>
      <c r="I13" s="1185"/>
    </row>
    <row r="14" spans="1:11" s="43" customFormat="1">
      <c r="A14" s="302" t="s">
        <v>567</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578</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568</v>
      </c>
      <c r="B31" s="501"/>
      <c r="C31" s="141" t="s">
        <v>181</v>
      </c>
      <c r="D31" s="144" t="s">
        <v>390</v>
      </c>
    </row>
    <row r="32" spans="1:11">
      <c r="A32" s="441" t="s">
        <v>569</v>
      </c>
      <c r="B32" s="47"/>
      <c r="C32" s="48"/>
      <c r="D32" s="142" t="s">
        <v>391</v>
      </c>
    </row>
    <row r="33" spans="1:11">
      <c r="A33" s="44"/>
      <c r="B33" s="48"/>
      <c r="C33" s="48"/>
      <c r="D33" s="142"/>
    </row>
    <row r="34" spans="1:11" s="43" customFormat="1">
      <c r="A34" s="302" t="s">
        <v>567</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571</v>
      </c>
      <c r="B50" s="47"/>
      <c r="C50" s="32"/>
      <c r="D50" s="143" t="s">
        <v>392</v>
      </c>
    </row>
    <row r="51" spans="1:4">
      <c r="A51" s="44" t="s">
        <v>572</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573</v>
      </c>
      <c r="B57" s="47"/>
      <c r="C57" s="32"/>
      <c r="D57" s="142" t="s">
        <v>154</v>
      </c>
    </row>
    <row r="58" spans="1:4">
      <c r="A58" s="44" t="s">
        <v>574</v>
      </c>
      <c r="B58" s="47"/>
      <c r="C58" s="32"/>
      <c r="D58" s="142" t="s">
        <v>155</v>
      </c>
    </row>
    <row r="59" spans="1:4">
      <c r="A59" s="44" t="s">
        <v>575</v>
      </c>
      <c r="B59" s="47"/>
      <c r="C59" s="48"/>
      <c r="D59" s="142" t="s">
        <v>388</v>
      </c>
    </row>
    <row r="60" spans="1:4">
      <c r="A60" s="44" t="s">
        <v>576</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593</v>
      </c>
      <c r="B1" s="633"/>
      <c r="C1" s="633"/>
      <c r="D1" s="633"/>
      <c r="E1" s="634"/>
    </row>
    <row r="2" spans="1:5">
      <c r="A2" s="645" t="s">
        <v>393</v>
      </c>
      <c r="B2" s="650" t="s">
        <v>516</v>
      </c>
      <c r="C2" s="646"/>
      <c r="D2" s="646"/>
      <c r="E2" s="647"/>
    </row>
    <row r="3" spans="1:5">
      <c r="A3" s="648"/>
      <c r="B3" s="649"/>
      <c r="C3" s="637"/>
      <c r="D3" s="637"/>
      <c r="E3" s="638"/>
    </row>
    <row r="4" spans="1:5" s="330" customFormat="1" ht="45">
      <c r="A4" s="636" t="s">
        <v>597</v>
      </c>
      <c r="B4" s="644" t="s">
        <v>586</v>
      </c>
      <c r="C4" s="665" t="s">
        <v>608</v>
      </c>
      <c r="D4" s="666" t="s">
        <v>609</v>
      </c>
      <c r="E4" s="667" t="s">
        <v>610</v>
      </c>
    </row>
    <row r="5" spans="1:5">
      <c r="A5" s="639" t="s">
        <v>587</v>
      </c>
      <c r="B5" s="631" t="s">
        <v>588</v>
      </c>
      <c r="C5" s="662">
        <v>3.678273E-2</v>
      </c>
      <c r="D5" s="663">
        <v>0.27778000000000003</v>
      </c>
      <c r="E5" s="655">
        <f>C5*D5</f>
        <v>1.0217506739400001E-2</v>
      </c>
    </row>
    <row r="6" spans="1:5">
      <c r="A6" s="639" t="s">
        <v>587</v>
      </c>
      <c r="B6" s="631" t="s">
        <v>589</v>
      </c>
      <c r="C6" s="662">
        <v>4.2278999999999997E-2</v>
      </c>
      <c r="D6" s="663">
        <v>0.27778000000000003</v>
      </c>
      <c r="E6" s="655">
        <f t="shared" ref="E6:E21" si="0">C6*D6</f>
        <v>1.174426062E-2</v>
      </c>
    </row>
    <row r="7" spans="1:5">
      <c r="A7" s="639" t="s">
        <v>587</v>
      </c>
      <c r="B7" s="631" t="s">
        <v>590</v>
      </c>
      <c r="C7" s="662">
        <v>42.279000000000003</v>
      </c>
      <c r="D7" s="663">
        <v>0.27778000000000003</v>
      </c>
      <c r="E7" s="655">
        <f t="shared" si="0"/>
        <v>11.744260620000002</v>
      </c>
    </row>
    <row r="8" spans="1:5">
      <c r="A8" s="639" t="s">
        <v>591</v>
      </c>
      <c r="B8" s="631" t="s">
        <v>588</v>
      </c>
      <c r="C8" s="662">
        <v>3.8573799999999998E-2</v>
      </c>
      <c r="D8" s="663">
        <v>0.27778000000000003</v>
      </c>
      <c r="E8" s="655">
        <f t="shared" si="0"/>
        <v>1.0715030164E-2</v>
      </c>
    </row>
    <row r="9" spans="1:5">
      <c r="A9" s="639" t="s">
        <v>591</v>
      </c>
      <c r="B9" s="631" t="s">
        <v>589</v>
      </c>
      <c r="C9" s="662">
        <v>4.0604000000000001E-2</v>
      </c>
      <c r="D9" s="663">
        <v>0.27778000000000003</v>
      </c>
      <c r="E9" s="655">
        <f t="shared" si="0"/>
        <v>1.1278979120000001E-2</v>
      </c>
    </row>
    <row r="10" spans="1:5">
      <c r="A10" s="639" t="s">
        <v>591</v>
      </c>
      <c r="B10" s="631" t="s">
        <v>590</v>
      </c>
      <c r="C10" s="662">
        <v>40.603999999999999</v>
      </c>
      <c r="D10" s="663">
        <v>0.27778000000000003</v>
      </c>
      <c r="E10" s="655">
        <f t="shared" si="0"/>
        <v>11.278979120000001</v>
      </c>
    </row>
    <row r="11" spans="1:5">
      <c r="A11" s="639" t="s">
        <v>611</v>
      </c>
      <c r="B11" s="631" t="s">
        <v>588</v>
      </c>
      <c r="C11" s="662">
        <v>2.3511000000000001E-2</v>
      </c>
      <c r="D11" s="663">
        <v>0.27778000000000003</v>
      </c>
      <c r="E11" s="655">
        <f t="shared" si="0"/>
        <v>6.5308855800000004E-3</v>
      </c>
    </row>
    <row r="12" spans="1:5">
      <c r="A12" s="639" t="s">
        <v>611</v>
      </c>
      <c r="B12" s="631" t="s">
        <v>589</v>
      </c>
      <c r="C12" s="662">
        <v>4.6100000000000002E-2</v>
      </c>
      <c r="D12" s="663">
        <v>0.27778000000000003</v>
      </c>
      <c r="E12" s="655">
        <f t="shared" si="0"/>
        <v>1.2805658000000001E-2</v>
      </c>
    </row>
    <row r="13" spans="1:5">
      <c r="A13" s="639" t="s">
        <v>611</v>
      </c>
      <c r="B13" s="631" t="s">
        <v>590</v>
      </c>
      <c r="C13" s="662">
        <v>46.1</v>
      </c>
      <c r="D13" s="663">
        <v>0.27778000000000003</v>
      </c>
      <c r="E13" s="655">
        <f t="shared" si="0"/>
        <v>12.805658000000001</v>
      </c>
    </row>
    <row r="14" spans="1:5">
      <c r="A14" s="639" t="s">
        <v>612</v>
      </c>
      <c r="B14" s="631" t="s">
        <v>588</v>
      </c>
      <c r="C14" s="662">
        <v>2.6525139999999999E-2</v>
      </c>
      <c r="D14" s="663">
        <v>0.27778000000000003</v>
      </c>
      <c r="E14" s="655">
        <f t="shared" si="0"/>
        <v>7.3681533892000009E-3</v>
      </c>
    </row>
    <row r="15" spans="1:5">
      <c r="A15" s="639" t="s">
        <v>612</v>
      </c>
      <c r="B15" s="631" t="s">
        <v>589</v>
      </c>
      <c r="C15" s="662">
        <v>4.5733000000000003E-2</v>
      </c>
      <c r="D15" s="663">
        <v>0.27778000000000003</v>
      </c>
      <c r="E15" s="655">
        <f t="shared" si="0"/>
        <v>1.2703712740000001E-2</v>
      </c>
    </row>
    <row r="16" spans="1:5">
      <c r="A16" s="639" t="s">
        <v>612</v>
      </c>
      <c r="B16" s="631" t="s">
        <v>590</v>
      </c>
      <c r="C16" s="662">
        <v>45.732999999999997</v>
      </c>
      <c r="D16" s="663">
        <v>0.27778000000000003</v>
      </c>
      <c r="E16" s="655">
        <f t="shared" si="0"/>
        <v>12.70371274</v>
      </c>
    </row>
    <row r="17" spans="1:10">
      <c r="A17" s="639" t="s">
        <v>595</v>
      </c>
      <c r="B17" s="631" t="s">
        <v>592</v>
      </c>
      <c r="C17" s="662">
        <v>3.2923000000000001E-2</v>
      </c>
      <c r="D17" s="663">
        <f>0.27778</f>
        <v>0.27778000000000003</v>
      </c>
      <c r="E17" s="655">
        <f t="shared" si="0"/>
        <v>9.1453509400000015E-3</v>
      </c>
    </row>
    <row r="18" spans="1:10">
      <c r="A18" s="639" t="s">
        <v>596</v>
      </c>
      <c r="B18" s="631" t="s">
        <v>592</v>
      </c>
      <c r="C18" s="662">
        <v>3.8852400000000002E-2</v>
      </c>
      <c r="D18" s="663">
        <f>0.27778</f>
        <v>0.27778000000000003</v>
      </c>
      <c r="E18" s="655">
        <f t="shared" si="0"/>
        <v>1.0792419672000002E-2</v>
      </c>
    </row>
    <row r="19" spans="1:10">
      <c r="A19" s="639" t="s">
        <v>599</v>
      </c>
      <c r="B19" s="631" t="s">
        <v>588</v>
      </c>
      <c r="C19" s="662">
        <v>2.4812460000000001E-2</v>
      </c>
      <c r="D19" s="663">
        <v>0.27778000000000003</v>
      </c>
      <c r="E19" s="655">
        <f t="shared" si="0"/>
        <v>6.8924051388000009E-3</v>
      </c>
    </row>
    <row r="20" spans="1:10">
      <c r="A20" s="639" t="s">
        <v>599</v>
      </c>
      <c r="B20" s="631" t="s">
        <v>589</v>
      </c>
      <c r="C20" s="662">
        <v>4.5948999999999997E-2</v>
      </c>
      <c r="D20" s="663">
        <v>0.27778000000000003</v>
      </c>
      <c r="E20" s="655">
        <f t="shared" si="0"/>
        <v>1.276371322E-2</v>
      </c>
    </row>
    <row r="21" spans="1:10">
      <c r="A21" s="639" t="s">
        <v>599</v>
      </c>
      <c r="B21" s="631" t="s">
        <v>590</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594</v>
      </c>
      <c r="B24" s="633"/>
      <c r="C24" s="633"/>
      <c r="D24" s="633"/>
      <c r="E24" s="634"/>
    </row>
    <row r="25" spans="1:10">
      <c r="A25" s="659" t="s">
        <v>393</v>
      </c>
      <c r="B25" s="1051" t="s">
        <v>876</v>
      </c>
      <c r="C25" s="637"/>
      <c r="D25" s="637"/>
      <c r="E25" s="638"/>
    </row>
    <row r="26" spans="1:10">
      <c r="A26" s="44"/>
      <c r="B26" s="43"/>
      <c r="C26" s="43"/>
      <c r="D26" s="43"/>
      <c r="E26" s="96"/>
    </row>
    <row r="27" spans="1:10" s="330" customFormat="1">
      <c r="A27" s="636" t="s">
        <v>597</v>
      </c>
      <c r="B27" s="644" t="s">
        <v>586</v>
      </c>
      <c r="C27" s="652"/>
      <c r="D27" s="651"/>
      <c r="E27" s="667" t="s">
        <v>601</v>
      </c>
    </row>
    <row r="28" spans="1:10">
      <c r="A28" s="639" t="s">
        <v>201</v>
      </c>
      <c r="B28" s="631" t="s">
        <v>588</v>
      </c>
      <c r="C28" s="653"/>
      <c r="D28" s="654"/>
      <c r="E28" s="661">
        <f>E29*0.84</f>
        <v>9.962166666666666E-3</v>
      </c>
      <c r="G28" s="635"/>
      <c r="H28" s="771"/>
      <c r="I28" s="771"/>
      <c r="J28" s="771"/>
    </row>
    <row r="29" spans="1:10">
      <c r="A29" s="639" t="s">
        <v>201</v>
      </c>
      <c r="B29" s="631" t="s">
        <v>589</v>
      </c>
      <c r="C29" s="653"/>
      <c r="D29" s="654"/>
      <c r="E29" s="661">
        <f>0.042695/3.6</f>
        <v>1.1859722222222221E-2</v>
      </c>
      <c r="F29" s="883"/>
      <c r="G29" s="635"/>
      <c r="H29" s="771"/>
      <c r="I29" s="771"/>
      <c r="J29" s="771"/>
    </row>
    <row r="30" spans="1:10">
      <c r="A30" s="639" t="s">
        <v>119</v>
      </c>
      <c r="B30" s="631" t="s">
        <v>588</v>
      </c>
      <c r="C30" s="653"/>
      <c r="D30" s="654"/>
      <c r="E30" s="661">
        <f>E31*0.75</f>
        <v>9.1195833333333337E-3</v>
      </c>
      <c r="H30" s="771"/>
      <c r="I30" s="771"/>
      <c r="J30" s="771"/>
    </row>
    <row r="31" spans="1:10">
      <c r="A31" s="639" t="s">
        <v>119</v>
      </c>
      <c r="B31" s="631" t="s">
        <v>589</v>
      </c>
      <c r="C31" s="653"/>
      <c r="D31" s="654"/>
      <c r="E31" s="661">
        <f>0.043774/3.6</f>
        <v>1.2159444444444445E-2</v>
      </c>
      <c r="H31" s="771"/>
      <c r="I31" s="771"/>
      <c r="J31" s="771"/>
    </row>
    <row r="32" spans="1:10">
      <c r="A32" s="639" t="s">
        <v>599</v>
      </c>
      <c r="B32" s="631" t="s">
        <v>588</v>
      </c>
      <c r="C32" s="653"/>
      <c r="D32" s="654"/>
      <c r="E32" s="661">
        <f>E33*0.52</f>
        <v>6.7259111111111118E-3</v>
      </c>
      <c r="H32" s="771"/>
    </row>
    <row r="33" spans="1:8">
      <c r="A33" s="639" t="s">
        <v>599</v>
      </c>
      <c r="B33" s="631" t="s">
        <v>589</v>
      </c>
      <c r="C33" s="653"/>
      <c r="D33" s="654"/>
      <c r="E33" s="661">
        <f>0.046564/3.6</f>
        <v>1.2934444444444445E-2</v>
      </c>
      <c r="H33" s="771"/>
    </row>
    <row r="34" spans="1:8">
      <c r="A34" s="639" t="s">
        <v>600</v>
      </c>
      <c r="B34" s="631" t="s">
        <v>588</v>
      </c>
      <c r="C34" s="653"/>
      <c r="D34" s="654"/>
      <c r="E34" s="661">
        <f>E35*0.175</f>
        <v>2.3333333333333331E-3</v>
      </c>
      <c r="H34" s="771"/>
    </row>
    <row r="35" spans="1:8">
      <c r="A35" s="639" t="s">
        <v>600</v>
      </c>
      <c r="B35" s="631" t="s">
        <v>589</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613</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718</v>
      </c>
      <c r="C21" s="131" t="s">
        <v>581</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550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550</v>
      </c>
      <c r="B4" s="330"/>
      <c r="C4" s="330"/>
      <c r="D4" s="330"/>
      <c r="E4" s="330"/>
      <c r="F4" s="330"/>
    </row>
    <row r="5" spans="1:6" ht="22.5">
      <c r="A5" s="1282" t="s">
        <v>551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34715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631</v>
      </c>
      <c r="D12" s="331"/>
      <c r="E12" s="331"/>
      <c r="F12" s="335"/>
    </row>
    <row r="13" spans="1:6" ht="16.5" thickTop="1" thickBot="1">
      <c r="A13" s="1288" t="s">
        <v>4</v>
      </c>
      <c r="B13" s="1289" t="s">
        <v>5</v>
      </c>
      <c r="C13" s="1289"/>
      <c r="D13" s="1289"/>
      <c r="E13" s="1289"/>
      <c r="F13" s="1290"/>
    </row>
    <row r="14" spans="1:6">
      <c r="A14" s="1291" t="s">
        <v>685</v>
      </c>
      <c r="B14" s="1292">
        <v>3114.12</v>
      </c>
      <c r="C14" s="330"/>
      <c r="D14" s="330"/>
      <c r="E14" s="330"/>
      <c r="F14" s="330"/>
    </row>
    <row r="15" spans="1:6">
      <c r="A15" s="1291" t="s">
        <v>183</v>
      </c>
      <c r="B15" s="1292">
        <v>3875</v>
      </c>
      <c r="C15" s="330"/>
      <c r="D15" s="330"/>
      <c r="E15" s="330"/>
      <c r="F15" s="330"/>
    </row>
    <row r="16" spans="1:6">
      <c r="A16" s="1291" t="s">
        <v>6</v>
      </c>
      <c r="B16" s="1292">
        <v>551</v>
      </c>
      <c r="C16" s="330"/>
      <c r="D16" s="330"/>
      <c r="E16" s="330"/>
      <c r="F16" s="330"/>
    </row>
    <row r="17" spans="1:6">
      <c r="A17" s="1291" t="s">
        <v>7</v>
      </c>
      <c r="B17" s="1292">
        <v>388</v>
      </c>
      <c r="C17" s="330"/>
      <c r="D17" s="330"/>
      <c r="E17" s="330"/>
      <c r="F17" s="330"/>
    </row>
    <row r="18" spans="1:6">
      <c r="A18" s="1291" t="s">
        <v>8</v>
      </c>
      <c r="B18" s="1292">
        <v>611</v>
      </c>
      <c r="C18" s="330"/>
      <c r="D18" s="330"/>
      <c r="E18" s="330"/>
      <c r="F18" s="330"/>
    </row>
    <row r="19" spans="1:6">
      <c r="A19" s="1291" t="s">
        <v>9</v>
      </c>
      <c r="B19" s="1292">
        <v>561</v>
      </c>
      <c r="C19" s="330"/>
      <c r="D19" s="330"/>
      <c r="E19" s="330"/>
      <c r="F19" s="330"/>
    </row>
    <row r="20" spans="1:6">
      <c r="A20" s="1291" t="s">
        <v>10</v>
      </c>
      <c r="B20" s="1292">
        <v>558</v>
      </c>
      <c r="C20" s="330"/>
      <c r="D20" s="330"/>
      <c r="E20" s="330"/>
      <c r="F20" s="330"/>
    </row>
    <row r="21" spans="1:6">
      <c r="A21" s="1291" t="s">
        <v>11</v>
      </c>
      <c r="B21" s="1292">
        <v>1091</v>
      </c>
      <c r="C21" s="330"/>
      <c r="D21" s="330"/>
      <c r="E21" s="330"/>
      <c r="F21" s="330"/>
    </row>
    <row r="22" spans="1:6">
      <c r="A22" s="1291" t="s">
        <v>12</v>
      </c>
      <c r="B22" s="1292">
        <v>4125</v>
      </c>
      <c r="C22" s="330"/>
      <c r="D22" s="330"/>
      <c r="E22" s="330"/>
      <c r="F22" s="330"/>
    </row>
    <row r="23" spans="1:6">
      <c r="A23" s="1291" t="s">
        <v>13</v>
      </c>
      <c r="B23" s="1292">
        <v>53</v>
      </c>
      <c r="C23" s="330"/>
      <c r="D23" s="330"/>
      <c r="E23" s="330"/>
      <c r="F23" s="330"/>
    </row>
    <row r="24" spans="1:6">
      <c r="A24" s="1291" t="s">
        <v>14</v>
      </c>
      <c r="B24" s="1292">
        <v>3</v>
      </c>
      <c r="C24" s="330"/>
      <c r="D24" s="330"/>
      <c r="E24" s="330"/>
      <c r="F24" s="330"/>
    </row>
    <row r="25" spans="1:6">
      <c r="A25" s="1291" t="s">
        <v>15</v>
      </c>
      <c r="B25" s="1292">
        <v>329</v>
      </c>
      <c r="C25" s="330"/>
      <c r="D25" s="330"/>
      <c r="E25" s="330"/>
      <c r="F25" s="330"/>
    </row>
    <row r="26" spans="1:6">
      <c r="A26" s="1291" t="s">
        <v>16</v>
      </c>
      <c r="B26" s="1292">
        <v>798</v>
      </c>
      <c r="C26" s="330"/>
      <c r="D26" s="330"/>
      <c r="E26" s="330"/>
      <c r="F26" s="330"/>
    </row>
    <row r="27" spans="1:6">
      <c r="A27" s="1291" t="s">
        <v>17</v>
      </c>
      <c r="B27" s="1292">
        <v>299</v>
      </c>
      <c r="C27" s="330"/>
      <c r="D27" s="330"/>
      <c r="E27" s="330"/>
      <c r="F27" s="330"/>
    </row>
    <row r="28" spans="1:6" s="43" customFormat="1">
      <c r="A28" s="1293" t="s">
        <v>18</v>
      </c>
      <c r="B28" s="1294">
        <v>50083</v>
      </c>
      <c r="C28" s="336"/>
      <c r="D28" s="336"/>
      <c r="E28" s="336"/>
      <c r="F28" s="336"/>
    </row>
    <row r="29" spans="1:6">
      <c r="A29" s="1293" t="s">
        <v>892</v>
      </c>
      <c r="B29" s="1294">
        <v>488</v>
      </c>
      <c r="C29" s="336"/>
      <c r="D29" s="336"/>
      <c r="E29" s="336"/>
      <c r="F29" s="336"/>
    </row>
    <row r="30" spans="1:6">
      <c r="A30" s="1286" t="s">
        <v>893</v>
      </c>
      <c r="B30" s="1295">
        <v>133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47</v>
      </c>
      <c r="F36" s="1292">
        <v>3432645</v>
      </c>
    </row>
    <row r="37" spans="1:6">
      <c r="A37" s="1291" t="s">
        <v>24</v>
      </c>
      <c r="B37" s="1291" t="s">
        <v>27</v>
      </c>
      <c r="C37" s="1292">
        <v>0</v>
      </c>
      <c r="D37" s="1292">
        <v>0</v>
      </c>
      <c r="E37" s="1292">
        <v>3</v>
      </c>
      <c r="F37" s="1292">
        <v>68925</v>
      </c>
    </row>
    <row r="38" spans="1:6">
      <c r="A38" s="1291" t="s">
        <v>24</v>
      </c>
      <c r="B38" s="1291" t="s">
        <v>28</v>
      </c>
      <c r="C38" s="1292">
        <v>5</v>
      </c>
      <c r="D38" s="1292">
        <v>3414283</v>
      </c>
      <c r="E38" s="1292">
        <v>0</v>
      </c>
      <c r="F38" s="1292">
        <v>512426</v>
      </c>
    </row>
    <row r="39" spans="1:6">
      <c r="A39" s="1291" t="s">
        <v>29</v>
      </c>
      <c r="B39" s="1291" t="s">
        <v>30</v>
      </c>
      <c r="C39" s="1292">
        <v>23045</v>
      </c>
      <c r="D39" s="1292">
        <v>323717253</v>
      </c>
      <c r="E39" s="1292">
        <v>35019</v>
      </c>
      <c r="F39" s="1292">
        <v>113374897</v>
      </c>
    </row>
    <row r="40" spans="1:6">
      <c r="A40" s="1291" t="s">
        <v>29</v>
      </c>
      <c r="B40" s="1291" t="s">
        <v>28</v>
      </c>
      <c r="C40" s="1292">
        <v>0</v>
      </c>
      <c r="D40" s="1292">
        <v>0</v>
      </c>
      <c r="E40" s="1292">
        <v>0</v>
      </c>
      <c r="F40" s="1292">
        <v>0</v>
      </c>
    </row>
    <row r="41" spans="1:6">
      <c r="A41" s="1291" t="s">
        <v>31</v>
      </c>
      <c r="B41" s="1291" t="s">
        <v>32</v>
      </c>
      <c r="C41" s="1292">
        <v>331</v>
      </c>
      <c r="D41" s="1292">
        <v>26389108</v>
      </c>
      <c r="E41" s="1292">
        <v>704</v>
      </c>
      <c r="F41" s="1292">
        <v>32690372</v>
      </c>
    </row>
    <row r="42" spans="1:6">
      <c r="A42" s="1291" t="s">
        <v>31</v>
      </c>
      <c r="B42" s="1291" t="s">
        <v>33</v>
      </c>
      <c r="C42" s="1292">
        <v>5</v>
      </c>
      <c r="D42" s="1292">
        <v>819356</v>
      </c>
      <c r="E42" s="1292">
        <v>11</v>
      </c>
      <c r="F42" s="1292">
        <v>1686588</v>
      </c>
    </row>
    <row r="43" spans="1:6">
      <c r="A43" s="1291" t="s">
        <v>31</v>
      </c>
      <c r="B43" s="1291" t="s">
        <v>34</v>
      </c>
      <c r="C43" s="1292">
        <v>0</v>
      </c>
      <c r="D43" s="1292">
        <v>0</v>
      </c>
      <c r="E43" s="1292">
        <v>0</v>
      </c>
      <c r="F43" s="1292">
        <v>0</v>
      </c>
    </row>
    <row r="44" spans="1:6">
      <c r="A44" s="1291" t="s">
        <v>31</v>
      </c>
      <c r="B44" s="1291" t="s">
        <v>35</v>
      </c>
      <c r="C44" s="1292">
        <v>31</v>
      </c>
      <c r="D44" s="1292">
        <v>4613048</v>
      </c>
      <c r="E44" s="1292">
        <v>92</v>
      </c>
      <c r="F44" s="1292">
        <v>3575437</v>
      </c>
    </row>
    <row r="45" spans="1:6">
      <c r="A45" s="1291" t="s">
        <v>31</v>
      </c>
      <c r="B45" s="1291" t="s">
        <v>36</v>
      </c>
      <c r="C45" s="1292">
        <v>10</v>
      </c>
      <c r="D45" s="1292">
        <v>79075174</v>
      </c>
      <c r="E45" s="1292">
        <v>17</v>
      </c>
      <c r="F45" s="1292">
        <v>15313097</v>
      </c>
    </row>
    <row r="46" spans="1:6">
      <c r="A46" s="1291" t="s">
        <v>31</v>
      </c>
      <c r="B46" s="1291" t="s">
        <v>37</v>
      </c>
      <c r="C46" s="1292">
        <v>0</v>
      </c>
      <c r="D46" s="1292">
        <v>0</v>
      </c>
      <c r="E46" s="1292">
        <v>0</v>
      </c>
      <c r="F46" s="1292">
        <v>0</v>
      </c>
    </row>
    <row r="47" spans="1:6">
      <c r="A47" s="1291" t="s">
        <v>31</v>
      </c>
      <c r="B47" s="1291" t="s">
        <v>38</v>
      </c>
      <c r="C47" s="1292">
        <v>15</v>
      </c>
      <c r="D47" s="1292">
        <v>3470106</v>
      </c>
      <c r="E47" s="1292">
        <v>21</v>
      </c>
      <c r="F47" s="1292">
        <v>3664195</v>
      </c>
    </row>
    <row r="48" spans="1:6">
      <c r="A48" s="1291" t="s">
        <v>31</v>
      </c>
      <c r="B48" s="1291" t="s">
        <v>28</v>
      </c>
      <c r="C48" s="1292">
        <v>0</v>
      </c>
      <c r="D48" s="1292">
        <v>29758</v>
      </c>
      <c r="E48" s="1292">
        <v>0</v>
      </c>
      <c r="F48" s="1292">
        <v>71662</v>
      </c>
    </row>
    <row r="49" spans="1:6">
      <c r="A49" s="1291" t="s">
        <v>31</v>
      </c>
      <c r="B49" s="1291" t="s">
        <v>39</v>
      </c>
      <c r="C49" s="1292">
        <v>12</v>
      </c>
      <c r="D49" s="1292">
        <v>330297</v>
      </c>
      <c r="E49" s="1292">
        <v>18</v>
      </c>
      <c r="F49" s="1292">
        <v>292368</v>
      </c>
    </row>
    <row r="50" spans="1:6">
      <c r="A50" s="1291" t="s">
        <v>31</v>
      </c>
      <c r="B50" s="1291" t="s">
        <v>40</v>
      </c>
      <c r="C50" s="1292">
        <v>43</v>
      </c>
      <c r="D50" s="1292">
        <v>11701456</v>
      </c>
      <c r="E50" s="1292">
        <v>74</v>
      </c>
      <c r="F50" s="1292">
        <v>10446679</v>
      </c>
    </row>
    <row r="51" spans="1:6">
      <c r="A51" s="1291" t="s">
        <v>41</v>
      </c>
      <c r="B51" s="1291" t="s">
        <v>42</v>
      </c>
      <c r="C51" s="1292">
        <v>26</v>
      </c>
      <c r="D51" s="1292">
        <v>1888804</v>
      </c>
      <c r="E51" s="1292">
        <v>115</v>
      </c>
      <c r="F51" s="1292">
        <v>1822919</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372</v>
      </c>
      <c r="F54" s="1292">
        <v>5279595</v>
      </c>
    </row>
    <row r="55" spans="1:6">
      <c r="A55" s="1291" t="s">
        <v>45</v>
      </c>
      <c r="B55" s="1291" t="s">
        <v>28</v>
      </c>
      <c r="C55" s="1292">
        <v>0</v>
      </c>
      <c r="D55" s="1292">
        <v>0</v>
      </c>
      <c r="E55" s="1292">
        <v>0</v>
      </c>
      <c r="F55" s="1292">
        <v>0</v>
      </c>
    </row>
    <row r="56" spans="1:6">
      <c r="A56" s="1291" t="s">
        <v>47</v>
      </c>
      <c r="B56" s="1291" t="s">
        <v>28</v>
      </c>
      <c r="C56" s="1292">
        <v>442</v>
      </c>
      <c r="D56" s="1292">
        <v>14210207</v>
      </c>
      <c r="E56" s="1292">
        <v>1198</v>
      </c>
      <c r="F56" s="1292">
        <v>5838049</v>
      </c>
    </row>
    <row r="57" spans="1:6">
      <c r="A57" s="1291" t="s">
        <v>48</v>
      </c>
      <c r="B57" s="1291" t="s">
        <v>49</v>
      </c>
      <c r="C57" s="1292">
        <v>286</v>
      </c>
      <c r="D57" s="1292">
        <v>20118443</v>
      </c>
      <c r="E57" s="1292">
        <v>563</v>
      </c>
      <c r="F57" s="1292">
        <v>16706355</v>
      </c>
    </row>
    <row r="58" spans="1:6">
      <c r="A58" s="1291" t="s">
        <v>48</v>
      </c>
      <c r="B58" s="1291" t="s">
        <v>50</v>
      </c>
      <c r="C58" s="1292">
        <v>236</v>
      </c>
      <c r="D58" s="1292">
        <v>34742515</v>
      </c>
      <c r="E58" s="1292">
        <v>349</v>
      </c>
      <c r="F58" s="1292">
        <v>16621674</v>
      </c>
    </row>
    <row r="59" spans="1:6">
      <c r="A59" s="1291" t="s">
        <v>48</v>
      </c>
      <c r="B59" s="1291" t="s">
        <v>51</v>
      </c>
      <c r="C59" s="1292">
        <v>725</v>
      </c>
      <c r="D59" s="1292">
        <v>36692606</v>
      </c>
      <c r="E59" s="1292">
        <v>1352</v>
      </c>
      <c r="F59" s="1292">
        <v>65744901</v>
      </c>
    </row>
    <row r="60" spans="1:6">
      <c r="A60" s="1291" t="s">
        <v>48</v>
      </c>
      <c r="B60" s="1291" t="s">
        <v>52</v>
      </c>
      <c r="C60" s="1292">
        <v>315</v>
      </c>
      <c r="D60" s="1292">
        <v>20382338</v>
      </c>
      <c r="E60" s="1292">
        <v>428</v>
      </c>
      <c r="F60" s="1292">
        <v>17417932</v>
      </c>
    </row>
    <row r="61" spans="1:6">
      <c r="A61" s="1291" t="s">
        <v>48</v>
      </c>
      <c r="B61" s="1291" t="s">
        <v>53</v>
      </c>
      <c r="C61" s="1292">
        <v>1197</v>
      </c>
      <c r="D61" s="1292">
        <v>93542882</v>
      </c>
      <c r="E61" s="1292">
        <v>2563</v>
      </c>
      <c r="F61" s="1292">
        <v>70242738</v>
      </c>
    </row>
    <row r="62" spans="1:6">
      <c r="A62" s="1291" t="s">
        <v>48</v>
      </c>
      <c r="B62" s="1291" t="s">
        <v>54</v>
      </c>
      <c r="C62" s="1292">
        <v>110</v>
      </c>
      <c r="D62" s="1292">
        <v>30121962</v>
      </c>
      <c r="E62" s="1292">
        <v>99</v>
      </c>
      <c r="F62" s="1292">
        <v>8710411</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1733813</v>
      </c>
      <c r="E65" s="1292">
        <v>0</v>
      </c>
      <c r="F65" s="1292">
        <v>11703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22</v>
      </c>
      <c r="D68" s="1295">
        <v>1891637</v>
      </c>
      <c r="E68" s="1295">
        <v>42</v>
      </c>
      <c r="F68" s="1295">
        <v>1059508</v>
      </c>
    </row>
    <row r="69" spans="1:6" ht="15.75" thickBot="1">
      <c r="A69" s="334"/>
      <c r="B69" s="330"/>
      <c r="C69" s="330"/>
      <c r="D69" s="330"/>
      <c r="E69" s="330"/>
      <c r="F69" s="330"/>
    </row>
    <row r="70" spans="1:6" ht="19.5">
      <c r="A70" s="1283" t="s">
        <v>60</v>
      </c>
      <c r="B70" s="331" t="s">
        <v>404</v>
      </c>
      <c r="C70" s="331" t="s">
        <v>735</v>
      </c>
      <c r="D70" s="331"/>
      <c r="E70" s="331"/>
      <c r="F70" s="335"/>
    </row>
    <row r="71" spans="1:6" ht="20.25" thickBot="1">
      <c r="A71" s="1302"/>
      <c r="B71" s="337"/>
      <c r="C71" s="337"/>
      <c r="D71" s="338" t="s">
        <v>444</v>
      </c>
      <c r="E71" s="337"/>
      <c r="F71" s="339"/>
    </row>
    <row r="72" spans="1:6" ht="16.5" thickTop="1" thickBot="1">
      <c r="A72" s="1288" t="s">
        <v>61</v>
      </c>
      <c r="B72" s="1289" t="s">
        <v>62</v>
      </c>
      <c r="C72" s="1303" t="s">
        <v>683</v>
      </c>
      <c r="D72" s="1304"/>
      <c r="E72" s="1304"/>
      <c r="F72" s="1290"/>
    </row>
    <row r="73" spans="1:6">
      <c r="A73" s="1291" t="s">
        <v>63</v>
      </c>
      <c r="B73" s="1291" t="s">
        <v>665</v>
      </c>
      <c r="C73" s="1305" t="s">
        <v>667</v>
      </c>
      <c r="D73" s="1306">
        <v>402543128</v>
      </c>
      <c r="E73" s="449"/>
      <c r="F73" s="330"/>
    </row>
    <row r="74" spans="1:6">
      <c r="A74" s="1291" t="s">
        <v>63</v>
      </c>
      <c r="B74" s="1291" t="s">
        <v>666</v>
      </c>
      <c r="C74" s="1305" t="s">
        <v>668</v>
      </c>
      <c r="D74" s="1306">
        <v>28613119.490554851</v>
      </c>
      <c r="E74" s="449"/>
      <c r="F74" s="330"/>
    </row>
    <row r="75" spans="1:6">
      <c r="A75" s="1291" t="s">
        <v>64</v>
      </c>
      <c r="B75" s="1291" t="s">
        <v>665</v>
      </c>
      <c r="C75" s="1305" t="s">
        <v>669</v>
      </c>
      <c r="D75" s="1306">
        <v>112487095</v>
      </c>
      <c r="E75" s="449"/>
      <c r="F75" s="330"/>
    </row>
    <row r="76" spans="1:6">
      <c r="A76" s="1291" t="s">
        <v>64</v>
      </c>
      <c r="B76" s="1291" t="s">
        <v>666</v>
      </c>
      <c r="C76" s="1305" t="s">
        <v>670</v>
      </c>
      <c r="D76" s="1306">
        <v>510324.49055484915</v>
      </c>
      <c r="E76" s="449"/>
      <c r="F76" s="330"/>
    </row>
    <row r="77" spans="1:6">
      <c r="A77" s="1291" t="s">
        <v>65</v>
      </c>
      <c r="B77" s="1291" t="s">
        <v>665</v>
      </c>
      <c r="C77" s="1305" t="s">
        <v>671</v>
      </c>
      <c r="D77" s="1306">
        <v>217837306</v>
      </c>
      <c r="E77" s="449"/>
      <c r="F77" s="330"/>
    </row>
    <row r="78" spans="1:6">
      <c r="A78" s="1286" t="s">
        <v>65</v>
      </c>
      <c r="B78" s="1286" t="s">
        <v>666</v>
      </c>
      <c r="C78" s="1286" t="s">
        <v>672</v>
      </c>
      <c r="D78" s="1307">
        <v>23257068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4760445.0188903017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552</v>
      </c>
      <c r="B89" s="1292">
        <v>0</v>
      </c>
      <c r="C89" s="330"/>
      <c r="D89" s="330"/>
      <c r="E89" s="330"/>
      <c r="F89" s="330"/>
    </row>
    <row r="90" spans="1:6">
      <c r="A90" s="1291" t="s">
        <v>553</v>
      </c>
      <c r="B90" s="1292">
        <v>15169.121137191971</v>
      </c>
      <c r="C90" s="330"/>
      <c r="D90" s="330"/>
      <c r="E90" s="330"/>
      <c r="F90" s="330"/>
    </row>
    <row r="91" spans="1:6">
      <c r="A91" s="1291" t="s">
        <v>67</v>
      </c>
      <c r="B91" s="1292">
        <v>13952.12195259536</v>
      </c>
      <c r="C91" s="330"/>
      <c r="D91" s="330"/>
      <c r="E91" s="330"/>
      <c r="F91" s="330"/>
    </row>
    <row r="92" spans="1:6">
      <c r="A92" s="1286" t="s">
        <v>68</v>
      </c>
      <c r="B92" s="1287">
        <v>10948.831933157975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12607</v>
      </c>
      <c r="C97" s="330"/>
      <c r="D97" s="330"/>
      <c r="E97" s="330"/>
      <c r="F97" s="330"/>
    </row>
    <row r="98" spans="1:6">
      <c r="A98" s="1291" t="s">
        <v>71</v>
      </c>
      <c r="B98" s="1292">
        <v>2</v>
      </c>
      <c r="C98" s="330"/>
      <c r="D98" s="330"/>
      <c r="E98" s="330"/>
      <c r="F98" s="330"/>
    </row>
    <row r="99" spans="1:6">
      <c r="A99" s="1291" t="s">
        <v>72</v>
      </c>
      <c r="B99" s="1292">
        <v>137</v>
      </c>
      <c r="C99" s="330"/>
      <c r="D99" s="330"/>
      <c r="E99" s="330"/>
      <c r="F99" s="330"/>
    </row>
    <row r="100" spans="1:6">
      <c r="A100" s="1291" t="s">
        <v>73</v>
      </c>
      <c r="B100" s="1292">
        <v>1808</v>
      </c>
      <c r="C100" s="330"/>
      <c r="D100" s="330"/>
      <c r="E100" s="330"/>
      <c r="F100" s="330"/>
    </row>
    <row r="101" spans="1:6">
      <c r="A101" s="1291" t="s">
        <v>74</v>
      </c>
      <c r="B101" s="1292">
        <v>132</v>
      </c>
      <c r="C101" s="330"/>
      <c r="D101" s="330"/>
      <c r="E101" s="330"/>
      <c r="F101" s="330"/>
    </row>
    <row r="102" spans="1:6">
      <c r="A102" s="1291" t="s">
        <v>75</v>
      </c>
      <c r="B102" s="1292">
        <v>416</v>
      </c>
      <c r="C102" s="330"/>
      <c r="D102" s="330"/>
      <c r="E102" s="330"/>
      <c r="F102" s="330"/>
    </row>
    <row r="103" spans="1:6">
      <c r="A103" s="1291" t="s">
        <v>76</v>
      </c>
      <c r="B103" s="1292">
        <v>298</v>
      </c>
      <c r="C103" s="330"/>
      <c r="D103" s="330"/>
      <c r="E103" s="330"/>
      <c r="F103" s="330"/>
    </row>
    <row r="104" spans="1:6">
      <c r="A104" s="1291" t="s">
        <v>77</v>
      </c>
      <c r="B104" s="1292">
        <v>12509</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649</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650</v>
      </c>
      <c r="B110" s="1292">
        <v>0</v>
      </c>
      <c r="C110" s="330"/>
      <c r="D110" s="330"/>
      <c r="E110" s="330"/>
      <c r="F110" s="330"/>
    </row>
    <row r="111" spans="1:6">
      <c r="A111" s="1312" t="s">
        <v>651</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72</v>
      </c>
      <c r="C123" s="1292">
        <v>142</v>
      </c>
      <c r="D123" s="330"/>
      <c r="E123" s="330"/>
      <c r="F123" s="330"/>
    </row>
    <row r="124" spans="1:6" s="43" customFormat="1">
      <c r="A124" s="1293" t="s">
        <v>88</v>
      </c>
      <c r="B124" s="1314">
        <v>3</v>
      </c>
      <c r="C124" s="1314">
        <v>5</v>
      </c>
      <c r="D124" s="336"/>
      <c r="E124" s="336"/>
      <c r="F124" s="336"/>
    </row>
    <row r="125" spans="1:6">
      <c r="A125" s="1286" t="s">
        <v>891</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501</v>
      </c>
      <c r="C129" s="330"/>
      <c r="D129" s="330"/>
      <c r="E129" s="330"/>
      <c r="F129" s="330"/>
    </row>
    <row r="130" spans="1:6">
      <c r="A130" s="1291" t="s">
        <v>294</v>
      </c>
      <c r="B130" s="1292">
        <v>7</v>
      </c>
      <c r="C130" s="330"/>
      <c r="D130" s="330"/>
      <c r="E130" s="330"/>
      <c r="F130" s="330"/>
    </row>
    <row r="131" spans="1:6">
      <c r="A131" s="1291" t="s">
        <v>295</v>
      </c>
      <c r="B131" s="1292">
        <v>9</v>
      </c>
      <c r="C131" s="330"/>
      <c r="D131" s="330"/>
      <c r="E131" s="330"/>
      <c r="F131" s="330"/>
    </row>
    <row r="132" spans="1:6">
      <c r="A132" s="1286" t="s">
        <v>296</v>
      </c>
      <c r="B132" s="1287">
        <v>84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704</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704</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705</v>
      </c>
      <c r="B44" s="506"/>
      <c r="E44" s="635"/>
      <c r="F44" s="635"/>
    </row>
    <row r="45" spans="1:14">
      <c r="A45" s="44"/>
      <c r="B45" s="506"/>
      <c r="E45" s="635"/>
      <c r="F45" s="635"/>
    </row>
    <row r="46" spans="1:14" ht="18">
      <c r="A46" s="137" t="s">
        <v>189</v>
      </c>
      <c r="B46" s="507" t="s">
        <v>579</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630</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706</v>
      </c>
    </row>
    <row r="5" spans="1:3" ht="15.75" thickBot="1">
      <c r="A5" s="900" t="s">
        <v>629</v>
      </c>
      <c r="B5" s="903">
        <v>673536</v>
      </c>
      <c r="C5" s="904" t="s">
        <v>684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662</v>
      </c>
      <c r="B6" s="414" t="s">
        <v>688</v>
      </c>
      <c r="C6" s="415" t="s">
        <v>357</v>
      </c>
    </row>
    <row r="7" spans="1:3" s="330" customFormat="1">
      <c r="A7" s="893" t="s">
        <v>689</v>
      </c>
      <c r="B7" s="416" t="s">
        <v>606</v>
      </c>
      <c r="C7" s="417" t="s">
        <v>605</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407088.93004474544</v>
      </c>
      <c r="C3" s="43" t="s">
        <v>169</v>
      </c>
      <c r="D3" s="43"/>
      <c r="E3" s="154"/>
      <c r="F3" s="43"/>
      <c r="G3" s="43"/>
      <c r="H3" s="43"/>
      <c r="I3" s="43"/>
      <c r="J3" s="43"/>
      <c r="K3" s="96"/>
    </row>
    <row r="4" spans="1:11">
      <c r="A4" s="358" t="s">
        <v>170</v>
      </c>
      <c r="B4" s="49">
        <f>IF(ISERROR('SEAP template'!B78+'SEAP template'!C78),0,'SEAP template'!B78+'SEAP template'!C78)</f>
        <v>43556.225022945306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760</v>
      </c>
      <c r="G6" s="43" t="s">
        <v>774</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534.38505882352968</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0.19866694203586405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763.40722689075653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3212.3571428571431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683</v>
      </c>
      <c r="B1" s="863" t="s">
        <v>307</v>
      </c>
      <c r="C1" s="863" t="s">
        <v>311</v>
      </c>
      <c r="D1" s="863" t="s">
        <v>312</v>
      </c>
      <c r="E1" s="863" t="s">
        <v>313</v>
      </c>
      <c r="F1" s="863" t="s">
        <v>314</v>
      </c>
      <c r="H1" s="1059" t="s">
        <v>886</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681</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681</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681</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681</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665</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665</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665</v>
      </c>
      <c r="C9" s="1053" t="s">
        <v>63</v>
      </c>
      <c r="D9" s="1053" t="s">
        <v>652</v>
      </c>
      <c r="E9" s="1053" t="s">
        <v>652</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665</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665</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665</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665</v>
      </c>
      <c r="C13" s="1053" t="s">
        <v>63</v>
      </c>
      <c r="D13" s="1053" t="s">
        <v>711</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665</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665</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665</v>
      </c>
      <c r="C16" s="1053" t="s">
        <v>64</v>
      </c>
      <c r="D16" s="1053" t="s">
        <v>652</v>
      </c>
      <c r="E16" s="1053" t="s">
        <v>652</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665</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665</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665</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665</v>
      </c>
      <c r="C20" s="1053" t="s">
        <v>64</v>
      </c>
      <c r="D20" s="1053" t="s">
        <v>711</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665</v>
      </c>
      <c r="C21" s="1053" t="s">
        <v>682</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665</v>
      </c>
      <c r="C22" s="1053" t="s">
        <v>682</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665</v>
      </c>
      <c r="C23" s="1053" t="s">
        <v>682</v>
      </c>
      <c r="D23" s="1053" t="s">
        <v>652</v>
      </c>
      <c r="E23" s="1053" t="s">
        <v>652</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665</v>
      </c>
      <c r="C24" s="1053" t="s">
        <v>682</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665</v>
      </c>
      <c r="C25" s="1053" t="s">
        <v>682</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665</v>
      </c>
      <c r="C26" s="1053" t="s">
        <v>682</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665</v>
      </c>
      <c r="C27" s="1053" t="s">
        <v>682</v>
      </c>
      <c r="D27" s="1053" t="s">
        <v>711</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666</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666</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666</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666</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666</v>
      </c>
      <c r="C32" s="1053" t="s">
        <v>682</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666</v>
      </c>
      <c r="C33" s="1053" t="s">
        <v>682</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701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660</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5279.5950000000003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0.19866694203586405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1048.8809938378377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113374.897</v>
      </c>
      <c r="C5" s="17">
        <f>IF(ISERROR('Eigen informatie GS &amp; warmtenet'!B57),0,'Eigen informatie GS &amp; warmtenet'!B57)</f>
        <v>0</v>
      </c>
      <c r="D5" s="30">
        <f>(SUM(HH_hh_gas_kWh,HH_rest_gas_kWh)/1000)*0.902</f>
        <v>291992.96220600005</v>
      </c>
      <c r="E5" s="17">
        <f>B46*B57</f>
        <v>45196.626116307816</v>
      </c>
      <c r="F5" s="17">
        <f>B51*B62</f>
        <v>63497.484062835152</v>
      </c>
      <c r="G5" s="18"/>
      <c r="H5" s="17"/>
      <c r="I5" s="17"/>
      <c r="J5" s="17">
        <f>B50*B61+C50*C61</f>
        <v>0</v>
      </c>
      <c r="K5" s="17"/>
      <c r="L5" s="17"/>
      <c r="M5" s="17"/>
      <c r="N5" s="17">
        <f>B48*B59+C48*C59</f>
        <v>34800.175118669824</v>
      </c>
      <c r="O5" s="17">
        <f>B69*B70*B71</f>
        <v>1013.04</v>
      </c>
      <c r="P5" s="17">
        <f>B77*B78*B79/1000-B77*B78*B79/1000/B80</f>
        <v>3031.6</v>
      </c>
    </row>
    <row r="6" spans="1:16">
      <c r="A6" s="16" t="s">
        <v>625</v>
      </c>
      <c r="B6" s="762">
        <f>kWh_PV_kleiner_dan_10kW</f>
        <v>13952.12195259536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127327.01895259536</v>
      </c>
      <c r="C8" s="21">
        <f>C5</f>
        <v>0</v>
      </c>
      <c r="D8" s="21">
        <f>D5</f>
        <v>291992.96220600005</v>
      </c>
      <c r="E8" s="21">
        <f>E5</f>
        <v>45196.626116307816</v>
      </c>
      <c r="F8" s="21">
        <f>F5</f>
        <v>63497.484062835152</v>
      </c>
      <c r="G8" s="21"/>
      <c r="H8" s="21"/>
      <c r="I8" s="21"/>
      <c r="J8" s="21">
        <f>J5</f>
        <v>0</v>
      </c>
      <c r="K8" s="21"/>
      <c r="L8" s="21">
        <f>L5</f>
        <v>0</v>
      </c>
      <c r="M8" s="21">
        <f>M5</f>
        <v>0</v>
      </c>
      <c r="N8" s="21">
        <f>N5</f>
        <v>34800.175118669824</v>
      </c>
      <c r="O8" s="21">
        <f>O5</f>
        <v>1013.04</v>
      </c>
      <c r="P8" s="21">
        <f>P5</f>
        <v>3031.6</v>
      </c>
    </row>
    <row r="9" spans="1:16">
      <c r="B9" s="19"/>
      <c r="C9" s="19"/>
      <c r="D9" s="258"/>
      <c r="E9" s="19"/>
      <c r="F9" s="19"/>
      <c r="G9" s="19"/>
      <c r="H9" s="19"/>
      <c r="I9" s="19"/>
      <c r="J9" s="19"/>
      <c r="K9" s="19"/>
      <c r="L9" s="19"/>
      <c r="M9" s="19"/>
      <c r="N9" s="19"/>
      <c r="O9" s="19"/>
      <c r="P9" s="19"/>
    </row>
    <row r="10" spans="1:16">
      <c r="A10" s="24" t="s">
        <v>213</v>
      </c>
      <c r="B10" s="25">
        <f ca="1">'EF ele_warmte'!B12</f>
        <v>0.19866694203586405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25295.669493854624</v>
      </c>
      <c r="C12" s="23">
        <f ca="1">C10*C8</f>
        <v>0</v>
      </c>
      <c r="D12" s="23">
        <f>D8*D10</f>
        <v>58982.578365612018</v>
      </c>
      <c r="E12" s="23">
        <f>E10*E8</f>
        <v>10259.634128401874</v>
      </c>
      <c r="F12" s="23">
        <f>F10*F8</f>
        <v>16953.828244776985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697</v>
      </c>
      <c r="B28" s="37">
        <f>aantalHuishoudens</f>
        <v>34715</v>
      </c>
      <c r="C28" s="36"/>
      <c r="D28" s="228"/>
    </row>
    <row r="29" spans="1:7" s="15" customFormat="1">
      <c r="A29" s="230" t="s">
        <v>698</v>
      </c>
      <c r="B29" s="37">
        <f>SUM(HH_hh_gas_aantal,HH_rest_gas_aantal)</f>
        <v>23045</v>
      </c>
      <c r="C29" s="36"/>
      <c r="D29" s="228"/>
    </row>
    <row r="30" spans="1:7" s="15" customFormat="1">
      <c r="A30" s="231"/>
      <c r="B30" s="29"/>
      <c r="C30" s="36"/>
      <c r="D30" s="232"/>
    </row>
    <row r="31" spans="1:7">
      <c r="A31" s="172" t="s">
        <v>696</v>
      </c>
      <c r="B31" s="168" t="s">
        <v>215</v>
      </c>
      <c r="C31" s="165" t="s">
        <v>216</v>
      </c>
      <c r="D31" s="174"/>
      <c r="G31" s="15"/>
    </row>
    <row r="32" spans="1:7">
      <c r="A32" s="171" t="s">
        <v>70</v>
      </c>
      <c r="B32" s="37">
        <f>B29</f>
        <v>23045</v>
      </c>
      <c r="C32" s="167">
        <f>IF(ISERROR(B32/SUM($B$32,$B$34,$B$35,$B$36,$B$38,$B$39)*100),0,B32/SUM($B$32,$B$34,$B$35,$B$36,$B$38,$B$39)*100)</f>
        <v>66.68885287649033</v>
      </c>
      <c r="D32" s="233"/>
      <c r="G32" s="15"/>
    </row>
    <row r="33" spans="1:7">
      <c r="A33" s="171" t="s">
        <v>71</v>
      </c>
      <c r="B33" s="34" t="s">
        <v>110</v>
      </c>
      <c r="C33" s="167"/>
      <c r="D33" s="233"/>
      <c r="G33" s="15"/>
    </row>
    <row r="34" spans="1:7">
      <c r="A34" s="171" t="s">
        <v>72</v>
      </c>
      <c r="B34" s="33">
        <f>IF((($B$28-$B$32-$B$39-$B$77-$B$38)*C20/100)&lt;0,0,($B$28-$B$32-$B$39-$B$77-$B$38)*C20/100)</f>
        <v>553.81771786230138</v>
      </c>
      <c r="C34" s="167">
        <f>IF(ISERROR(B34/SUM($B$32,$B$34,$B$35,$B$36,$B$38,$B$39)*100),0,B34/SUM($B$32,$B$34,$B$35,$B$36,$B$38,$B$39)*100)</f>
        <v>1.6026673164205967</v>
      </c>
      <c r="D34" s="233"/>
      <c r="G34" s="15"/>
    </row>
    <row r="35" spans="1:7">
      <c r="A35" s="171" t="s">
        <v>73</v>
      </c>
      <c r="B35" s="33">
        <f>IF((($B$28-$B$32-$B$39-$B$77-$B$38)*C21/100)&lt;0,0,($B$28-$B$32-$B$39-$B$77-$B$38)*C21/100)</f>
        <v>7308.776889744825</v>
      </c>
      <c r="C35" s="167">
        <f>IF(ISERROR(B35/SUM($B$32,$B$34,$B$35,$B$36,$B$38,$B$39)*100),0,B35/SUM($B$32,$B$34,$B$35,$B$36,$B$38,$B$39)*100)</f>
        <v>21.150529256119992</v>
      </c>
      <c r="D35" s="233"/>
      <c r="G35" s="15"/>
    </row>
    <row r="36" spans="1:7">
      <c r="A36" s="171" t="s">
        <v>74</v>
      </c>
      <c r="B36" s="33">
        <f>IF((($B$28-$B$32-$B$39-$B$77-$B$38)*C22/100)&lt;0,0,($B$28-$B$32-$B$39-$B$77-$B$38)*C22/100)</f>
        <v>533.60539239287436</v>
      </c>
      <c r="C36" s="167">
        <f>IF(ISERROR(B36/SUM($B$32,$B$34,$B$35,$B$36,$B$38,$B$39)*100),0,B36/SUM($B$32,$B$34,$B$35,$B$36,$B$38,$B$39)*100)</f>
        <v>1.5441758085220347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3114.7999999999993</v>
      </c>
      <c r="C39" s="167">
        <f>IF(ISERROR(B39/SUM($B$32,$B$34,$B$35,$B$36,$B$38,$B$39)*100),0,B39/SUM($B$32,$B$34,$B$35,$B$36,$B$38,$B$39)*100)</f>
        <v>9.0137747424470405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694</v>
      </c>
      <c r="C43" s="169" t="s">
        <v>695</v>
      </c>
      <c r="D43" s="174"/>
    </row>
    <row r="44" spans="1:7">
      <c r="A44" s="171" t="s">
        <v>70</v>
      </c>
      <c r="B44" s="33">
        <f t="shared" ref="B44:B52" si="0">B32</f>
        <v>23045</v>
      </c>
      <c r="C44" s="34" t="s">
        <v>110</v>
      </c>
      <c r="D44" s="174"/>
    </row>
    <row r="45" spans="1:7">
      <c r="A45" s="171" t="s">
        <v>71</v>
      </c>
      <c r="B45" s="33" t="str">
        <f t="shared" si="0"/>
        <v>-</v>
      </c>
      <c r="C45" s="34" t="s">
        <v>110</v>
      </c>
      <c r="D45" s="174"/>
    </row>
    <row r="46" spans="1:7">
      <c r="A46" s="171" t="s">
        <v>72</v>
      </c>
      <c r="B46" s="33">
        <f t="shared" si="0"/>
        <v>553.81771786230138</v>
      </c>
      <c r="C46" s="34" t="s">
        <v>110</v>
      </c>
      <c r="D46" s="174"/>
    </row>
    <row r="47" spans="1:7">
      <c r="A47" s="171" t="s">
        <v>73</v>
      </c>
      <c r="B47" s="33">
        <f t="shared" si="0"/>
        <v>7308.776889744825</v>
      </c>
      <c r="C47" s="34" t="s">
        <v>110</v>
      </c>
      <c r="D47" s="174"/>
    </row>
    <row r="48" spans="1:7">
      <c r="A48" s="171" t="s">
        <v>74</v>
      </c>
      <c r="B48" s="33">
        <f t="shared" si="0"/>
        <v>533.60539239287436</v>
      </c>
      <c r="C48" s="33">
        <f>B48*10</f>
        <v>5336.0539239287436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3114.7999999999993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692</v>
      </c>
      <c r="C54" s="165" t="s">
        <v>693</v>
      </c>
      <c r="D54" s="299" t="s">
        <v>888</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648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195444.011</v>
      </c>
      <c r="C5" s="17">
        <f>IF(ISERROR('Eigen informatie GS &amp; warmtenet'!B58),0,'Eigen informatie GS &amp; warmtenet'!B58)</f>
        <v>0</v>
      </c>
      <c r="D5" s="30">
        <f>SUM(D6:D12)</f>
        <v>212511.87289200004</v>
      </c>
      <c r="E5" s="17">
        <f>SUM(E6:E12)</f>
        <v>3613.591350568277</v>
      </c>
      <c r="F5" s="17">
        <f>SUM(F6:F12)</f>
        <v>49467.519524098396</v>
      </c>
      <c r="G5" s="18"/>
      <c r="H5" s="17"/>
      <c r="I5" s="17"/>
      <c r="J5" s="17">
        <f>SUM(J6:J12)</f>
        <v>0</v>
      </c>
      <c r="K5" s="17"/>
      <c r="L5" s="17"/>
      <c r="M5" s="17"/>
      <c r="N5" s="17">
        <f>SUM(N6:N12)</f>
        <v>13529.887528112191</v>
      </c>
      <c r="O5" s="17">
        <f>B38*B39*B40</f>
        <v>10.943333333333335</v>
      </c>
      <c r="P5" s="17">
        <f>B46*B47*B48/1000-B46*B47*B48/1000/B49</f>
        <v>190.66666666666669</v>
      </c>
      <c r="R5" s="32"/>
    </row>
    <row r="6" spans="1:18">
      <c r="A6" s="32" t="s">
        <v>53</v>
      </c>
      <c r="B6" s="37">
        <f>B26</f>
        <v>70242.737999999998</v>
      </c>
      <c r="C6" s="33"/>
      <c r="D6" s="37">
        <f>IF(ISERROR(TER_kantoor_gas_kWh/1000),0,TER_kantoor_gas_kWh/1000)*0.902</f>
        <v>84375.679564000005</v>
      </c>
      <c r="E6" s="33">
        <f>$C$26*'E Balans VL '!I12/100/3.6*1000000</f>
        <v>919.56396692652436</v>
      </c>
      <c r="F6" s="33">
        <f>$C$26*('E Balans VL '!L12+'E Balans VL '!N12)/100/3.6*1000000</f>
        <v>17911.172328659992</v>
      </c>
      <c r="G6" s="34"/>
      <c r="H6" s="33"/>
      <c r="I6" s="33"/>
      <c r="J6" s="33">
        <f>$C$26*('E Balans VL '!D12+'E Balans VL '!E12)/100/3.6*1000000</f>
        <v>0</v>
      </c>
      <c r="K6" s="33"/>
      <c r="L6" s="33"/>
      <c r="M6" s="33"/>
      <c r="N6" s="33">
        <f>$C$26*'E Balans VL '!Y12/100/3.6*1000000</f>
        <v>70.479276657816627</v>
      </c>
      <c r="O6" s="33"/>
      <c r="P6" s="33"/>
      <c r="R6" s="32"/>
    </row>
    <row r="7" spans="1:18">
      <c r="A7" s="32" t="s">
        <v>52</v>
      </c>
      <c r="B7" s="37">
        <f t="shared" ref="B7:B12" si="0">B27</f>
        <v>17417.932000000001</v>
      </c>
      <c r="C7" s="33"/>
      <c r="D7" s="37">
        <f>IF(ISERROR(TER_horeca_gas_kWh/1000),0,TER_horeca_gas_kWh/1000)*0.902</f>
        <v>18384.868876</v>
      </c>
      <c r="E7" s="33">
        <f>$C$27*'E Balans VL '!I9/100/3.6*1000000</f>
        <v>576.42759947382717</v>
      </c>
      <c r="F7" s="33">
        <f>$C$27*('E Balans VL '!L9+'E Balans VL '!N9)/100/3.6*1000000</f>
        <v>7489.6440063988284</v>
      </c>
      <c r="G7" s="34"/>
      <c r="H7" s="33"/>
      <c r="I7" s="33"/>
      <c r="J7" s="33">
        <f>$C$27*('E Balans VL '!D9+'E Balans VL '!E9)/100/3.6*1000000</f>
        <v>0</v>
      </c>
      <c r="K7" s="33"/>
      <c r="L7" s="33"/>
      <c r="M7" s="33"/>
      <c r="N7" s="33">
        <f>$C$27*'E Balans VL '!Y9/100/3.6*1000000</f>
        <v>4.1927491685300735</v>
      </c>
      <c r="O7" s="33"/>
      <c r="P7" s="33"/>
      <c r="R7" s="32"/>
    </row>
    <row r="8" spans="1:18">
      <c r="A8" s="6" t="s">
        <v>51</v>
      </c>
      <c r="B8" s="37">
        <f t="shared" si="0"/>
        <v>65744.900999999998</v>
      </c>
      <c r="C8" s="33"/>
      <c r="D8" s="37">
        <f>IF(ISERROR(TER_handel_gas_kWh/1000),0,TER_handel_gas_kWh/1000)*0.902</f>
        <v>33096.730611999999</v>
      </c>
      <c r="E8" s="33">
        <f>$C$28*'E Balans VL '!I13/100/3.6*1000000</f>
        <v>2075.0095307785186</v>
      </c>
      <c r="F8" s="33">
        <f>$C$28*('E Balans VL '!L13+'E Balans VL '!N13)/100/3.6*1000000</f>
        <v>12893.732781930481</v>
      </c>
      <c r="G8" s="34"/>
      <c r="H8" s="33"/>
      <c r="I8" s="33"/>
      <c r="J8" s="33">
        <f>$C$28*('E Balans VL '!D13+'E Balans VL '!E13)/100/3.6*1000000</f>
        <v>0</v>
      </c>
      <c r="K8" s="33"/>
      <c r="L8" s="33"/>
      <c r="M8" s="33"/>
      <c r="N8" s="33">
        <f>$C$28*'E Balans VL '!Y13/100/3.6*1000000</f>
        <v>78.026433271170319</v>
      </c>
      <c r="O8" s="33"/>
      <c r="P8" s="33"/>
      <c r="R8" s="32"/>
    </row>
    <row r="9" spans="1:18">
      <c r="A9" s="32" t="s">
        <v>50</v>
      </c>
      <c r="B9" s="37">
        <f t="shared" si="0"/>
        <v>16621.673999999999</v>
      </c>
      <c r="C9" s="33"/>
      <c r="D9" s="37">
        <f>IF(ISERROR(TER_gezond_gas_kWh/1000),0,TER_gezond_gas_kWh/1000)*0.902</f>
        <v>31337.748530000001</v>
      </c>
      <c r="E9" s="33">
        <f>$C$29*'E Balans VL '!I10/100/3.6*1000000</f>
        <v>2.1280605282837546</v>
      </c>
      <c r="F9" s="33">
        <f>$C$29*('E Balans VL '!L10+'E Balans VL '!N10)/100/3.6*1000000</f>
        <v>3462.9913724032863</v>
      </c>
      <c r="G9" s="34"/>
      <c r="H9" s="33"/>
      <c r="I9" s="33"/>
      <c r="J9" s="33">
        <f>$C$29*('E Balans VL '!D10+'E Balans VL '!E10)/100/3.6*1000000</f>
        <v>0</v>
      </c>
      <c r="K9" s="33"/>
      <c r="L9" s="33"/>
      <c r="M9" s="33"/>
      <c r="N9" s="33">
        <f>$C$29*'E Balans VL '!Y10/100/3.6*1000000</f>
        <v>195.22941756598524</v>
      </c>
      <c r="O9" s="33"/>
      <c r="P9" s="33"/>
      <c r="R9" s="32"/>
    </row>
    <row r="10" spans="1:18">
      <c r="A10" s="32" t="s">
        <v>49</v>
      </c>
      <c r="B10" s="37">
        <f t="shared" si="0"/>
        <v>16706.355</v>
      </c>
      <c r="C10" s="33"/>
      <c r="D10" s="37">
        <f>IF(ISERROR(TER_ander_gas_kWh/1000),0,TER_ander_gas_kWh/1000)*0.902</f>
        <v>18146.835586000001</v>
      </c>
      <c r="E10" s="33">
        <f>$C$30*'E Balans VL '!I14/100/3.6*1000000</f>
        <v>25.122429160204415</v>
      </c>
      <c r="F10" s="33">
        <f>$C$30*('E Balans VL '!L14+'E Balans VL '!N14)/100/3.6*1000000</f>
        <v>3688.2246613794441</v>
      </c>
      <c r="G10" s="34"/>
      <c r="H10" s="33"/>
      <c r="I10" s="33"/>
      <c r="J10" s="33">
        <f>$C$30*('E Balans VL '!D14+'E Balans VL '!E14)/100/3.6*1000000</f>
        <v>0</v>
      </c>
      <c r="K10" s="33"/>
      <c r="L10" s="33"/>
      <c r="M10" s="33"/>
      <c r="N10" s="33">
        <f>$C$30*'E Balans VL '!Y14/100/3.6*1000000</f>
        <v>13165.732035301344</v>
      </c>
      <c r="O10" s="33"/>
      <c r="P10" s="33"/>
      <c r="R10" s="32"/>
    </row>
    <row r="11" spans="1:18">
      <c r="A11" s="32" t="s">
        <v>54</v>
      </c>
      <c r="B11" s="37">
        <f t="shared" si="0"/>
        <v>8710.4110000000001</v>
      </c>
      <c r="C11" s="33"/>
      <c r="D11" s="37">
        <f>IF(ISERROR(TER_onderwijs_gas_kWh/1000),0,TER_onderwijs_gas_kWh/1000)*0.902</f>
        <v>27170.009724</v>
      </c>
      <c r="E11" s="33">
        <f>$C$31*'E Balans VL '!I11/100/3.6*1000000</f>
        <v>15.339763700918693</v>
      </c>
      <c r="F11" s="33">
        <f>$C$31*('E Balans VL '!L11+'E Balans VL '!N11)/100/3.6*1000000</f>
        <v>4021.7543733263619</v>
      </c>
      <c r="G11" s="34"/>
      <c r="H11" s="33"/>
      <c r="I11" s="33"/>
      <c r="J11" s="33">
        <f>$C$31*('E Balans VL '!D11+'E Balans VL '!E11)/100/3.6*1000000</f>
        <v>0</v>
      </c>
      <c r="K11" s="33"/>
      <c r="L11" s="33"/>
      <c r="M11" s="33"/>
      <c r="N11" s="33">
        <f>$C$31*'E Balans VL '!Y11/100/3.6*1000000</f>
        <v>16.2276161473462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energieproductie'!N42+'lokale energieproductie'!N35</f>
        <v>3261.15</v>
      </c>
      <c r="C13" s="247">
        <f ca="1">'lokale energieproductie'!O42+'lokale energieproductie'!O35</f>
        <v>2890.9285714285716</v>
      </c>
      <c r="D13" s="308">
        <f ca="1">('lokale energieproductie'!P35+'lokale energieproductie'!P42)*(-1)</f>
        <v>-5781.857142857144</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-3535.7142857142858</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198705.16099999999</v>
      </c>
      <c r="C16" s="21">
        <f t="shared" ca="1" si="1"/>
        <v>2890.9285714285716</v>
      </c>
      <c r="D16" s="21">
        <f t="shared" ca="1" si="1"/>
        <v>206730.01574914291</v>
      </c>
      <c r="E16" s="21">
        <f t="shared" si="1"/>
        <v>3613.591350568277</v>
      </c>
      <c r="F16" s="21">
        <f t="shared" ca="1" si="1"/>
        <v>49467.519524098396</v>
      </c>
      <c r="G16" s="21">
        <f t="shared" si="1"/>
        <v>0</v>
      </c>
      <c r="H16" s="21">
        <f t="shared" si="1"/>
        <v>0</v>
      </c>
      <c r="I16" s="21">
        <f t="shared" si="1"/>
        <v>0</v>
      </c>
      <c r="J16" s="21">
        <f t="shared" si="1"/>
        <v>0</v>
      </c>
      <c r="K16" s="21">
        <f t="shared" si="1"/>
        <v>0</v>
      </c>
      <c r="L16" s="21">
        <f t="shared" ca="1" si="1"/>
        <v>0</v>
      </c>
      <c r="M16" s="21">
        <f t="shared" si="1"/>
        <v>0</v>
      </c>
      <c r="N16" s="21">
        <f t="shared" ca="1" si="1"/>
        <v>9994.1732423979047</v>
      </c>
      <c r="O16" s="21">
        <f>O5</f>
        <v>10.943333333333335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0.19866694203586405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39476.146702614031</v>
      </c>
      <c r="C20" s="23">
        <f t="shared" ref="C20:P20" ca="1" si="2">C16*C18</f>
        <v>687.02067226890779</v>
      </c>
      <c r="D20" s="23">
        <f t="shared" ca="1" si="2"/>
        <v>41759.463181326872</v>
      </c>
      <c r="E20" s="23">
        <f t="shared" si="2"/>
        <v>820.28523657899893</v>
      </c>
      <c r="F20" s="23">
        <f t="shared" ca="1" si="2"/>
        <v>13207.827712934273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70242.737999999998</v>
      </c>
      <c r="C26" s="39">
        <f>IF(ISERROR(B26*3.6/1000000/'E Balans VL '!Z12*100),0,B26*3.6/1000000/'E Balans VL '!Z12*100)</f>
        <v>1.5046540174182432</v>
      </c>
      <c r="D26" s="237" t="s">
        <v>661</v>
      </c>
      <c r="F26" s="6"/>
    </row>
    <row r="27" spans="1:18">
      <c r="A27" s="231" t="s">
        <v>52</v>
      </c>
      <c r="B27" s="33">
        <f>IF(ISERROR(TER_horeca_ele_kWh/1000),0,TER_horeca_ele_kWh/1000)</f>
        <v>17417.932000000001</v>
      </c>
      <c r="C27" s="39">
        <f>IF(ISERROR(B27*3.6/1000000/'E Balans VL '!Z9*100),0,B27*3.6/1000000/'E Balans VL '!Z9*100)</f>
        <v>1.3977284988863516</v>
      </c>
      <c r="D27" s="237" t="s">
        <v>661</v>
      </c>
      <c r="F27" s="6"/>
    </row>
    <row r="28" spans="1:18">
      <c r="A28" s="171" t="s">
        <v>51</v>
      </c>
      <c r="B28" s="33">
        <f>IF(ISERROR(TER_handel_ele_kWh/1000),0,TER_handel_ele_kWh/1000)</f>
        <v>65744.900999999998</v>
      </c>
      <c r="C28" s="39">
        <f>IF(ISERROR(B28*3.6/1000000/'E Balans VL '!Z13*100),0,B28*3.6/1000000/'E Balans VL '!Z13*100)</f>
        <v>1.9390974817890698</v>
      </c>
      <c r="D28" s="237" t="s">
        <v>661</v>
      </c>
      <c r="F28" s="6"/>
    </row>
    <row r="29" spans="1:18">
      <c r="A29" s="231" t="s">
        <v>50</v>
      </c>
      <c r="B29" s="33">
        <f>IF(ISERROR(TER_gezond_ele_kWh/1000),0,TER_gezond_ele_kWh/1000)</f>
        <v>16621.673999999999</v>
      </c>
      <c r="C29" s="39">
        <f>IF(ISERROR(B29*3.6/1000000/'E Balans VL '!Z10*100),0,B29*3.6/1000000/'E Balans VL '!Z10*100)</f>
        <v>1.7747491394085553</v>
      </c>
      <c r="D29" s="237" t="s">
        <v>661</v>
      </c>
      <c r="F29" s="6"/>
    </row>
    <row r="30" spans="1:18">
      <c r="A30" s="231" t="s">
        <v>49</v>
      </c>
      <c r="B30" s="33">
        <f>IF(ISERROR(TER_ander_ele_kWh/1000),0,TER_ander_ele_kWh/1000)</f>
        <v>16706.355</v>
      </c>
      <c r="C30" s="39">
        <f>IF(ISERROR(B30*3.6/1000000/'E Balans VL '!Z14*100),0,B30*3.6/1000000/'E Balans VL '!Z14*100)</f>
        <v>1.2618965963598696</v>
      </c>
      <c r="D30" s="237" t="s">
        <v>661</v>
      </c>
      <c r="F30" s="6"/>
    </row>
    <row r="31" spans="1:18">
      <c r="A31" s="231" t="s">
        <v>54</v>
      </c>
      <c r="B31" s="33">
        <f>IF(ISERROR(TER_onderwijs_ele_kWh/1000),0,TER_onderwijs_ele_kWh/1000)</f>
        <v>8710.4110000000001</v>
      </c>
      <c r="C31" s="39">
        <f>IF(ISERROR(B31*3.6/1000000/'E Balans VL '!Z11*100),0,B31*3.6/1000000/'E Balans VL '!Z11*100)</f>
        <v>1.7589227568828494</v>
      </c>
      <c r="D31" s="237" t="s">
        <v>661</v>
      </c>
    </row>
    <row r="32" spans="1:18">
      <c r="A32" s="231" t="s">
        <v>259</v>
      </c>
      <c r="B32" s="33">
        <f>IF(ISERROR(TER_rest_ele_kWh/1000),0,TER_rest_ele_kWh/1000)</f>
        <v>0</v>
      </c>
      <c r="C32" s="39">
        <f>IF(ISERROR(B32*3.6/1000000/'E Balans VL '!Z8*100),0,B32*3.6/1000000/'E Balans VL '!Z8*100)</f>
        <v>0</v>
      </c>
      <c r="D32" s="237" t="s">
        <v>661</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67740.398000000001</v>
      </c>
      <c r="C5" s="17">
        <f>IF(ISERROR('Eigen informatie GS &amp; warmtenet'!B59),0,'Eigen informatie GS &amp; warmtenet'!B59)</f>
        <v>0</v>
      </c>
      <c r="D5" s="30">
        <f>SUM(D6:D15)</f>
        <v>114038.32930600001</v>
      </c>
      <c r="E5" s="17">
        <f>SUM(E6:E15)</f>
        <v>9085.8821211277336</v>
      </c>
      <c r="F5" s="17">
        <f>SUM(F6:F15)</f>
        <v>34704.3665165001</v>
      </c>
      <c r="G5" s="18"/>
      <c r="H5" s="17"/>
      <c r="I5" s="17"/>
      <c r="J5" s="17">
        <f>SUM(J6:J15)</f>
        <v>263.71991711281726</v>
      </c>
      <c r="K5" s="17"/>
      <c r="L5" s="17"/>
      <c r="M5" s="17"/>
      <c r="N5" s="17">
        <f>SUM(N6:N15)</f>
        <v>7608.9072357977211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3575.4369999999999</v>
      </c>
      <c r="C8" s="33"/>
      <c r="D8" s="37">
        <f>IF( ISERROR(IND_metaal_Gas_kWH/1000),0,IND_metaal_Gas_kWH/1000)*0.902</f>
        <v>4160.9692960000002</v>
      </c>
      <c r="E8" s="33">
        <f>C30*'E Balans VL '!I18/100/3.6*1000000</f>
        <v>128.65503969014924</v>
      </c>
      <c r="F8" s="33">
        <f>C30*'E Balans VL '!L18/100/3.6*1000000+C30*'E Balans VL '!N18/100/3.6*1000000</f>
        <v>1561.2774347024701</v>
      </c>
      <c r="G8" s="34"/>
      <c r="H8" s="33"/>
      <c r="I8" s="33"/>
      <c r="J8" s="40">
        <f>C30*'E Balans VL '!D18/100/3.6*1000000+C30*'E Balans VL '!E18/100/3.6*1000000</f>
        <v>0</v>
      </c>
      <c r="K8" s="33"/>
      <c r="L8" s="33"/>
      <c r="M8" s="33"/>
      <c r="N8" s="33">
        <f>C30*'E Balans VL '!Y18/100/3.6*1000000</f>
        <v>179.19847267310135</v>
      </c>
      <c r="O8" s="33"/>
      <c r="P8" s="33"/>
      <c r="R8" s="32"/>
    </row>
    <row r="9" spans="1:18">
      <c r="A9" s="6" t="s">
        <v>32</v>
      </c>
      <c r="B9" s="37">
        <f t="shared" si="0"/>
        <v>32690.371999999999</v>
      </c>
      <c r="C9" s="33"/>
      <c r="D9" s="37">
        <f>IF( ISERROR(IND_andere_gas_kWh/1000),0,IND_andere_gas_kWh/1000)*0.902</f>
        <v>23802.975416000001</v>
      </c>
      <c r="E9" s="33">
        <f>C31*'E Balans VL '!I19/100/3.6*1000000</f>
        <v>8341.8432940169423</v>
      </c>
      <c r="F9" s="33">
        <f>C31*'E Balans VL '!L19/100/3.6*1000000+C31*'E Balans VL '!N19/100/3.6*1000000</f>
        <v>28143.953188116488</v>
      </c>
      <c r="G9" s="34"/>
      <c r="H9" s="33"/>
      <c r="I9" s="33"/>
      <c r="J9" s="40">
        <f>C31*'E Balans VL '!D19/100/3.6*1000000+C31*'E Balans VL '!E19/100/3.6*1000000</f>
        <v>0</v>
      </c>
      <c r="K9" s="33"/>
      <c r="L9" s="33"/>
      <c r="M9" s="33"/>
      <c r="N9" s="33">
        <f>C31*'E Balans VL '!Y19/100/3.6*1000000</f>
        <v>2578.887817341109</v>
      </c>
      <c r="O9" s="33"/>
      <c r="P9" s="33"/>
      <c r="R9" s="32"/>
    </row>
    <row r="10" spans="1:18">
      <c r="A10" s="6" t="s">
        <v>40</v>
      </c>
      <c r="B10" s="37">
        <f t="shared" si="0"/>
        <v>10446.679</v>
      </c>
      <c r="C10" s="33"/>
      <c r="D10" s="37">
        <f>IF( ISERROR(IND_voed_gas_kWh/1000),0,IND_voed_gas_kWh/1000)*0.902</f>
        <v>10554.713312</v>
      </c>
      <c r="E10" s="33">
        <f>C32*'E Balans VL '!I20/100/3.6*1000000</f>
        <v>265.56892464577169</v>
      </c>
      <c r="F10" s="33">
        <f>C32*'E Balans VL '!L20/100/3.6*1000000+C32*'E Balans VL '!N20/100/3.6*1000000</f>
        <v>2363.9266395242016</v>
      </c>
      <c r="G10" s="34"/>
      <c r="H10" s="33"/>
      <c r="I10" s="33"/>
      <c r="J10" s="40">
        <f>C32*'E Balans VL '!D20/100/3.6*1000000+C32*'E Balans VL '!E20/100/3.6*1000000</f>
        <v>0</v>
      </c>
      <c r="K10" s="33"/>
      <c r="L10" s="33"/>
      <c r="M10" s="33"/>
      <c r="N10" s="33">
        <f>C32*'E Balans VL '!Y20/100/3.6*1000000</f>
        <v>3917.7877933723425</v>
      </c>
      <c r="O10" s="33"/>
      <c r="P10" s="33"/>
      <c r="R10" s="32"/>
    </row>
    <row r="11" spans="1:18">
      <c r="A11" s="6" t="s">
        <v>39</v>
      </c>
      <c r="B11" s="37">
        <f t="shared" si="0"/>
        <v>292.36799999999999</v>
      </c>
      <c r="C11" s="33"/>
      <c r="D11" s="37">
        <f>IF( ISERROR(IND_textiel_gas_kWh/1000),0,IND_textiel_gas_kWh/1000)*0.902</f>
        <v>297.92789400000004</v>
      </c>
      <c r="E11" s="33">
        <f>C33*'E Balans VL '!I21/100/3.6*1000000</f>
        <v>0.80262878443586294</v>
      </c>
      <c r="F11" s="33">
        <f>C33*'E Balans VL '!L21/100/3.6*1000000+C33*'E Balans VL '!N21/100/3.6*1000000</f>
        <v>15.500132905541331</v>
      </c>
      <c r="G11" s="34"/>
      <c r="H11" s="33"/>
      <c r="I11" s="33"/>
      <c r="J11" s="40">
        <f>C33*'E Balans VL '!D21/100/3.6*1000000+C33*'E Balans VL '!E21/100/3.6*1000000</f>
        <v>0</v>
      </c>
      <c r="K11" s="33"/>
      <c r="L11" s="33"/>
      <c r="M11" s="33"/>
      <c r="N11" s="33">
        <f>C33*'E Balans VL '!Y21/100/3.6*1000000</f>
        <v>0.5876112981813737</v>
      </c>
      <c r="O11" s="33"/>
      <c r="P11" s="33"/>
      <c r="R11" s="32"/>
    </row>
    <row r="12" spans="1:18">
      <c r="A12" s="6" t="s">
        <v>36</v>
      </c>
      <c r="B12" s="37">
        <f t="shared" si="0"/>
        <v>15313.097</v>
      </c>
      <c r="C12" s="33"/>
      <c r="D12" s="37">
        <f>IF( ISERROR(IND_min_gas_kWh/1000),0,IND_min_gas_kWh/1000)*0.902</f>
        <v>71325.806947999998</v>
      </c>
      <c r="E12" s="33">
        <f>C34*'E Balans VL '!I22/100/3.6*1000000</f>
        <v>325.36493322611858</v>
      </c>
      <c r="F12" s="33">
        <f>C34*'E Balans VL '!L22/100/3.6*1000000+C34*'E Balans VL '!N22/100/3.6*1000000</f>
        <v>2498.4622752727441</v>
      </c>
      <c r="G12" s="34"/>
      <c r="H12" s="33"/>
      <c r="I12" s="33"/>
      <c r="J12" s="40">
        <f>C34*'E Balans VL '!D22/100/3.6*1000000+C34*'E Balans VL '!E22/100/3.6*1000000</f>
        <v>17.841187031051589</v>
      </c>
      <c r="K12" s="33"/>
      <c r="L12" s="33"/>
      <c r="M12" s="33"/>
      <c r="N12" s="33">
        <f>C34*'E Balans VL '!Y22/100/3.6*1000000</f>
        <v>0</v>
      </c>
      <c r="O12" s="33"/>
      <c r="P12" s="33"/>
      <c r="R12" s="32"/>
    </row>
    <row r="13" spans="1:18">
      <c r="A13" s="6" t="s">
        <v>38</v>
      </c>
      <c r="B13" s="37">
        <f t="shared" si="0"/>
        <v>3664.1950000000002</v>
      </c>
      <c r="C13" s="33"/>
      <c r="D13" s="37">
        <f>IF( ISERROR(IND_papier_gas_kWh/1000),0,IND_papier_gas_kWh/1000)*0.902</f>
        <v>3130.0356120000001</v>
      </c>
      <c r="E13" s="33">
        <f>C35*'E Balans VL '!I23/100/3.6*1000000</f>
        <v>15.714666375512031</v>
      </c>
      <c r="F13" s="33">
        <f>C35*'E Balans VL '!L23/100/3.6*1000000+C35*'E Balans VL '!N23/100/3.6*1000000</f>
        <v>92.092593287278319</v>
      </c>
      <c r="G13" s="34"/>
      <c r="H13" s="33"/>
      <c r="I13" s="33"/>
      <c r="J13" s="40">
        <f>C35*'E Balans VL '!D23/100/3.6*1000000+C35*'E Balans VL '!E23/100/3.6*1000000</f>
        <v>245.29775796714603</v>
      </c>
      <c r="K13" s="33"/>
      <c r="L13" s="33"/>
      <c r="M13" s="33"/>
      <c r="N13" s="33">
        <f>C35*'E Balans VL '!Y23/100/3.6*1000000</f>
        <v>893.5639701314027</v>
      </c>
      <c r="O13" s="33"/>
      <c r="P13" s="33"/>
      <c r="R13" s="32"/>
    </row>
    <row r="14" spans="1:18">
      <c r="A14" s="6" t="s">
        <v>33</v>
      </c>
      <c r="B14" s="37">
        <f t="shared" si="0"/>
        <v>1686.588</v>
      </c>
      <c r="C14" s="33"/>
      <c r="D14" s="37">
        <f>IF( ISERROR(IND_chemie_gas_kWh/1000),0,IND_chemie_gas_kWh/1000)*0.902</f>
        <v>739.05911200000003</v>
      </c>
      <c r="E14" s="33">
        <f>C36*'E Balans VL '!I24/100/3.6*1000000</f>
        <v>4.0433305482169661</v>
      </c>
      <c r="F14" s="33">
        <f>C36*'E Balans VL '!L24/100/3.6*1000000+C36*'E Balans VL '!N24/100/3.6*1000000</f>
        <v>13.535250213338196</v>
      </c>
      <c r="G14" s="34"/>
      <c r="H14" s="33"/>
      <c r="I14" s="33"/>
      <c r="J14" s="40">
        <f>C36*'E Balans VL '!D24/100/3.6*1000000+C36*'E Balans VL '!E24/100/3.6*1000000</f>
        <v>0</v>
      </c>
      <c r="K14" s="33"/>
      <c r="L14" s="33"/>
      <c r="M14" s="33"/>
      <c r="N14" s="33">
        <f>C36*'E Balans VL '!Y24/100/3.6*1000000</f>
        <v>34.860466414475525</v>
      </c>
      <c r="O14" s="33"/>
      <c r="P14" s="33"/>
      <c r="R14" s="32"/>
    </row>
    <row r="15" spans="1:18">
      <c r="A15" s="6" t="s">
        <v>269</v>
      </c>
      <c r="B15" s="37">
        <f t="shared" si="0"/>
        <v>71.662000000000006</v>
      </c>
      <c r="C15" s="33"/>
      <c r="D15" s="37">
        <f>IF( ISERROR(IND_rest_gas_kWh/1000),0,IND_rest_gas_kWh/1000)*0.902</f>
        <v>26.841716000000002</v>
      </c>
      <c r="E15" s="33">
        <f>C37*'E Balans VL '!I15/100/3.6*1000000</f>
        <v>3.8893038405879996</v>
      </c>
      <c r="F15" s="33">
        <f>C37*'E Balans VL '!L15/100/3.6*1000000+C37*'E Balans VL '!N15/100/3.6*1000000</f>
        <v>15.61900247803988</v>
      </c>
      <c r="G15" s="34"/>
      <c r="H15" s="33"/>
      <c r="I15" s="33"/>
      <c r="J15" s="40">
        <f>C37*'E Balans VL '!D15/100/3.6*1000000+C37*'E Balans VL '!E15/100/3.6*1000000</f>
        <v>0.58097211461963982</v>
      </c>
      <c r="K15" s="33"/>
      <c r="L15" s="33"/>
      <c r="M15" s="33"/>
      <c r="N15" s="33">
        <f>C37*'E Balans VL '!Y15/100/3.6*1000000</f>
        <v>4.0211045671087451</v>
      </c>
      <c r="O15" s="33"/>
      <c r="P15" s="33"/>
      <c r="R15" s="32"/>
    </row>
    <row r="16" spans="1:18">
      <c r="A16" s="16" t="s">
        <v>490</v>
      </c>
      <c r="B16" s="247">
        <f>'lokale energieproductie'!N41+'lokale energieproductie'!N34</f>
        <v>225</v>
      </c>
      <c r="C16" s="247">
        <f>'lokale energieproductie'!O41+'lokale energieproductie'!O34</f>
        <v>321.42857142857144</v>
      </c>
      <c r="D16" s="308">
        <f>('lokale energieproductie'!P34+'lokale energieproductie'!P41)*(-1)</f>
        <v>-642.85714285714289</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67965.398000000001</v>
      </c>
      <c r="C18" s="21">
        <f>C5+C16</f>
        <v>321.42857142857144</v>
      </c>
      <c r="D18" s="21">
        <f>MAX((D5+D16),0)</f>
        <v>113395.47216314287</v>
      </c>
      <c r="E18" s="21">
        <f>MAX((E5+E16),0)</f>
        <v>9085.8821211277336</v>
      </c>
      <c r="F18" s="21">
        <f>MAX((F5+F16),0)</f>
        <v>34704.3665165001</v>
      </c>
      <c r="G18" s="21"/>
      <c r="H18" s="21"/>
      <c r="I18" s="21"/>
      <c r="J18" s="21">
        <f>MAX((J5+J16),0)</f>
        <v>263.71991711281726</v>
      </c>
      <c r="K18" s="21"/>
      <c r="L18" s="21">
        <f>MAX((L5+L16),0)</f>
        <v>0</v>
      </c>
      <c r="M18" s="21"/>
      <c r="N18" s="21">
        <f>MAX((N5+N16),0)</f>
        <v>7608.9072357977211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0.19866694203586405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13502.47778491043</v>
      </c>
      <c r="C22" s="23">
        <f ca="1">C18*C20</f>
        <v>76.386554621848759</v>
      </c>
      <c r="D22" s="23">
        <f>D18*D20</f>
        <v>22905.885376954862</v>
      </c>
      <c r="E22" s="23">
        <f>E18*E20</f>
        <v>2062.4952414959957</v>
      </c>
      <c r="F22" s="23">
        <f>F18*F20</f>
        <v>9266.0658599055278</v>
      </c>
      <c r="G22" s="23"/>
      <c r="H22" s="23"/>
      <c r="I22" s="23"/>
      <c r="J22" s="23">
        <f>J18*J20</f>
        <v>93.356850657937301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661</v>
      </c>
    </row>
    <row r="29" spans="1:18">
      <c r="A29" s="171" t="s">
        <v>37</v>
      </c>
      <c r="B29" s="37">
        <f>IF( ISERROR(IND_nonf_ele_kWh/1000),0,IND_nonf_ele_kWh/1000)</f>
        <v>0</v>
      </c>
      <c r="C29" s="39">
        <f>IF(ISERROR(B29*3.6/1000000/'E Balans VL '!Z17*100),0,B29*3.6/1000000/'E Balans VL '!Z17*100)</f>
        <v>0</v>
      </c>
      <c r="D29" s="237" t="s">
        <v>661</v>
      </c>
    </row>
    <row r="30" spans="1:18">
      <c r="A30" s="171" t="s">
        <v>35</v>
      </c>
      <c r="B30" s="37">
        <f>IF( ISERROR(IND_metaal_ele_kWh/1000),0,IND_metaal_ele_kWh/1000)</f>
        <v>3575.4369999999999</v>
      </c>
      <c r="C30" s="39">
        <f>IF(ISERROR(B30*3.6/1000000/'E Balans VL '!Z18*100),0,B30*3.6/1000000/'E Balans VL '!Z18*100)</f>
        <v>0.75755844495101332</v>
      </c>
      <c r="D30" s="237" t="s">
        <v>661</v>
      </c>
    </row>
    <row r="31" spans="1:18">
      <c r="A31" s="6" t="s">
        <v>32</v>
      </c>
      <c r="B31" s="37">
        <f>IF( ISERROR(IND_ander_ele_kWh/1000),0,IND_ander_ele_kWh/1000)</f>
        <v>32690.371999999999</v>
      </c>
      <c r="C31" s="39">
        <f>IF(ISERROR(B31*3.6/1000000/'E Balans VL '!Z19*100),0,B31*3.6/1000000/'E Balans VL '!Z19*100)</f>
        <v>1.3760119863679898</v>
      </c>
      <c r="D31" s="237" t="s">
        <v>661</v>
      </c>
    </row>
    <row r="32" spans="1:18">
      <c r="A32" s="171" t="s">
        <v>40</v>
      </c>
      <c r="B32" s="37">
        <f>IF( ISERROR(IND_voed_ele_kWh/1000),0,IND_voed_ele_kWh/1000)</f>
        <v>10446.679</v>
      </c>
      <c r="C32" s="39">
        <f>IF(ISERROR(B32*3.6/1000000/'E Balans VL '!Z20*100),0,B32*3.6/1000000/'E Balans VL '!Z20*100)</f>
        <v>1.7452359229937542</v>
      </c>
      <c r="D32" s="237" t="s">
        <v>661</v>
      </c>
    </row>
    <row r="33" spans="1:5">
      <c r="A33" s="171" t="s">
        <v>39</v>
      </c>
      <c r="B33" s="37">
        <f>IF( ISERROR(IND_textiel_ele_kWh/1000),0,IND_textiel_ele_kWh/1000)</f>
        <v>292.36799999999999</v>
      </c>
      <c r="C33" s="39">
        <f>IF(ISERROR(B33*3.6/1000000/'E Balans VL '!Z21*100),0,B33*3.6/1000000/'E Balans VL '!Z21*100)</f>
        <v>1.7069318756176434E-2</v>
      </c>
      <c r="D33" s="237" t="s">
        <v>661</v>
      </c>
    </row>
    <row r="34" spans="1:5">
      <c r="A34" s="171" t="s">
        <v>36</v>
      </c>
      <c r="B34" s="37">
        <f>IF( ISERROR(IND_min_ele_kWh/1000),0,IND_min_ele_kWh/1000)</f>
        <v>15313.097</v>
      </c>
      <c r="C34" s="39">
        <f>IF(ISERROR(B34*3.6/1000000/'E Balans VL '!Z22*100),0,B34*3.6/1000000/'E Balans VL '!Z22*100)</f>
        <v>1.9410176280382145</v>
      </c>
      <c r="D34" s="237" t="s">
        <v>661</v>
      </c>
    </row>
    <row r="35" spans="1:5">
      <c r="A35" s="171" t="s">
        <v>38</v>
      </c>
      <c r="B35" s="37">
        <f>IF( ISERROR(IND_papier_ele_kWh/1000),0,IND_papier_ele_kWh/1000)</f>
        <v>3664.1950000000002</v>
      </c>
      <c r="C35" s="39">
        <f>IF(ISERROR(B35*3.6/1000000/'E Balans VL '!Z22*100),0,B35*3.6/1000000/'E Balans VL '!Z22*100)</f>
        <v>0.46445647719527183</v>
      </c>
      <c r="D35" s="237" t="s">
        <v>661</v>
      </c>
    </row>
    <row r="36" spans="1:5">
      <c r="A36" s="171" t="s">
        <v>33</v>
      </c>
      <c r="B36" s="37">
        <f>IF( ISERROR(IND_chemie_ele_kWh/1000),0,IND_chemie_ele_kWh/1000)</f>
        <v>1686.588</v>
      </c>
      <c r="C36" s="39">
        <f>IF(ISERROR(B36*3.6/1000000/'E Balans VL '!Z24*100),0,B36*3.6/1000000/'E Balans VL '!Z24*100)</f>
        <v>5.4780432628614428E-2</v>
      </c>
      <c r="D36" s="237" t="s">
        <v>661</v>
      </c>
    </row>
    <row r="37" spans="1:5">
      <c r="A37" s="171" t="s">
        <v>269</v>
      </c>
      <c r="B37" s="37">
        <f>IF( ISERROR(IND_rest_ele_kWh/1000),0,IND_rest_ele_kWh/1000)</f>
        <v>71.662000000000006</v>
      </c>
      <c r="C37" s="39">
        <f>IF(ISERROR(B37*3.6/1000000/'E Balans VL '!Z15*100),0,B37*3.6/1000000/'E Balans VL '!Z15*100)</f>
        <v>5.7855507479823132E-4</v>
      </c>
      <c r="D37" s="237" t="s">
        <v>661</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1822.9190000000001</v>
      </c>
      <c r="C5" s="17">
        <f>'Eigen informatie GS &amp; warmtenet'!B60</f>
        <v>0</v>
      </c>
      <c r="D5" s="30">
        <f>IF(ISERROR(SUM(LB_lb_gas_kWh,LB_rest_gas_kWh)/1000),0,SUM(LB_lb_gas_kWh,LB_rest_gas_kWh)/1000)*0.902</f>
        <v>1703.7012080000002</v>
      </c>
      <c r="E5" s="17">
        <f>B17*'E Balans VL '!I25/3.6*1000000/100</f>
        <v>47.006081810250777</v>
      </c>
      <c r="F5" s="17">
        <f>B17*('E Balans VL '!L25/3.6*1000000+'E Balans VL '!N25/3.6*1000000)/100</f>
        <v>6663.116103059604</v>
      </c>
      <c r="G5" s="18"/>
      <c r="H5" s="17"/>
      <c r="I5" s="17"/>
      <c r="J5" s="17">
        <f>('E Balans VL '!D25+'E Balans VL '!E25)/3.6*1000000*landbouw!B17/100</f>
        <v>262.43327690387315</v>
      </c>
      <c r="K5" s="17"/>
      <c r="L5" s="17">
        <f>L6*(-1)</f>
        <v>0</v>
      </c>
      <c r="M5" s="17"/>
      <c r="N5" s="17">
        <f>N6*(-1)</f>
        <v>0</v>
      </c>
      <c r="O5" s="17"/>
      <c r="P5" s="17"/>
      <c r="R5" s="32"/>
    </row>
    <row r="6" spans="1:18">
      <c r="A6" s="16" t="s">
        <v>490</v>
      </c>
      <c r="B6" s="17" t="s">
        <v>210</v>
      </c>
      <c r="C6" s="17">
        <f>'lokale energieproductie'!O43+'lokale energieproductie'!O36</f>
        <v>0</v>
      </c>
      <c r="D6" s="308">
        <f>('lokale energieproductie'!P36+'lokale energieproductie'!P43)*(-1)</f>
        <v>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1822.9190000000001</v>
      </c>
      <c r="C8" s="21">
        <f>C5+C6</f>
        <v>0</v>
      </c>
      <c r="D8" s="21">
        <f>MAX((D5+D6),0)</f>
        <v>1703.7012080000002</v>
      </c>
      <c r="E8" s="21">
        <f>MAX((E5+E6),0)</f>
        <v>47.006081810250777</v>
      </c>
      <c r="F8" s="21">
        <f>MAX((F5+F6),0)</f>
        <v>6663.116103059604</v>
      </c>
      <c r="G8" s="21"/>
      <c r="H8" s="21"/>
      <c r="I8" s="21"/>
      <c r="J8" s="21">
        <f>MAX((J5+J6),0)</f>
        <v>262.43327690387315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0.19866694203586405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362.15374330907525</v>
      </c>
      <c r="C12" s="23">
        <f ca="1">C8*C10</f>
        <v>0</v>
      </c>
      <c r="D12" s="23">
        <f>D8*D10</f>
        <v>344.14764401600007</v>
      </c>
      <c r="E12" s="23">
        <f>E8*E10</f>
        <v>10.670380570926927</v>
      </c>
      <c r="F12" s="23">
        <f>F8*F10</f>
        <v>1779.0519995169143</v>
      </c>
      <c r="G12" s="23"/>
      <c r="H12" s="23"/>
      <c r="I12" s="23"/>
      <c r="J12" s="23">
        <f>J8*J10</f>
        <v>92.901380023971086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0.25704365374470556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233.94942881903538</v>
      </c>
      <c r="C26" s="247">
        <f>B26*'GWP N2O_CH4'!B5</f>
        <v>4912.9380051997432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71.823520955554415</v>
      </c>
      <c r="C27" s="247">
        <f>B27*'GWP N2O_CH4'!B5</f>
        <v>1508.2939400666428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6.1946283917487692</v>
      </c>
      <c r="C28" s="247">
        <f>B28*'GWP N2O_CH4'!B4</f>
        <v>1920.3348014421185</v>
      </c>
      <c r="D28" s="50"/>
    </row>
    <row r="29" spans="1:4">
      <c r="A29" s="41" t="s">
        <v>276</v>
      </c>
      <c r="B29" s="247">
        <f>B34*'ha_N2O bodem landbouw'!B4</f>
        <v>20.54410068748917</v>
      </c>
      <c r="C29" s="247">
        <f>B29*'GWP N2O_CH4'!B4</f>
        <v>6368.6712131216427</v>
      </c>
      <c r="D29" s="50"/>
    </row>
    <row r="31" spans="1:4">
      <c r="A31" s="193" t="s">
        <v>497</v>
      </c>
      <c r="B31" s="203"/>
      <c r="C31" s="225"/>
    </row>
    <row r="32" spans="1:4">
      <c r="A32" s="236"/>
      <c r="B32" s="32"/>
      <c r="C32" s="237"/>
    </row>
    <row r="33" spans="1:5">
      <c r="A33" s="238"/>
      <c r="B33" s="224" t="s">
        <v>628</v>
      </c>
      <c r="C33" s="239" t="s">
        <v>181</v>
      </c>
    </row>
    <row r="34" spans="1:5">
      <c r="A34" s="257" t="s">
        <v>111</v>
      </c>
      <c r="B34" s="35">
        <f>IF(ISERROR(aantalCultuurgronden/'ha_N2O bodem landbouw'!B5),0,aantalCultuurgronden/'ha_N2O bodem landbouw'!B5)</f>
        <v>4.6235390535917902E-3</v>
      </c>
      <c r="C34" s="894" t="s">
        <v>657</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5.428407317404027E-4</v>
      </c>
      <c r="C5" s="437" t="s">
        <v>210</v>
      </c>
      <c r="D5" s="422">
        <f>SUM(D6:D11)</f>
        <v>1.0853418850115205E-3</v>
      </c>
      <c r="E5" s="422">
        <f>SUM(E6:E11)</f>
        <v>5.168554055486765E-3</v>
      </c>
      <c r="F5" s="435" t="s">
        <v>210</v>
      </c>
      <c r="G5" s="422">
        <f>SUM(G6:G11)</f>
        <v>1.8436522944818661</v>
      </c>
      <c r="H5" s="422">
        <f>SUM(H6:H11)</f>
        <v>0.37471621186203352</v>
      </c>
      <c r="I5" s="437" t="s">
        <v>210</v>
      </c>
      <c r="J5" s="437" t="s">
        <v>210</v>
      </c>
      <c r="K5" s="437" t="s">
        <v>210</v>
      </c>
      <c r="L5" s="437" t="s">
        <v>210</v>
      </c>
      <c r="M5" s="422">
        <f>SUM(M6:M11)</f>
        <v>6.9231473186994297E-2</v>
      </c>
      <c r="N5" s="437" t="s">
        <v>210</v>
      </c>
      <c r="O5" s="437" t="s">
        <v>210</v>
      </c>
      <c r="P5" s="438" t="s">
        <v>210</v>
      </c>
    </row>
    <row r="6" spans="1:18">
      <c r="A6" s="261" t="s">
        <v>667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2.9816685487315484E-4</v>
      </c>
      <c r="C6" s="423"/>
      <c r="D6" s="865">
        <f>vkm_GW_PW*SUMIFS(TableVerdeelsleutelVkm[CNG],TableVerdeelsleutelVkm[Voertuigtype],"Lichte voertuigen")*SUMIFS(TableECFTransport[EnergieConsumptieFactor (PJ per km)],TableECFTransport[Index],CONCATENATE($A6,"_CNG_CNG"))</f>
        <v>5.3749843349727385E-4</v>
      </c>
      <c r="E6" s="865">
        <f>vkm_GW_PW*SUMIFS(TableVerdeelsleutelVkm[LPG],TableVerdeelsleutelVkm[Voertuigtype],"Lichte voertuigen")*SUMIFS(TableECFTransport[EnergieConsumptieFactor (PJ per km)],TableECFTransport[Index],CONCATENATE($A6,"_LPG_LPG"))</f>
        <v>2.4281095498443462E-3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0.66335621481247065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0.18455267483152665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2.6400312905842906E-2</v>
      </c>
      <c r="N6" s="423"/>
      <c r="O6" s="423"/>
      <c r="P6" s="424"/>
    </row>
    <row r="7" spans="1:18">
      <c r="A7" s="261" t="s">
        <v>668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0.27616902687970374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4.9834190561858908E-6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8.6882930667518486E-3</v>
      </c>
      <c r="N7" s="423"/>
      <c r="O7" s="423"/>
      <c r="P7" s="424"/>
      <c r="R7" s="862"/>
    </row>
    <row r="8" spans="1:18">
      <c r="A8" s="261" t="s">
        <v>669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8.3320074290195749E-5</v>
      </c>
      <c r="C8" s="423"/>
      <c r="D8" s="425">
        <f>vkm_NGW_PW*SUMIFS(TableVerdeelsleutelVkm[CNG],TableVerdeelsleutelVkm[Voertuigtype],"Lichte voertuigen")*SUMIFS(TableECFTransport[EnergieConsumptieFactor (PJ per km)],TableECFTransport[Index],CONCATENATE($A8,"_CNG_CNG"))</f>
        <v>2.5529534854811588E-4</v>
      </c>
      <c r="E8" s="425">
        <f>vkm_NGW_PW*SUMIFS(TableVerdeelsleutelVkm[LPG],TableVerdeelsleutelVkm[Voertuigtype],"Lichte voertuigen")*SUMIFS(TableECFTransport[EnergieConsumptieFactor (PJ per km)],TableECFTransport[Index],CONCATENATE($A8,"_LPG_LPG"))</f>
        <v>1.0947073760071997E-3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0.2808172647918713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8.5182201219350509E-2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1.13874721976052E-2</v>
      </c>
      <c r="N8" s="423"/>
      <c r="O8" s="423"/>
      <c r="P8" s="424"/>
      <c r="R8" s="862"/>
    </row>
    <row r="9" spans="1:18">
      <c r="A9" s="261" t="s">
        <v>670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6.3414342837726182E-3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1.4125920793607172E-7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1.9950268217702803E-4</v>
      </c>
      <c r="N9" s="423"/>
      <c r="O9" s="423"/>
      <c r="P9" s="424"/>
      <c r="R9" s="862"/>
    </row>
    <row r="10" spans="1:18">
      <c r="A10" s="261" t="s">
        <v>671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1.6135380257705208E-4</v>
      </c>
      <c r="C10" s="423"/>
      <c r="D10" s="425">
        <f>vkm_SW_PW*SUMIFS(TableVerdeelsleutelVkm[CNG],TableVerdeelsleutelVkm[Voertuigtype],"Lichte voertuigen")*SUMIFS(TableECFTransport[EnergieConsumptieFactor (PJ per km)],TableECFTransport[Index],CONCATENATE($A10,"_CNG_CNG"))</f>
        <v>2.9254810296613074E-4</v>
      </c>
      <c r="E10" s="425">
        <f>vkm_SW_PW*SUMIFS(TableVerdeelsleutelVkm[LPG],TableVerdeelsleutelVkm[Voertuigtype],"Lichte voertuigen")*SUMIFS(TableECFTransport[EnergieConsumptieFactor (PJ per km)],TableECFTransport[Index],CONCATENATE($A10,"_LPG_LPG"))</f>
        <v>1.6457371296352196E-3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0.40351911100665766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0.10497209678550874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1.5840759320236868E-2</v>
      </c>
      <c r="N10" s="423"/>
      <c r="O10" s="423"/>
      <c r="P10" s="424"/>
      <c r="R10" s="862"/>
    </row>
    <row r="11" spans="1:18">
      <c r="A11" s="4" t="s">
        <v>672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0.21344924270738991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4.1143473835072366E-6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6.715133014380449E-3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150.78909215011188</v>
      </c>
      <c r="C14" s="21"/>
      <c r="D14" s="21">
        <f t="shared" ref="D14:M14" si="0">((D5)*10^9/3600)+D12</f>
        <v>301.4838569476446</v>
      </c>
      <c r="E14" s="21">
        <f t="shared" si="0"/>
        <v>1435.7094598574347</v>
      </c>
      <c r="F14" s="21"/>
      <c r="G14" s="21">
        <f t="shared" si="0"/>
        <v>512125.63735607394</v>
      </c>
      <c r="H14" s="21">
        <f t="shared" si="0"/>
        <v>104087.83662834266</v>
      </c>
      <c r="I14" s="21"/>
      <c r="J14" s="21"/>
      <c r="K14" s="21"/>
      <c r="L14" s="21"/>
      <c r="M14" s="21">
        <f t="shared" si="0"/>
        <v>19230.964774165084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0.19866694203586405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29.95680782982684</v>
      </c>
      <c r="C18" s="23"/>
      <c r="D18" s="23">
        <f t="shared" ref="D18:M18" si="1">D14*D16</f>
        <v>60.89973910342421</v>
      </c>
      <c r="E18" s="23">
        <f t="shared" si="1"/>
        <v>325.90604738763767</v>
      </c>
      <c r="F18" s="23"/>
      <c r="G18" s="23">
        <f t="shared" si="1"/>
        <v>136737.54517407174</v>
      </c>
      <c r="H18" s="23">
        <f t="shared" si="1"/>
        <v>25917.871320457321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673</v>
      </c>
      <c r="D23" s="897" t="s">
        <v>674</v>
      </c>
      <c r="E23" s="897" t="s">
        <v>675</v>
      </c>
      <c r="F23" s="897" t="s">
        <v>652</v>
      </c>
      <c r="G23" s="897" t="s">
        <v>676</v>
      </c>
      <c r="H23" s="897" t="s">
        <v>677</v>
      </c>
      <c r="I23" s="897" t="s">
        <v>118</v>
      </c>
      <c r="J23" s="897" t="s">
        <v>678</v>
      </c>
      <c r="K23" s="897" t="s">
        <v>679</v>
      </c>
      <c r="L23" s="898" t="s">
        <v>680</v>
      </c>
      <c r="M23" s="129" t="s">
        <v>181</v>
      </c>
      <c r="N23" s="268" t="s">
        <v>315</v>
      </c>
    </row>
    <row r="24" spans="1:18">
      <c r="A24" s="32" t="s">
        <v>665</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878</v>
      </c>
      <c r="N24" s="864">
        <f>SUM(B24:K24)</f>
        <v>1.000871421</v>
      </c>
      <c r="O24" s="862" t="s">
        <v>653</v>
      </c>
    </row>
    <row r="25" spans="1:18">
      <c r="A25" s="32" t="s">
        <v>666</v>
      </c>
      <c r="B25" s="1042"/>
      <c r="C25" s="1041">
        <v>0.99997244699999999</v>
      </c>
      <c r="D25" s="1042"/>
      <c r="E25" s="1042"/>
      <c r="F25" s="1041"/>
      <c r="G25" s="1042"/>
      <c r="H25" s="1042"/>
      <c r="I25" s="1042"/>
      <c r="J25" s="1042">
        <v>2.7553399999999999E-5</v>
      </c>
      <c r="K25" s="1042"/>
      <c r="M25" s="1048" t="s">
        <v>878</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880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6.1262781577122311E-2</v>
      </c>
      <c r="H50" s="319">
        <f t="shared" si="2"/>
        <v>0</v>
      </c>
      <c r="I50" s="319">
        <f t="shared" si="2"/>
        <v>0</v>
      </c>
      <c r="J50" s="319">
        <f t="shared" si="2"/>
        <v>0</v>
      </c>
      <c r="K50" s="319">
        <f t="shared" si="2"/>
        <v>0</v>
      </c>
      <c r="L50" s="319">
        <f t="shared" si="2"/>
        <v>0</v>
      </c>
      <c r="M50" s="319">
        <f t="shared" si="2"/>
        <v>1.8978356357390244E-3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6.1262781577122311E-2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1.8978356357390244E-3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17017.43932697842</v>
      </c>
      <c r="H54" s="21">
        <f t="shared" si="3"/>
        <v>0</v>
      </c>
      <c r="I54" s="21">
        <f t="shared" si="3"/>
        <v>0</v>
      </c>
      <c r="J54" s="21">
        <f t="shared" si="3"/>
        <v>0</v>
      </c>
      <c r="K54" s="21">
        <f t="shared" si="3"/>
        <v>0</v>
      </c>
      <c r="L54" s="21">
        <f t="shared" si="3"/>
        <v>0</v>
      </c>
      <c r="M54" s="21">
        <f t="shared" si="3"/>
        <v>527.1765654830624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0.19866694203586405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4543.6563003032379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563</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712</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564</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203984.75599999999</v>
      </c>
      <c r="D10" s="978">
        <f ca="1">tertiair!C16</f>
        <v>2890.9285714285716</v>
      </c>
      <c r="E10" s="978">
        <f ca="1">tertiair!D16</f>
        <v>206730.01574914291</v>
      </c>
      <c r="F10" s="978">
        <f>tertiair!E16</f>
        <v>3613.591350568277</v>
      </c>
      <c r="G10" s="978">
        <f ca="1">tertiair!F16</f>
        <v>49467.519524098396</v>
      </c>
      <c r="H10" s="978">
        <f>tertiair!G16</f>
        <v>0</v>
      </c>
      <c r="I10" s="978">
        <f>tertiair!H16</f>
        <v>0</v>
      </c>
      <c r="J10" s="978">
        <f>tertiair!I16</f>
        <v>0</v>
      </c>
      <c r="K10" s="978">
        <f>tertiair!J16</f>
        <v>0</v>
      </c>
      <c r="L10" s="978">
        <f>tertiair!K16</f>
        <v>0</v>
      </c>
      <c r="M10" s="978">
        <f ca="1">tertiair!L16</f>
        <v>0</v>
      </c>
      <c r="N10" s="978">
        <f>tertiair!M16</f>
        <v>0</v>
      </c>
      <c r="O10" s="978">
        <f ca="1">tertiair!N16</f>
        <v>9994.1732423979047</v>
      </c>
      <c r="P10" s="978">
        <f>tertiair!O16</f>
        <v>10.943333333333335</v>
      </c>
      <c r="Q10" s="979">
        <f>tertiair!P16</f>
        <v>190.66666666666669</v>
      </c>
      <c r="R10" s="674">
        <f ca="1">SUM(C10:Q10)</f>
        <v>476882.59443763609</v>
      </c>
      <c r="S10" s="67"/>
    </row>
    <row r="11" spans="1:19" s="447" customFormat="1">
      <c r="A11" s="783" t="s">
        <v>224</v>
      </c>
      <c r="B11" s="788"/>
      <c r="C11" s="978">
        <f>huishoudens!B8</f>
        <v>127327.01895259536</v>
      </c>
      <c r="D11" s="978">
        <f>huishoudens!C8</f>
        <v>0</v>
      </c>
      <c r="E11" s="978">
        <f>huishoudens!D8</f>
        <v>291992.96220600005</v>
      </c>
      <c r="F11" s="978">
        <f>huishoudens!E8</f>
        <v>45196.626116307816</v>
      </c>
      <c r="G11" s="978">
        <f>huishoudens!F8</f>
        <v>63497.484062835152</v>
      </c>
      <c r="H11" s="978">
        <f>huishoudens!G8</f>
        <v>0</v>
      </c>
      <c r="I11" s="978">
        <f>huishoudens!H8</f>
        <v>0</v>
      </c>
      <c r="J11" s="978">
        <f>huishoudens!I8</f>
        <v>0</v>
      </c>
      <c r="K11" s="978">
        <f>huishoudens!J8</f>
        <v>0</v>
      </c>
      <c r="L11" s="978">
        <f>huishoudens!K8</f>
        <v>0</v>
      </c>
      <c r="M11" s="978">
        <f>huishoudens!L8</f>
        <v>0</v>
      </c>
      <c r="N11" s="978">
        <f>huishoudens!M8</f>
        <v>0</v>
      </c>
      <c r="O11" s="978">
        <f>huishoudens!N8</f>
        <v>34800.175118669824</v>
      </c>
      <c r="P11" s="978">
        <f>huishoudens!O8</f>
        <v>1013.04</v>
      </c>
      <c r="Q11" s="979">
        <f>huishoudens!P8</f>
        <v>3031.6</v>
      </c>
      <c r="R11" s="674">
        <f>SUM(C11:Q11)</f>
        <v>566858.90645640821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642</v>
      </c>
      <c r="B13" s="792" t="s">
        <v>640</v>
      </c>
      <c r="C13" s="978">
        <f>industrie!B18</f>
        <v>67965.398000000001</v>
      </c>
      <c r="D13" s="978">
        <f>industrie!C18</f>
        <v>321.42857142857144</v>
      </c>
      <c r="E13" s="978">
        <f>industrie!D18</f>
        <v>113395.47216314287</v>
      </c>
      <c r="F13" s="978">
        <f>industrie!E18</f>
        <v>9085.8821211277336</v>
      </c>
      <c r="G13" s="978">
        <f>industrie!F18</f>
        <v>34704.3665165001</v>
      </c>
      <c r="H13" s="978">
        <f>industrie!G18</f>
        <v>0</v>
      </c>
      <c r="I13" s="978">
        <f>industrie!H18</f>
        <v>0</v>
      </c>
      <c r="J13" s="978">
        <f>industrie!I18</f>
        <v>0</v>
      </c>
      <c r="K13" s="978">
        <f>industrie!J18</f>
        <v>263.71991711281726</v>
      </c>
      <c r="L13" s="978">
        <f>industrie!K18</f>
        <v>0</v>
      </c>
      <c r="M13" s="978">
        <f>industrie!L18</f>
        <v>0</v>
      </c>
      <c r="N13" s="978">
        <f>industrie!M18</f>
        <v>0</v>
      </c>
      <c r="O13" s="978">
        <f>industrie!N18</f>
        <v>7608.9072357977211</v>
      </c>
      <c r="P13" s="978">
        <f>industrie!O18</f>
        <v>0</v>
      </c>
      <c r="Q13" s="979">
        <f>industrie!P18</f>
        <v>0</v>
      </c>
      <c r="R13" s="674">
        <f>SUM(C13:Q13)</f>
        <v>233345.17452510982</v>
      </c>
      <c r="S13" s="67"/>
    </row>
    <row r="14" spans="1:19" s="447" customFormat="1">
      <c r="A14" s="783"/>
      <c r="B14" s="792" t="s">
        <v>641</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834</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399277.17295259534</v>
      </c>
      <c r="D16" s="706">
        <f t="shared" ref="D16:R16" ca="1" si="0">SUM(D9:D15)</f>
        <v>3212.3571428571431</v>
      </c>
      <c r="E16" s="706">
        <f t="shared" ca="1" si="0"/>
        <v>612118.45011828584</v>
      </c>
      <c r="F16" s="706">
        <f t="shared" si="0"/>
        <v>57896.099588003824</v>
      </c>
      <c r="G16" s="706">
        <f t="shared" ca="1" si="0"/>
        <v>147669.37010343364</v>
      </c>
      <c r="H16" s="706">
        <f t="shared" si="0"/>
        <v>0</v>
      </c>
      <c r="I16" s="706">
        <f t="shared" si="0"/>
        <v>0</v>
      </c>
      <c r="J16" s="706">
        <f t="shared" si="0"/>
        <v>0</v>
      </c>
      <c r="K16" s="706">
        <f t="shared" si="0"/>
        <v>263.71991711281726</v>
      </c>
      <c r="L16" s="706">
        <f t="shared" si="0"/>
        <v>0</v>
      </c>
      <c r="M16" s="706">
        <f t="shared" ca="1" si="0"/>
        <v>0</v>
      </c>
      <c r="N16" s="706">
        <f t="shared" si="0"/>
        <v>0</v>
      </c>
      <c r="O16" s="706">
        <f t="shared" ca="1" si="0"/>
        <v>52403.255596865449</v>
      </c>
      <c r="P16" s="706">
        <f t="shared" si="0"/>
        <v>1023.9833333333333</v>
      </c>
      <c r="Q16" s="706">
        <f t="shared" si="0"/>
        <v>3222.2666666666664</v>
      </c>
      <c r="R16" s="706">
        <f t="shared" ca="1" si="0"/>
        <v>1277086.6754191541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17017.43932697842</v>
      </c>
      <c r="I19" s="978">
        <f>transport!H54</f>
        <v>0</v>
      </c>
      <c r="J19" s="978">
        <f>transport!I54</f>
        <v>0</v>
      </c>
      <c r="K19" s="978">
        <f>transport!J54</f>
        <v>0</v>
      </c>
      <c r="L19" s="978">
        <f>transport!K54</f>
        <v>0</v>
      </c>
      <c r="M19" s="978">
        <f>transport!L54</f>
        <v>0</v>
      </c>
      <c r="N19" s="978">
        <f>transport!M54</f>
        <v>527.1765654830624</v>
      </c>
      <c r="O19" s="978">
        <f>transport!N54</f>
        <v>0</v>
      </c>
      <c r="P19" s="978">
        <f>transport!O54</f>
        <v>0</v>
      </c>
      <c r="Q19" s="979">
        <f>transport!P54</f>
        <v>0</v>
      </c>
      <c r="R19" s="674">
        <f>SUM(C19:Q19)</f>
        <v>17544.615892461483</v>
      </c>
      <c r="S19" s="67"/>
    </row>
    <row r="20" spans="1:19" s="447" customFormat="1">
      <c r="A20" s="783" t="s">
        <v>306</v>
      </c>
      <c r="B20" s="788"/>
      <c r="C20" s="978">
        <f>transport!B14</f>
        <v>150.78909215011188</v>
      </c>
      <c r="D20" s="978">
        <f>transport!C14</f>
        <v>0</v>
      </c>
      <c r="E20" s="978">
        <f>transport!D14</f>
        <v>301.4838569476446</v>
      </c>
      <c r="F20" s="978">
        <f>transport!E14</f>
        <v>1435.7094598574347</v>
      </c>
      <c r="G20" s="978">
        <f>transport!F14</f>
        <v>0</v>
      </c>
      <c r="H20" s="978">
        <f>transport!G14</f>
        <v>512125.63735607394</v>
      </c>
      <c r="I20" s="978">
        <f>transport!H14</f>
        <v>104087.83662834266</v>
      </c>
      <c r="J20" s="978">
        <f>transport!I14</f>
        <v>0</v>
      </c>
      <c r="K20" s="978">
        <f>transport!J14</f>
        <v>0</v>
      </c>
      <c r="L20" s="978">
        <f>transport!K14</f>
        <v>0</v>
      </c>
      <c r="M20" s="978">
        <f>transport!L14</f>
        <v>0</v>
      </c>
      <c r="N20" s="978">
        <f>transport!M14</f>
        <v>19230.964774165084</v>
      </c>
      <c r="O20" s="978">
        <f>transport!N14</f>
        <v>0</v>
      </c>
      <c r="P20" s="978">
        <f>transport!O14</f>
        <v>0</v>
      </c>
      <c r="Q20" s="979">
        <f>transport!P14</f>
        <v>0</v>
      </c>
      <c r="R20" s="674">
        <f>SUM(C20:Q20)</f>
        <v>637332.42116753687</v>
      </c>
      <c r="S20" s="67"/>
    </row>
    <row r="21" spans="1:19" s="447" customFormat="1" ht="15" thickBot="1">
      <c r="A21" s="805" t="s">
        <v>835</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150.78909215011188</v>
      </c>
      <c r="D22" s="786">
        <f t="shared" ref="D22:R22" si="1">SUM(D18:D21)</f>
        <v>0</v>
      </c>
      <c r="E22" s="786">
        <f t="shared" si="1"/>
        <v>301.4838569476446</v>
      </c>
      <c r="F22" s="786">
        <f t="shared" si="1"/>
        <v>1435.7094598574347</v>
      </c>
      <c r="G22" s="786">
        <f t="shared" si="1"/>
        <v>0</v>
      </c>
      <c r="H22" s="786">
        <f t="shared" si="1"/>
        <v>529143.07668305235</v>
      </c>
      <c r="I22" s="786">
        <f t="shared" si="1"/>
        <v>104087.83662834266</v>
      </c>
      <c r="J22" s="786">
        <f t="shared" si="1"/>
        <v>0</v>
      </c>
      <c r="K22" s="786">
        <f t="shared" si="1"/>
        <v>0</v>
      </c>
      <c r="L22" s="786">
        <f t="shared" si="1"/>
        <v>0</v>
      </c>
      <c r="M22" s="786">
        <f t="shared" si="1"/>
        <v>0</v>
      </c>
      <c r="N22" s="786">
        <f t="shared" si="1"/>
        <v>19758.141339648148</v>
      </c>
      <c r="O22" s="786">
        <f t="shared" si="1"/>
        <v>0</v>
      </c>
      <c r="P22" s="786">
        <f t="shared" si="1"/>
        <v>0</v>
      </c>
      <c r="Q22" s="786">
        <f t="shared" si="1"/>
        <v>0</v>
      </c>
      <c r="R22" s="786">
        <f t="shared" si="1"/>
        <v>654877.03705999837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637</v>
      </c>
      <c r="B24" s="788"/>
      <c r="C24" s="978">
        <f>+landbouw!B8</f>
        <v>1822.9190000000001</v>
      </c>
      <c r="D24" s="978">
        <f>+landbouw!C8</f>
        <v>0</v>
      </c>
      <c r="E24" s="978">
        <f>+landbouw!D8</f>
        <v>1703.7012080000002</v>
      </c>
      <c r="F24" s="978">
        <f>+landbouw!E8</f>
        <v>47.006081810250777</v>
      </c>
      <c r="G24" s="978">
        <f>+landbouw!F8</f>
        <v>6663.116103059604</v>
      </c>
      <c r="H24" s="978">
        <f>+landbouw!G8</f>
        <v>0</v>
      </c>
      <c r="I24" s="978">
        <f>+landbouw!H8</f>
        <v>0</v>
      </c>
      <c r="J24" s="978">
        <f>+landbouw!I8</f>
        <v>0</v>
      </c>
      <c r="K24" s="978">
        <f>+landbouw!J8</f>
        <v>262.43327690387315</v>
      </c>
      <c r="L24" s="978">
        <f>+landbouw!K8</f>
        <v>0</v>
      </c>
      <c r="M24" s="978">
        <f>+landbouw!L8</f>
        <v>0</v>
      </c>
      <c r="N24" s="978">
        <f>+landbouw!M8</f>
        <v>0</v>
      </c>
      <c r="O24" s="978">
        <f>+landbouw!N8</f>
        <v>0</v>
      </c>
      <c r="P24" s="978">
        <f>+landbouw!O8</f>
        <v>0</v>
      </c>
      <c r="Q24" s="979">
        <f>+landbouw!P8</f>
        <v>0</v>
      </c>
      <c r="R24" s="674">
        <f>SUM(C24:Q24)</f>
        <v>10499.175669773729</v>
      </c>
      <c r="S24" s="67"/>
    </row>
    <row r="25" spans="1:19" s="447" customFormat="1" ht="15" thickBot="1">
      <c r="A25" s="805" t="s">
        <v>836</v>
      </c>
      <c r="B25" s="981"/>
      <c r="C25" s="982">
        <f>IF(Onbekend_ele_kWh="---",0,Onbekend_ele_kWh)/1000+IF(REST_rest_ele_kWh="---",0,REST_rest_ele_kWh)/1000</f>
        <v>5838.049</v>
      </c>
      <c r="D25" s="982"/>
      <c r="E25" s="982">
        <f>IF(onbekend_gas_kWh="---",0,onbekend_gas_kWh)/1000+IF(REST_rest_gas_kWh="---",0,REST_rest_gas_kWh)/1000</f>
        <v>14210.207</v>
      </c>
      <c r="F25" s="982"/>
      <c r="G25" s="982"/>
      <c r="H25" s="982"/>
      <c r="I25" s="982"/>
      <c r="J25" s="982"/>
      <c r="K25" s="982"/>
      <c r="L25" s="982"/>
      <c r="M25" s="982"/>
      <c r="N25" s="982"/>
      <c r="O25" s="982"/>
      <c r="P25" s="982"/>
      <c r="Q25" s="983"/>
      <c r="R25" s="674">
        <f>SUM(C25:Q25)</f>
        <v>20048.256000000001</v>
      </c>
      <c r="S25" s="67"/>
    </row>
    <row r="26" spans="1:19" s="447" customFormat="1" ht="15.75" thickBot="1">
      <c r="A26" s="679" t="s">
        <v>837</v>
      </c>
      <c r="B26" s="791"/>
      <c r="C26" s="786">
        <f>SUM(C24:C25)</f>
        <v>7660.9679999999998</v>
      </c>
      <c r="D26" s="786">
        <f t="shared" ref="D26:R26" si="2">SUM(D24:D25)</f>
        <v>0</v>
      </c>
      <c r="E26" s="786">
        <f t="shared" si="2"/>
        <v>15913.908208000001</v>
      </c>
      <c r="F26" s="786">
        <f t="shared" si="2"/>
        <v>47.006081810250777</v>
      </c>
      <c r="G26" s="786">
        <f t="shared" si="2"/>
        <v>6663.116103059604</v>
      </c>
      <c r="H26" s="786">
        <f t="shared" si="2"/>
        <v>0</v>
      </c>
      <c r="I26" s="786">
        <f t="shared" si="2"/>
        <v>0</v>
      </c>
      <c r="J26" s="786">
        <f t="shared" si="2"/>
        <v>0</v>
      </c>
      <c r="K26" s="786">
        <f t="shared" si="2"/>
        <v>262.43327690387315</v>
      </c>
      <c r="L26" s="786">
        <f t="shared" si="2"/>
        <v>0</v>
      </c>
      <c r="M26" s="786">
        <f t="shared" si="2"/>
        <v>0</v>
      </c>
      <c r="N26" s="786">
        <f t="shared" si="2"/>
        <v>0</v>
      </c>
      <c r="O26" s="786">
        <f t="shared" si="2"/>
        <v>0</v>
      </c>
      <c r="P26" s="786">
        <f t="shared" si="2"/>
        <v>0</v>
      </c>
      <c r="Q26" s="786">
        <f t="shared" si="2"/>
        <v>0</v>
      </c>
      <c r="R26" s="786">
        <f t="shared" si="2"/>
        <v>30547.43166977373</v>
      </c>
      <c r="S26" s="67"/>
    </row>
    <row r="27" spans="1:19" s="447" customFormat="1" ht="17.25" thickTop="1" thickBot="1">
      <c r="A27" s="680" t="s">
        <v>115</v>
      </c>
      <c r="B27" s="779"/>
      <c r="C27" s="681">
        <f ca="1">C22+C16+C26</f>
        <v>407088.93004474544</v>
      </c>
      <c r="D27" s="681">
        <f t="shared" ref="D27:R27" ca="1" si="3">D22+D16+D26</f>
        <v>3212.3571428571431</v>
      </c>
      <c r="E27" s="681">
        <f t="shared" ca="1" si="3"/>
        <v>628333.84218323347</v>
      </c>
      <c r="F27" s="681">
        <f t="shared" si="3"/>
        <v>59378.815129671508</v>
      </c>
      <c r="G27" s="681">
        <f t="shared" ca="1" si="3"/>
        <v>154332.48620649325</v>
      </c>
      <c r="H27" s="681">
        <f t="shared" si="3"/>
        <v>529143.07668305235</v>
      </c>
      <c r="I27" s="681">
        <f t="shared" si="3"/>
        <v>104087.83662834266</v>
      </c>
      <c r="J27" s="681">
        <f t="shared" si="3"/>
        <v>0</v>
      </c>
      <c r="K27" s="681">
        <f t="shared" si="3"/>
        <v>526.15319401669035</v>
      </c>
      <c r="L27" s="681">
        <f t="shared" si="3"/>
        <v>0</v>
      </c>
      <c r="M27" s="681">
        <f t="shared" ca="1" si="3"/>
        <v>0</v>
      </c>
      <c r="N27" s="681">
        <f t="shared" si="3"/>
        <v>19758.141339648148</v>
      </c>
      <c r="O27" s="681">
        <f t="shared" ca="1" si="3"/>
        <v>52403.255596865449</v>
      </c>
      <c r="P27" s="681">
        <f t="shared" si="3"/>
        <v>1023.9833333333333</v>
      </c>
      <c r="Q27" s="681">
        <f t="shared" si="3"/>
        <v>3222.2666666666664</v>
      </c>
      <c r="R27" s="681">
        <f t="shared" ca="1" si="3"/>
        <v>1962511.1441489263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40525.027696451871</v>
      </c>
      <c r="D40" s="978">
        <f ca="1">tertiair!C20</f>
        <v>687.02067226890779</v>
      </c>
      <c r="E40" s="978">
        <f ca="1">tertiair!D20</f>
        <v>41759.463181326872</v>
      </c>
      <c r="F40" s="978">
        <f>tertiair!E20</f>
        <v>820.28523657899893</v>
      </c>
      <c r="G40" s="978">
        <f ca="1">tertiair!F20</f>
        <v>13207.827712934273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96999.62449956093</v>
      </c>
    </row>
    <row r="41" spans="1:18">
      <c r="A41" s="796" t="s">
        <v>224</v>
      </c>
      <c r="B41" s="803"/>
      <c r="C41" s="978">
        <f ca="1">huishoudens!B12</f>
        <v>25295.669493854624</v>
      </c>
      <c r="D41" s="978">
        <f ca="1">huishoudens!C12</f>
        <v>0</v>
      </c>
      <c r="E41" s="978">
        <f>huishoudens!D12</f>
        <v>58982.578365612018</v>
      </c>
      <c r="F41" s="978">
        <f>huishoudens!E12</f>
        <v>10259.634128401874</v>
      </c>
      <c r="G41" s="978">
        <f>huishoudens!F12</f>
        <v>16953.828244776985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111491.71023264551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643</v>
      </c>
      <c r="B43" s="811" t="s">
        <v>640</v>
      </c>
      <c r="C43" s="978">
        <f ca="1">industrie!B22</f>
        <v>13502.47778491043</v>
      </c>
      <c r="D43" s="978">
        <f ca="1">industrie!C22</f>
        <v>76.386554621848759</v>
      </c>
      <c r="E43" s="978">
        <f>industrie!D22</f>
        <v>22905.885376954862</v>
      </c>
      <c r="F43" s="978">
        <f>industrie!E22</f>
        <v>2062.4952414959957</v>
      </c>
      <c r="G43" s="978">
        <f>industrie!F22</f>
        <v>9266.0658599055278</v>
      </c>
      <c r="H43" s="978">
        <f>industrie!G22</f>
        <v>0</v>
      </c>
      <c r="I43" s="978">
        <f>industrie!H22</f>
        <v>0</v>
      </c>
      <c r="J43" s="978">
        <f>industrie!I22</f>
        <v>0</v>
      </c>
      <c r="K43" s="978">
        <f>industrie!J22</f>
        <v>93.356850657937301</v>
      </c>
      <c r="L43" s="978">
        <f>industrie!K22</f>
        <v>0</v>
      </c>
      <c r="M43" s="978">
        <f>industrie!L22</f>
        <v>0</v>
      </c>
      <c r="N43" s="978">
        <f>industrie!M22</f>
        <v>0</v>
      </c>
      <c r="O43" s="978">
        <f>industrie!N22</f>
        <v>0</v>
      </c>
      <c r="P43" s="978">
        <f>industrie!O22</f>
        <v>0</v>
      </c>
      <c r="Q43" s="748">
        <f>industrie!P22</f>
        <v>0</v>
      </c>
      <c r="R43" s="823">
        <f t="shared" ca="1" si="4"/>
        <v>47906.667668546615</v>
      </c>
    </row>
    <row r="44" spans="1:18">
      <c r="A44" s="796"/>
      <c r="B44" s="803" t="s">
        <v>641</v>
      </c>
      <c r="C44" s="978"/>
      <c r="D44" s="978"/>
      <c r="E44" s="978"/>
      <c r="F44" s="978"/>
      <c r="G44" s="978"/>
      <c r="H44" s="978"/>
      <c r="I44" s="978"/>
      <c r="J44" s="978"/>
      <c r="K44" s="978"/>
      <c r="L44" s="978"/>
      <c r="M44" s="978"/>
      <c r="N44" s="978"/>
      <c r="O44" s="978"/>
      <c r="P44" s="978"/>
      <c r="Q44" s="748"/>
      <c r="R44" s="824">
        <f t="shared" si="4"/>
        <v>0</v>
      </c>
    </row>
    <row r="45" spans="1:18" ht="15" thickBot="1">
      <c r="A45" s="980" t="s">
        <v>834</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79323.174975216927</v>
      </c>
      <c r="D46" s="706">
        <f t="shared" ref="D46:Q46" ca="1" si="5">SUM(D39:D45)</f>
        <v>763.40722689075653</v>
      </c>
      <c r="E46" s="706">
        <f t="shared" ca="1" si="5"/>
        <v>123647.92692389374</v>
      </c>
      <c r="F46" s="706">
        <f t="shared" si="5"/>
        <v>13142.414606476868</v>
      </c>
      <c r="G46" s="706">
        <f t="shared" ca="1" si="5"/>
        <v>39427.721817616781</v>
      </c>
      <c r="H46" s="706">
        <f t="shared" si="5"/>
        <v>0</v>
      </c>
      <c r="I46" s="706">
        <f t="shared" si="5"/>
        <v>0</v>
      </c>
      <c r="J46" s="706">
        <f t="shared" si="5"/>
        <v>0</v>
      </c>
      <c r="K46" s="706">
        <f t="shared" si="5"/>
        <v>93.356850657937301</v>
      </c>
      <c r="L46" s="706">
        <f t="shared" si="5"/>
        <v>0</v>
      </c>
      <c r="M46" s="706">
        <f t="shared" ca="1" si="5"/>
        <v>0</v>
      </c>
      <c r="N46" s="706">
        <f t="shared" si="5"/>
        <v>0</v>
      </c>
      <c r="O46" s="706">
        <f t="shared" ca="1" si="5"/>
        <v>0</v>
      </c>
      <c r="P46" s="706">
        <f t="shared" si="5"/>
        <v>0</v>
      </c>
      <c r="Q46" s="706">
        <f t="shared" si="5"/>
        <v>0</v>
      </c>
      <c r="R46" s="706">
        <f ca="1">SUM(R39:R45)</f>
        <v>256398.00240075303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4543.6563003032379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4543.6563003032379</v>
      </c>
    </row>
    <row r="50" spans="1:18">
      <c r="A50" s="799" t="s">
        <v>306</v>
      </c>
      <c r="B50" s="809"/>
      <c r="C50" s="677">
        <f ca="1">transport!B18</f>
        <v>29.95680782982684</v>
      </c>
      <c r="D50" s="677">
        <f>transport!C18</f>
        <v>0</v>
      </c>
      <c r="E50" s="677">
        <f>transport!D18</f>
        <v>60.89973910342421</v>
      </c>
      <c r="F50" s="677">
        <f>transport!E18</f>
        <v>325.90604738763767</v>
      </c>
      <c r="G50" s="677">
        <f>transport!F18</f>
        <v>0</v>
      </c>
      <c r="H50" s="677">
        <f>transport!G18</f>
        <v>136737.54517407174</v>
      </c>
      <c r="I50" s="677">
        <f>transport!H18</f>
        <v>25917.871320457321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163072.17908884995</v>
      </c>
    </row>
    <row r="51" spans="1:18" ht="15" thickBot="1">
      <c r="A51" s="796" t="s">
        <v>835</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29.95680782982684</v>
      </c>
      <c r="D52" s="706">
        <f t="shared" ref="D52:Q52" ca="1" si="6">SUM(D48:D51)</f>
        <v>0</v>
      </c>
      <c r="E52" s="706">
        <f t="shared" si="6"/>
        <v>60.89973910342421</v>
      </c>
      <c r="F52" s="706">
        <f t="shared" si="6"/>
        <v>325.90604738763767</v>
      </c>
      <c r="G52" s="706">
        <f t="shared" si="6"/>
        <v>0</v>
      </c>
      <c r="H52" s="706">
        <f t="shared" si="6"/>
        <v>141281.20147437498</v>
      </c>
      <c r="I52" s="706">
        <f t="shared" si="6"/>
        <v>25917.871320457321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167615.83538915319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637</v>
      </c>
      <c r="B54" s="809"/>
      <c r="C54" s="677">
        <f ca="1">+landbouw!B12</f>
        <v>362.15374330907525</v>
      </c>
      <c r="D54" s="677">
        <f ca="1">+landbouw!C12</f>
        <v>0</v>
      </c>
      <c r="E54" s="677">
        <f>+landbouw!D12</f>
        <v>344.14764401600007</v>
      </c>
      <c r="F54" s="677">
        <f>+landbouw!E12</f>
        <v>10.670380570926927</v>
      </c>
      <c r="G54" s="677">
        <f>+landbouw!F12</f>
        <v>1779.0519995169143</v>
      </c>
      <c r="H54" s="677">
        <f>+landbouw!G12</f>
        <v>0</v>
      </c>
      <c r="I54" s="677">
        <f>+landbouw!H12</f>
        <v>0</v>
      </c>
      <c r="J54" s="677">
        <f>+landbouw!I12</f>
        <v>0</v>
      </c>
      <c r="K54" s="677">
        <f>+landbouw!J12</f>
        <v>92.901380023971086</v>
      </c>
      <c r="L54" s="677">
        <f>+landbouw!K12</f>
        <v>0</v>
      </c>
      <c r="M54" s="677">
        <f>+landbouw!L12</f>
        <v>0</v>
      </c>
      <c r="N54" s="677">
        <f>+landbouw!M12</f>
        <v>0</v>
      </c>
      <c r="O54" s="677">
        <f>+landbouw!N12</f>
        <v>0</v>
      </c>
      <c r="P54" s="677">
        <f>+landbouw!O12</f>
        <v>0</v>
      </c>
      <c r="Q54" s="678">
        <f>+landbouw!P12</f>
        <v>0</v>
      </c>
      <c r="R54" s="705">
        <f ca="1">SUM(C54:Q54)</f>
        <v>2588.9251474368875</v>
      </c>
    </row>
    <row r="55" spans="1:18" ht="15" thickBot="1">
      <c r="A55" s="799" t="s">
        <v>836</v>
      </c>
      <c r="B55" s="809"/>
      <c r="C55" s="677">
        <f ca="1">C25*'EF ele_warmte'!B12</f>
        <v>1159.8273422855341</v>
      </c>
      <c r="D55" s="677"/>
      <c r="E55" s="677">
        <f>E25*EF_CO2_aardgas</f>
        <v>2870.4618140000002</v>
      </c>
      <c r="F55" s="677"/>
      <c r="G55" s="677"/>
      <c r="H55" s="677"/>
      <c r="I55" s="677"/>
      <c r="J55" s="677"/>
      <c r="K55" s="677"/>
      <c r="L55" s="677"/>
      <c r="M55" s="677"/>
      <c r="N55" s="677"/>
      <c r="O55" s="677"/>
      <c r="P55" s="677"/>
      <c r="Q55" s="678"/>
      <c r="R55" s="705">
        <f ca="1">SUM(C55:Q55)</f>
        <v>4030.2891562855343</v>
      </c>
    </row>
    <row r="56" spans="1:18" ht="15.75" thickBot="1">
      <c r="A56" s="797" t="s">
        <v>837</v>
      </c>
      <c r="B56" s="810"/>
      <c r="C56" s="706">
        <f ca="1">SUM(C54:C55)</f>
        <v>1521.9810855946093</v>
      </c>
      <c r="D56" s="706">
        <f t="shared" ref="D56:Q56" ca="1" si="7">SUM(D54:D55)</f>
        <v>0</v>
      </c>
      <c r="E56" s="706">
        <f t="shared" si="7"/>
        <v>3214.6094580160002</v>
      </c>
      <c r="F56" s="706">
        <f t="shared" si="7"/>
        <v>10.670380570926927</v>
      </c>
      <c r="G56" s="706">
        <f t="shared" si="7"/>
        <v>1779.0519995169143</v>
      </c>
      <c r="H56" s="706">
        <f t="shared" si="7"/>
        <v>0</v>
      </c>
      <c r="I56" s="706">
        <f t="shared" si="7"/>
        <v>0</v>
      </c>
      <c r="J56" s="706">
        <f t="shared" si="7"/>
        <v>0</v>
      </c>
      <c r="K56" s="706">
        <f t="shared" si="7"/>
        <v>92.901380023971086</v>
      </c>
      <c r="L56" s="706">
        <f t="shared" si="7"/>
        <v>0</v>
      </c>
      <c r="M56" s="706">
        <f t="shared" si="7"/>
        <v>0</v>
      </c>
      <c r="N56" s="706">
        <f t="shared" si="7"/>
        <v>0</v>
      </c>
      <c r="O56" s="706">
        <f t="shared" si="7"/>
        <v>0</v>
      </c>
      <c r="P56" s="706">
        <f t="shared" si="7"/>
        <v>0</v>
      </c>
      <c r="Q56" s="707">
        <f t="shared" si="7"/>
        <v>0</v>
      </c>
      <c r="R56" s="708">
        <f ca="1">SUM(R54:R55)</f>
        <v>6619.2143037224214</v>
      </c>
    </row>
    <row r="57" spans="1:18" ht="15.75">
      <c r="A57" s="778" t="s">
        <v>638</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80875.112868641372</v>
      </c>
      <c r="D61" s="714">
        <f t="shared" ref="D61:Q61" ca="1" si="8">D46+D52+D56</f>
        <v>763.40722689075653</v>
      </c>
      <c r="E61" s="714">
        <f t="shared" ca="1" si="8"/>
        <v>126923.43612101316</v>
      </c>
      <c r="F61" s="714">
        <f t="shared" si="8"/>
        <v>13478.991034435434</v>
      </c>
      <c r="G61" s="714">
        <f t="shared" ca="1" si="8"/>
        <v>41206.773817133697</v>
      </c>
      <c r="H61" s="714">
        <f t="shared" si="8"/>
        <v>141281.20147437498</v>
      </c>
      <c r="I61" s="714">
        <f t="shared" si="8"/>
        <v>25917.871320457321</v>
      </c>
      <c r="J61" s="714">
        <f t="shared" si="8"/>
        <v>0</v>
      </c>
      <c r="K61" s="714">
        <f t="shared" si="8"/>
        <v>186.2582306819084</v>
      </c>
      <c r="L61" s="714">
        <f t="shared" si="8"/>
        <v>0</v>
      </c>
      <c r="M61" s="714">
        <f t="shared" ca="1" si="8"/>
        <v>0</v>
      </c>
      <c r="N61" s="714">
        <f t="shared" si="8"/>
        <v>0</v>
      </c>
      <c r="O61" s="714">
        <f t="shared" ca="1" si="8"/>
        <v>0</v>
      </c>
      <c r="P61" s="714">
        <f t="shared" si="8"/>
        <v>0</v>
      </c>
      <c r="Q61" s="714">
        <f t="shared" si="8"/>
        <v>0</v>
      </c>
      <c r="R61" s="714">
        <f ca="1">R46+R52+R56</f>
        <v>430633.05209362862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0.19866694203586407</v>
      </c>
      <c r="D63" s="755">
        <f t="shared" ca="1" si="9"/>
        <v>0.23764705882352946</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646</v>
      </c>
      <c r="Q69" s="1112" t="s">
        <v>645</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644</v>
      </c>
      <c r="C71" s="966" t="s">
        <v>838</v>
      </c>
      <c r="D71" s="992" t="s">
        <v>198</v>
      </c>
      <c r="E71" s="993" t="s">
        <v>199</v>
      </c>
      <c r="F71" s="961" t="s">
        <v>200</v>
      </c>
      <c r="G71" s="958" t="s">
        <v>202</v>
      </c>
      <c r="H71" s="994" t="s">
        <v>203</v>
      </c>
      <c r="I71" s="962"/>
      <c r="J71" s="962"/>
      <c r="K71" s="962"/>
      <c r="L71" s="962"/>
      <c r="M71" s="959"/>
      <c r="N71" s="962"/>
      <c r="O71" s="967"/>
      <c r="P71" s="995"/>
      <c r="Q71" s="969" t="s">
        <v>647</v>
      </c>
      <c r="R71" s="967" t="s">
        <v>648</v>
      </c>
    </row>
    <row r="72" spans="1:18" ht="15.75" thickTop="1">
      <c r="A72" s="724" t="s">
        <v>248</v>
      </c>
      <c r="B72" s="817">
        <f>'lokale energieproductie'!B4</f>
        <v>15169.121137191971</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24900.953885753333</v>
      </c>
      <c r="C74" s="1136"/>
      <c r="D74" s="1136"/>
      <c r="E74" s="1118"/>
      <c r="F74" s="1118"/>
      <c r="G74" s="1130"/>
      <c r="H74" s="1133"/>
      <c r="I74" s="1136"/>
      <c r="J74" s="965"/>
      <c r="K74" s="1118"/>
      <c r="L74" s="1118"/>
      <c r="M74" s="1118"/>
      <c r="N74" s="1118"/>
      <c r="O74" s="1121"/>
      <c r="P74" s="826">
        <v>0</v>
      </c>
      <c r="Q74" s="832"/>
      <c r="R74" s="826">
        <v>0</v>
      </c>
    </row>
    <row r="75" spans="1:18" ht="15.75" thickBot="1">
      <c r="A75" s="725" t="s">
        <v>839</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2248.65</v>
      </c>
      <c r="D76" s="999">
        <f>'lokale energieproductie'!C8</f>
        <v>2645.4705882352951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534.38505882352968</v>
      </c>
      <c r="R76" s="826">
        <v>0</v>
      </c>
    </row>
    <row r="77" spans="1:18" ht="30.75" thickBot="1">
      <c r="A77" s="727" t="s">
        <v>352</v>
      </c>
      <c r="B77" s="724">
        <f>'lokale energieproductie'!B9*IFERROR(SUM(I77:O77)/SUM(D77:O77),0)</f>
        <v>1237.5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3535.7142857142858</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41307.575022945304</v>
      </c>
      <c r="C78" s="729">
        <f>SUM(C72:C77)</f>
        <v>2248.65</v>
      </c>
      <c r="D78" s="730">
        <f t="shared" ref="D78:H78" si="10">SUM(D76:D77)</f>
        <v>2645.4705882352951</v>
      </c>
      <c r="E78" s="730">
        <f t="shared" si="10"/>
        <v>0</v>
      </c>
      <c r="F78" s="730">
        <f t="shared" si="10"/>
        <v>0</v>
      </c>
      <c r="G78" s="730">
        <f t="shared" si="10"/>
        <v>0</v>
      </c>
      <c r="H78" s="730">
        <f t="shared" si="10"/>
        <v>0</v>
      </c>
      <c r="I78" s="730">
        <f>SUM(I76:I77)</f>
        <v>0</v>
      </c>
      <c r="J78" s="730">
        <f>SUM(J76:J77)</f>
        <v>3535.7142857142858</v>
      </c>
      <c r="K78" s="730">
        <f t="shared" ref="K78:L78" si="11">SUM(K76:K77)</f>
        <v>0</v>
      </c>
      <c r="L78" s="730">
        <f t="shared" si="11"/>
        <v>0</v>
      </c>
      <c r="M78" s="730">
        <f>SUM(M76:M77)</f>
        <v>0</v>
      </c>
      <c r="N78" s="730">
        <f>SUM(N76:N77)</f>
        <v>0</v>
      </c>
      <c r="O78" s="834">
        <f>SUM(O76:O77)</f>
        <v>0</v>
      </c>
      <c r="P78" s="731">
        <v>0</v>
      </c>
      <c r="Q78" s="731">
        <f>SUM(Q76:Q77)</f>
        <v>534.38505882352968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646</v>
      </c>
      <c r="Q84" s="1105" t="s">
        <v>645</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644</v>
      </c>
      <c r="C86" s="818" t="s">
        <v>838</v>
      </c>
      <c r="D86" s="969" t="s">
        <v>198</v>
      </c>
      <c r="E86" s="962" t="s">
        <v>199</v>
      </c>
      <c r="F86" s="960" t="s">
        <v>200</v>
      </c>
      <c r="G86" s="962" t="s">
        <v>202</v>
      </c>
      <c r="H86" s="738" t="s">
        <v>203</v>
      </c>
      <c r="I86" s="1147"/>
      <c r="J86" s="1148"/>
      <c r="K86" s="1098"/>
      <c r="L86" s="1098"/>
      <c r="M86" s="1151"/>
      <c r="N86" s="1098"/>
      <c r="O86" s="1153"/>
      <c r="P86" s="995"/>
      <c r="Q86" s="969" t="s">
        <v>647</v>
      </c>
      <c r="R86" s="967" t="s">
        <v>648</v>
      </c>
    </row>
    <row r="87" spans="1:19" ht="15.75" thickTop="1">
      <c r="A87" s="739" t="s">
        <v>251</v>
      </c>
      <c r="B87" s="740">
        <f>'lokale energieproductie'!B17*IFERROR(SUM(I87:O87)/SUM(D87:O87),0)</f>
        <v>0</v>
      </c>
      <c r="C87" s="740">
        <f>'lokale energieproductie'!B17*IFERROR(SUM(D87:H87)/SUM(D87:O87),0)</f>
        <v>3212.3571428571431</v>
      </c>
      <c r="D87" s="751">
        <f>'lokale energieproductie'!C17</f>
        <v>3779.2436974789925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763.40722689075653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3212.3571428571431</v>
      </c>
      <c r="D90" s="729">
        <f t="shared" ref="D90:H90" si="12">SUM(D87:D89)</f>
        <v>3779.2436974789925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763.40722689075653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841</v>
      </c>
      <c r="N2" s="1241" t="s">
        <v>842</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15169.121137191971</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24900.953885753333</v>
      </c>
      <c r="C6" s="1244"/>
      <c r="D6" s="1247"/>
      <c r="E6" s="1247"/>
      <c r="F6" s="1250"/>
      <c r="G6" s="1253"/>
      <c r="H6" s="1256"/>
      <c r="I6" s="1247"/>
      <c r="J6" s="1247"/>
      <c r="K6" s="1247"/>
      <c r="L6" s="1247"/>
      <c r="M6" s="1247"/>
      <c r="N6" s="1006"/>
      <c r="O6" s="542"/>
      <c r="P6" s="1239"/>
      <c r="Q6" s="1240"/>
      <c r="S6" s="973"/>
      <c r="T6" s="1260"/>
      <c r="U6" s="1260"/>
    </row>
    <row r="7" spans="1:21" s="533" customFormat="1">
      <c r="A7" s="541" t="s">
        <v>839</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N33</f>
        <v>2248.65</v>
      </c>
      <c r="C8" s="544">
        <f>B52</f>
        <v>2645.4705882352951</v>
      </c>
      <c r="D8" s="1009"/>
      <c r="E8" s="1009">
        <f>E52</f>
        <v>0</v>
      </c>
      <c r="F8" s="1010"/>
      <c r="G8" s="545"/>
      <c r="H8" s="1009">
        <f>I52</f>
        <v>0</v>
      </c>
      <c r="I8" s="1009">
        <f>G52+F52</f>
        <v>0</v>
      </c>
      <c r="J8" s="1009">
        <f>H52+D52+C52</f>
        <v>0</v>
      </c>
      <c r="K8" s="1009"/>
      <c r="L8" s="1009"/>
      <c r="M8" s="1009"/>
      <c r="N8" s="546"/>
      <c r="O8" s="547">
        <f>C8*$C$12+D8*$D$12+E8*$E$12+F8*$F$12+G8*$G$12+H8*$H$12+I8*$I$12+J8*$J$12</f>
        <v>534.38505882352968</v>
      </c>
      <c r="P8" s="1239"/>
      <c r="Q8" s="1240"/>
      <c r="S8" s="973"/>
      <c r="T8" s="1260"/>
      <c r="U8" s="1260"/>
    </row>
    <row r="9" spans="1:21" s="533" customFormat="1" ht="17.45" customHeight="1" thickBot="1">
      <c r="A9" s="548" t="s">
        <v>247</v>
      </c>
      <c r="B9" s="549">
        <f>N40+'Eigen informatie GS &amp; warmtenet'!B12</f>
        <v>1237.5</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43556.225022945306</v>
      </c>
      <c r="C10" s="557">
        <f t="shared" ref="C10:L10" si="0">SUM(C8:C9)</f>
        <v>2645.4705882352951</v>
      </c>
      <c r="D10" s="557">
        <f t="shared" si="0"/>
        <v>0</v>
      </c>
      <c r="E10" s="557">
        <f t="shared" si="0"/>
        <v>0</v>
      </c>
      <c r="F10" s="557">
        <f t="shared" si="0"/>
        <v>0</v>
      </c>
      <c r="G10" s="557">
        <f t="shared" si="0"/>
        <v>0</v>
      </c>
      <c r="H10" s="557">
        <f t="shared" si="0"/>
        <v>0</v>
      </c>
      <c r="I10" s="557">
        <f t="shared" si="0"/>
        <v>0</v>
      </c>
      <c r="J10" s="557">
        <f t="shared" si="0"/>
        <v>3535.7142857142858</v>
      </c>
      <c r="K10" s="557">
        <f t="shared" si="0"/>
        <v>0</v>
      </c>
      <c r="L10" s="557">
        <f t="shared" si="0"/>
        <v>0</v>
      </c>
      <c r="M10" s="1012"/>
      <c r="N10" s="1012"/>
      <c r="O10" s="558">
        <f>SUM(O4:O9)</f>
        <v>534.38505882352968</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841</v>
      </c>
      <c r="N15" s="1241" t="s">
        <v>842</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O33</f>
        <v>3212.3571428571431</v>
      </c>
      <c r="C17" s="569">
        <f>B53</f>
        <v>3779.2436974789925</v>
      </c>
      <c r="D17" s="570"/>
      <c r="E17" s="570">
        <f>E53</f>
        <v>0</v>
      </c>
      <c r="F17" s="1015"/>
      <c r="G17" s="571"/>
      <c r="H17" s="569">
        <f>I53</f>
        <v>0</v>
      </c>
      <c r="I17" s="570">
        <f>G53+F53</f>
        <v>0</v>
      </c>
      <c r="J17" s="570">
        <f>H53+D53+C53</f>
        <v>0</v>
      </c>
      <c r="K17" s="570"/>
      <c r="L17" s="570"/>
      <c r="M17" s="570"/>
      <c r="N17" s="1016"/>
      <c r="O17" s="572">
        <f>C17*$C$22+E17*$E$22+H17*$H$22+I17*$I$22+J17*$J$22+D17*$D$22+F17*$F$22+G17*$G$22+K17*$K$22+L17*$L$22</f>
        <v>763.40722689075653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3212.3571428571431</v>
      </c>
      <c r="C20" s="556">
        <f>SUM(C17:C19)</f>
        <v>3779.2436974789925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763.40722689075653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71022</v>
      </c>
      <c r="C28" s="770">
        <v>3500</v>
      </c>
      <c r="D28" s="627" t="s">
        <v>896</v>
      </c>
      <c r="E28" s="626" t="s">
        <v>897</v>
      </c>
      <c r="F28" s="626" t="s">
        <v>898</v>
      </c>
      <c r="G28" s="626" t="s">
        <v>899</v>
      </c>
      <c r="H28" s="626" t="s">
        <v>900</v>
      </c>
      <c r="I28" s="626" t="s">
        <v>897</v>
      </c>
      <c r="J28" s="769">
        <v>39365</v>
      </c>
      <c r="K28" s="769">
        <v>39471</v>
      </c>
      <c r="L28" s="626" t="s">
        <v>901</v>
      </c>
      <c r="M28" s="626">
        <v>220</v>
      </c>
      <c r="N28" s="626">
        <v>990</v>
      </c>
      <c r="O28" s="626">
        <v>1414.2857142857142</v>
      </c>
      <c r="P28" s="626">
        <v>2828.5714285714289</v>
      </c>
      <c r="Q28" s="626">
        <v>0</v>
      </c>
      <c r="R28" s="626">
        <v>0</v>
      </c>
      <c r="S28" s="626">
        <v>0</v>
      </c>
      <c r="T28" s="626">
        <v>0</v>
      </c>
      <c r="U28" s="626">
        <v>0</v>
      </c>
      <c r="V28" s="626">
        <v>0</v>
      </c>
      <c r="W28" s="626">
        <v>0</v>
      </c>
      <c r="X28" s="626">
        <v>1500</v>
      </c>
      <c r="Y28" s="626" t="s">
        <v>50</v>
      </c>
      <c r="Z28" s="628" t="s">
        <v>155</v>
      </c>
    </row>
    <row r="29" spans="1:26" s="580" customFormat="1" ht="63.75">
      <c r="A29" s="579"/>
      <c r="B29" s="770">
        <v>71022</v>
      </c>
      <c r="C29" s="770">
        <v>3500</v>
      </c>
      <c r="D29" s="627" t="s">
        <v>902</v>
      </c>
      <c r="E29" s="626" t="s">
        <v>903</v>
      </c>
      <c r="F29" s="626" t="s">
        <v>904</v>
      </c>
      <c r="G29" s="626" t="s">
        <v>899</v>
      </c>
      <c r="H29" s="626" t="s">
        <v>900</v>
      </c>
      <c r="I29" s="626" t="s">
        <v>903</v>
      </c>
      <c r="J29" s="769">
        <v>39310</v>
      </c>
      <c r="K29" s="769">
        <v>39508</v>
      </c>
      <c r="L29" s="626" t="s">
        <v>901</v>
      </c>
      <c r="M29" s="626">
        <v>4.7</v>
      </c>
      <c r="N29" s="626">
        <v>21.150000000000002</v>
      </c>
      <c r="O29" s="626">
        <v>30.214285714285719</v>
      </c>
      <c r="P29" s="626">
        <v>60.428571428571438</v>
      </c>
      <c r="Q29" s="626">
        <v>0</v>
      </c>
      <c r="R29" s="626">
        <v>0</v>
      </c>
      <c r="S29" s="626">
        <v>0</v>
      </c>
      <c r="T29" s="626">
        <v>0</v>
      </c>
      <c r="U29" s="626">
        <v>0</v>
      </c>
      <c r="V29" s="626">
        <v>0</v>
      </c>
      <c r="W29" s="626">
        <v>0</v>
      </c>
      <c r="X29" s="626">
        <v>1600</v>
      </c>
      <c r="Y29" s="626" t="s">
        <v>49</v>
      </c>
      <c r="Z29" s="628" t="s">
        <v>155</v>
      </c>
    </row>
    <row r="30" spans="1:26" s="580" customFormat="1" ht="38.25">
      <c r="A30" s="579"/>
      <c r="B30" s="770">
        <v>71022</v>
      </c>
      <c r="C30" s="770">
        <v>3511</v>
      </c>
      <c r="D30" s="627" t="s">
        <v>905</v>
      </c>
      <c r="E30" s="626" t="s">
        <v>906</v>
      </c>
      <c r="F30" s="626" t="s">
        <v>907</v>
      </c>
      <c r="G30" s="626" t="s">
        <v>899</v>
      </c>
      <c r="H30" s="626" t="s">
        <v>900</v>
      </c>
      <c r="I30" s="626" t="s">
        <v>906</v>
      </c>
      <c r="J30" s="769">
        <v>40424</v>
      </c>
      <c r="K30" s="769">
        <v>40725</v>
      </c>
      <c r="L30" s="626" t="s">
        <v>901</v>
      </c>
      <c r="M30" s="626">
        <v>50</v>
      </c>
      <c r="N30" s="626">
        <v>225</v>
      </c>
      <c r="O30" s="626">
        <v>321.42857142857144</v>
      </c>
      <c r="P30" s="626">
        <v>642.85714285714289</v>
      </c>
      <c r="Q30" s="626">
        <v>0</v>
      </c>
      <c r="R30" s="626">
        <v>0</v>
      </c>
      <c r="S30" s="626">
        <v>0</v>
      </c>
      <c r="T30" s="626">
        <v>0</v>
      </c>
      <c r="U30" s="626">
        <v>0</v>
      </c>
      <c r="V30" s="626">
        <v>0</v>
      </c>
      <c r="W30" s="626">
        <v>0</v>
      </c>
      <c r="X30" s="626">
        <v>800</v>
      </c>
      <c r="Y30" s="626" t="s">
        <v>35</v>
      </c>
      <c r="Z30" s="628" t="s">
        <v>388</v>
      </c>
    </row>
    <row r="31" spans="1:26" s="580" customFormat="1" ht="51">
      <c r="A31" s="579"/>
      <c r="B31" s="770">
        <v>71022</v>
      </c>
      <c r="C31" s="770">
        <v>3500</v>
      </c>
      <c r="D31" s="627" t="s">
        <v>908</v>
      </c>
      <c r="E31" s="626" t="s">
        <v>909</v>
      </c>
      <c r="F31" s="626" t="s">
        <v>910</v>
      </c>
      <c r="G31" s="626" t="s">
        <v>899</v>
      </c>
      <c r="H31" s="626" t="s">
        <v>900</v>
      </c>
      <c r="I31" s="626" t="s">
        <v>909</v>
      </c>
      <c r="J31" s="769">
        <v>40904</v>
      </c>
      <c r="K31" s="769">
        <v>40904</v>
      </c>
      <c r="L31" s="626" t="s">
        <v>901</v>
      </c>
      <c r="M31" s="626">
        <v>220</v>
      </c>
      <c r="N31" s="626">
        <v>990</v>
      </c>
      <c r="O31" s="626">
        <v>1414.2857142857142</v>
      </c>
      <c r="P31" s="626">
        <v>2828.5714285714289</v>
      </c>
      <c r="Q31" s="626">
        <v>0</v>
      </c>
      <c r="R31" s="626">
        <v>0</v>
      </c>
      <c r="S31" s="626">
        <v>0</v>
      </c>
      <c r="T31" s="626">
        <v>0</v>
      </c>
      <c r="U31" s="626">
        <v>0</v>
      </c>
      <c r="V31" s="626">
        <v>0</v>
      </c>
      <c r="W31" s="626">
        <v>0</v>
      </c>
      <c r="X31" s="626">
        <v>1500</v>
      </c>
      <c r="Y31" s="626" t="s">
        <v>50</v>
      </c>
      <c r="Z31" s="628" t="s">
        <v>155</v>
      </c>
    </row>
    <row r="32" spans="1:26" s="580" customFormat="1" ht="25.5">
      <c r="A32" s="579"/>
      <c r="B32" s="770">
        <v>71022</v>
      </c>
      <c r="C32" s="770">
        <v>3511</v>
      </c>
      <c r="D32" s="627" t="s">
        <v>911</v>
      </c>
      <c r="E32" s="626" t="s">
        <v>912</v>
      </c>
      <c r="F32" s="626" t="s">
        <v>913</v>
      </c>
      <c r="G32" s="626" t="s">
        <v>899</v>
      </c>
      <c r="H32" s="626" t="s">
        <v>900</v>
      </c>
      <c r="I32" s="626" t="s">
        <v>914</v>
      </c>
      <c r="J32" s="769">
        <v>41907</v>
      </c>
      <c r="K32" s="769">
        <v>41907</v>
      </c>
      <c r="L32" s="626" t="s">
        <v>901</v>
      </c>
      <c r="M32" s="626">
        <v>5</v>
      </c>
      <c r="N32" s="626">
        <v>22.5</v>
      </c>
      <c r="O32" s="626">
        <v>32.142857142857146</v>
      </c>
      <c r="P32" s="626">
        <v>64.285714285714292</v>
      </c>
      <c r="Q32" s="626">
        <v>0</v>
      </c>
      <c r="R32" s="626">
        <v>0</v>
      </c>
      <c r="S32" s="626">
        <v>0</v>
      </c>
      <c r="T32" s="626">
        <v>0</v>
      </c>
      <c r="U32" s="626">
        <v>0</v>
      </c>
      <c r="V32" s="626">
        <v>0</v>
      </c>
      <c r="W32" s="626">
        <v>0</v>
      </c>
      <c r="X32" s="626">
        <v>1300</v>
      </c>
      <c r="Y32" s="626" t="s">
        <v>53</v>
      </c>
      <c r="Z32" s="628" t="s">
        <v>155</v>
      </c>
    </row>
    <row r="33" spans="1:27" s="564" customFormat="1">
      <c r="A33" s="582" t="s">
        <v>279</v>
      </c>
      <c r="B33" s="583"/>
      <c r="C33" s="583"/>
      <c r="D33" s="583"/>
      <c r="E33" s="583"/>
      <c r="F33" s="583"/>
      <c r="G33" s="583"/>
      <c r="H33" s="583"/>
      <c r="I33" s="583"/>
      <c r="J33" s="583"/>
      <c r="K33" s="583"/>
      <c r="L33" s="584"/>
      <c r="M33" s="584">
        <f>SUM(M28:M32)</f>
        <v>499.7</v>
      </c>
      <c r="N33" s="584">
        <f>SUM(N28:N32)</f>
        <v>2248.65</v>
      </c>
      <c r="O33" s="584">
        <f>SUM(O28:O32)</f>
        <v>3212.3571428571431</v>
      </c>
      <c r="P33" s="584">
        <f>SUM(P28:P32)</f>
        <v>6424.7142857142871</v>
      </c>
      <c r="Q33" s="584">
        <f>SUM(Q28:Q32)</f>
        <v>0</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50</v>
      </c>
      <c r="N34" s="584">
        <f>SUMIF($Z$28:$Z$32,"industrie",N28:N32)</f>
        <v>225</v>
      </c>
      <c r="O34" s="584">
        <f>SUMIF($Z$28:$Z$32,"industrie",O28:O32)</f>
        <v>321.42857142857144</v>
      </c>
      <c r="P34" s="584">
        <f>SUMIF($Z$28:$Z$32,"industrie",P28:P32)</f>
        <v>642.85714285714289</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449.7</v>
      </c>
      <c r="N35" s="584">
        <f ca="1">SUMIF($Z$28:AD32,"tertiair",N28:N32)</f>
        <v>2023.65</v>
      </c>
      <c r="O35" s="584">
        <f ca="1">SUMIF($Z$28:AE32,"tertiair",O28:O32)</f>
        <v>2890.9285714285716</v>
      </c>
      <c r="P35" s="584">
        <f ca="1">SUMIF($Z$28:AF32,"tertiair",P28:P32)</f>
        <v>5781.857142857144</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0</v>
      </c>
      <c r="N36" s="589">
        <f>SUMIF($Z$28:$Z$32,"landbouw",N28:N32)</f>
        <v>0</v>
      </c>
      <c r="O36" s="589">
        <f>SUMIF($Z$28:$Z$32,"landbouw",O28:O32)</f>
        <v>0</v>
      </c>
      <c r="P36" s="589">
        <f>SUMIF($Z$28:$Z$32,"landbouw",P28:P32)</f>
        <v>0</v>
      </c>
      <c r="Q36" s="589">
        <f>SUMIF($Z$28:$Z$32,"landbouw",Q28:Q32)</f>
        <v>0</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536</v>
      </c>
      <c r="Q38" s="624" t="s">
        <v>102</v>
      </c>
      <c r="R38" s="624" t="s">
        <v>103</v>
      </c>
      <c r="S38" s="624" t="s">
        <v>104</v>
      </c>
      <c r="T38" s="624" t="s">
        <v>105</v>
      </c>
      <c r="U38" s="624" t="s">
        <v>106</v>
      </c>
      <c r="V38" s="624" t="s">
        <v>107</v>
      </c>
      <c r="W38" s="623" t="s">
        <v>108</v>
      </c>
      <c r="X38" s="623" t="s">
        <v>298</v>
      </c>
      <c r="Y38" s="623" t="s">
        <v>109</v>
      </c>
      <c r="Z38" s="625" t="s">
        <v>299</v>
      </c>
    </row>
    <row r="39" spans="1:27" s="595" customFormat="1" ht="63.75">
      <c r="A39" s="581"/>
      <c r="B39" s="770">
        <v>71022</v>
      </c>
      <c r="C39" s="770">
        <v>3511</v>
      </c>
      <c r="D39" s="629" t="s">
        <v>915</v>
      </c>
      <c r="E39" s="629" t="s">
        <v>916</v>
      </c>
      <c r="F39" s="629" t="s">
        <v>917</v>
      </c>
      <c r="G39" s="629" t="s">
        <v>918</v>
      </c>
      <c r="H39" s="629" t="s">
        <v>919</v>
      </c>
      <c r="I39" s="629" t="s">
        <v>920</v>
      </c>
      <c r="J39" s="769">
        <v>32143</v>
      </c>
      <c r="K39" s="769">
        <v>37316</v>
      </c>
      <c r="L39" s="629" t="s">
        <v>901</v>
      </c>
      <c r="M39" s="629">
        <v>275</v>
      </c>
      <c r="N39" s="629">
        <v>1237.5</v>
      </c>
      <c r="O39" s="629">
        <v>0</v>
      </c>
      <c r="P39" s="629">
        <v>0</v>
      </c>
      <c r="Q39" s="629">
        <v>3535.7142857142858</v>
      </c>
      <c r="R39" s="629">
        <v>0</v>
      </c>
      <c r="S39" s="629">
        <v>0</v>
      </c>
      <c r="T39" s="629">
        <v>0</v>
      </c>
      <c r="U39" s="629">
        <v>0</v>
      </c>
      <c r="V39" s="629">
        <v>0</v>
      </c>
      <c r="W39" s="629">
        <v>0</v>
      </c>
      <c r="X39" s="629">
        <v>1600</v>
      </c>
      <c r="Y39" s="629" t="s">
        <v>49</v>
      </c>
      <c r="Z39" s="630" t="s">
        <v>155</v>
      </c>
    </row>
    <row r="40" spans="1:27" s="564" customFormat="1">
      <c r="A40" s="582" t="s">
        <v>279</v>
      </c>
      <c r="B40" s="583"/>
      <c r="C40" s="583"/>
      <c r="D40" s="583"/>
      <c r="E40" s="583"/>
      <c r="F40" s="583"/>
      <c r="G40" s="583"/>
      <c r="H40" s="583"/>
      <c r="I40" s="583"/>
      <c r="J40" s="583"/>
      <c r="K40" s="583"/>
      <c r="L40" s="584"/>
      <c r="M40" s="584">
        <f>SUM(M39:M39)</f>
        <v>275</v>
      </c>
      <c r="N40" s="584">
        <f>SUM(N39:N39)</f>
        <v>1237.5</v>
      </c>
      <c r="O40" s="584">
        <f>SUM(O39:O39)</f>
        <v>0</v>
      </c>
      <c r="P40" s="584">
        <f>SUM(P39:P39)</f>
        <v>0</v>
      </c>
      <c r="Q40" s="584">
        <f>SUM(Q39:Q39)</f>
        <v>3535.7142857142858</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275</v>
      </c>
      <c r="N42" s="584">
        <f>SUMIF($Z$39:$Z$40,"tertiair",N39:N40)</f>
        <v>1237.5</v>
      </c>
      <c r="O42" s="584">
        <f>SUMIF($Z$39:$Z$40,"tertiair",O39:O40)</f>
        <v>0</v>
      </c>
      <c r="P42" s="584">
        <f>SUMIF($Z$39:$Z$40,"tertiair",P39:P40)</f>
        <v>0</v>
      </c>
      <c r="Q42" s="584">
        <f>SUMIF($Z$39:$Z$40,"tertiair",Q39:Q40)</f>
        <v>3535.7142857142858</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0.58823529411764708</v>
      </c>
      <c r="C49" s="609">
        <f>IF(ISERROR(N33/(O33+N33)),0,N33/(N33+O33))</f>
        <v>0.41176470588235298</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536</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2645.4705882352951</v>
      </c>
      <c r="C52" s="618">
        <f t="shared" si="2"/>
        <v>0</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3779.2436974789925</v>
      </c>
      <c r="C53" s="621">
        <f t="shared" si="3"/>
        <v>0</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876</v>
      </c>
      <c r="B2" s="1047" t="s">
        <v>877</v>
      </c>
      <c r="C2" s="1046" t="s">
        <v>655</v>
      </c>
      <c r="D2" s="1046" t="s">
        <v>747</v>
      </c>
      <c r="E2" s="349"/>
      <c r="F2" s="346" t="s">
        <v>750</v>
      </c>
      <c r="G2" s="346" t="s">
        <v>758</v>
      </c>
      <c r="H2" s="347" t="s">
        <v>759</v>
      </c>
    </row>
    <row r="3" spans="1:8" s="11" customFormat="1">
      <c r="A3" s="1043" t="s">
        <v>874</v>
      </c>
      <c r="B3" s="1044" t="s">
        <v>873</v>
      </c>
      <c r="C3" s="1043" t="s">
        <v>192</v>
      </c>
      <c r="D3" s="1045" t="s">
        <v>875</v>
      </c>
      <c r="E3" s="349"/>
      <c r="F3" s="870" t="s">
        <v>745</v>
      </c>
      <c r="G3" s="870" t="s">
        <v>744</v>
      </c>
      <c r="H3" s="870" t="s">
        <v>746</v>
      </c>
    </row>
    <row r="4" spans="1:8" s="11" customFormat="1">
      <c r="A4" s="348" t="s">
        <v>406</v>
      </c>
      <c r="B4" s="774" t="s">
        <v>720</v>
      </c>
      <c r="C4" s="348" t="s">
        <v>406</v>
      </c>
      <c r="D4" s="348" t="s">
        <v>753</v>
      </c>
      <c r="E4" s="349"/>
      <c r="F4" s="870" t="s">
        <v>741</v>
      </c>
      <c r="G4" s="870" t="s">
        <v>742</v>
      </c>
      <c r="H4" s="870" t="s">
        <v>743</v>
      </c>
    </row>
    <row r="5" spans="1:8">
      <c r="A5" s="343" t="s">
        <v>399</v>
      </c>
      <c r="B5" s="868" t="s">
        <v>721</v>
      </c>
      <c r="C5" s="343" t="s">
        <v>399</v>
      </c>
      <c r="D5" s="343" t="s">
        <v>754</v>
      </c>
      <c r="E5" s="345"/>
      <c r="F5" s="346" t="s">
        <v>400</v>
      </c>
      <c r="G5" s="346" t="s">
        <v>401</v>
      </c>
      <c r="H5" s="347" t="s">
        <v>402</v>
      </c>
    </row>
    <row r="6" spans="1:8">
      <c r="A6" s="343" t="s">
        <v>403</v>
      </c>
      <c r="B6" s="344" t="s">
        <v>721</v>
      </c>
      <c r="C6" s="343" t="s">
        <v>403</v>
      </c>
      <c r="D6" s="343" t="s">
        <v>755</v>
      </c>
      <c r="E6" s="345"/>
      <c r="F6" s="346" t="s">
        <v>727</v>
      </c>
      <c r="G6" s="346" t="s">
        <v>729</v>
      </c>
      <c r="H6" s="347" t="s">
        <v>728</v>
      </c>
    </row>
    <row r="7" spans="1:8">
      <c r="A7" s="348" t="s">
        <v>431</v>
      </c>
      <c r="B7" s="351" t="s">
        <v>432</v>
      </c>
      <c r="C7" s="348" t="s">
        <v>434</v>
      </c>
      <c r="D7" s="348" t="s">
        <v>430</v>
      </c>
      <c r="E7" s="345" t="s">
        <v>433</v>
      </c>
      <c r="F7" s="346"/>
      <c r="G7" s="346"/>
      <c r="H7" s="347"/>
    </row>
    <row r="8" spans="1:8" s="862" customFormat="1">
      <c r="A8" s="348" t="s">
        <v>748</v>
      </c>
      <c r="B8" s="774">
        <v>2015</v>
      </c>
      <c r="C8" s="348" t="s">
        <v>406</v>
      </c>
      <c r="D8" s="348" t="s">
        <v>756</v>
      </c>
      <c r="E8" s="345" t="s">
        <v>749</v>
      </c>
      <c r="F8" s="346"/>
      <c r="G8" s="346"/>
      <c r="H8" s="347"/>
    </row>
    <row r="9" spans="1:8" s="862" customFormat="1">
      <c r="A9" s="348" t="s">
        <v>771</v>
      </c>
      <c r="B9" s="774">
        <v>2017</v>
      </c>
      <c r="C9" s="348" t="s">
        <v>773</v>
      </c>
      <c r="D9" s="348" t="s">
        <v>772</v>
      </c>
      <c r="E9" s="350" t="s">
        <v>761</v>
      </c>
      <c r="F9" s="346"/>
      <c r="G9" s="346"/>
      <c r="H9" s="347"/>
    </row>
    <row r="10" spans="1:8" s="11" customFormat="1">
      <c r="A10" s="348" t="s">
        <v>631</v>
      </c>
      <c r="B10" s="901" t="str">
        <f>"juni 2016"</f>
        <v>juni 2016</v>
      </c>
      <c r="C10" s="348" t="s">
        <v>632</v>
      </c>
      <c r="D10" s="348" t="s">
        <v>633</v>
      </c>
      <c r="E10" s="349"/>
      <c r="F10" s="870" t="s">
        <v>730</v>
      </c>
      <c r="G10" s="870" t="s">
        <v>731</v>
      </c>
      <c r="H10" s="347" t="s">
        <v>732</v>
      </c>
    </row>
    <row r="11" spans="1:8">
      <c r="A11" s="343" t="s">
        <v>735</v>
      </c>
      <c r="B11" s="868" t="s">
        <v>720</v>
      </c>
      <c r="C11" s="343" t="s">
        <v>736</v>
      </c>
      <c r="D11" s="343" t="s">
        <v>757</v>
      </c>
      <c r="E11" s="672"/>
      <c r="F11" s="346" t="s">
        <v>739</v>
      </c>
      <c r="G11" s="346" t="s">
        <v>737</v>
      </c>
      <c r="H11" s="347" t="s">
        <v>738</v>
      </c>
    </row>
    <row r="12" spans="1:8" s="862" customFormat="1">
      <c r="A12" s="348" t="s">
        <v>752</v>
      </c>
      <c r="B12" s="774">
        <v>2017</v>
      </c>
      <c r="C12" s="348" t="s">
        <v>425</v>
      </c>
      <c r="D12" s="348" t="s">
        <v>751</v>
      </c>
      <c r="E12" s="345"/>
      <c r="F12" s="346" t="s">
        <v>750</v>
      </c>
      <c r="G12" s="346" t="s">
        <v>758</v>
      </c>
      <c r="H12" s="347" t="s">
        <v>759</v>
      </c>
    </row>
    <row r="13" spans="1:8" s="10" customFormat="1">
      <c r="A13" s="348" t="s">
        <v>408</v>
      </c>
      <c r="B13" s="344" t="s">
        <v>424</v>
      </c>
      <c r="C13" s="343"/>
      <c r="D13" s="352" t="s">
        <v>423</v>
      </c>
      <c r="E13" s="345"/>
      <c r="F13" s="346"/>
      <c r="G13" s="346"/>
      <c r="H13" s="347"/>
    </row>
    <row r="14" spans="1:8">
      <c r="A14" s="343" t="s">
        <v>394</v>
      </c>
      <c r="B14" s="344" t="s">
        <v>663</v>
      </c>
      <c r="C14" s="343" t="s">
        <v>722</v>
      </c>
      <c r="D14" s="343" t="s">
        <v>664</v>
      </c>
      <c r="E14" s="350" t="s">
        <v>395</v>
      </c>
      <c r="F14" s="346" t="s">
        <v>396</v>
      </c>
      <c r="G14" s="346" t="s">
        <v>397</v>
      </c>
      <c r="H14" s="346" t="s">
        <v>398</v>
      </c>
    </row>
    <row r="15" spans="1:8">
      <c r="A15" s="343" t="s">
        <v>407</v>
      </c>
      <c r="B15" s="868" t="s">
        <v>740</v>
      </c>
      <c r="C15" s="343" t="s">
        <v>407</v>
      </c>
      <c r="D15" s="343" t="s">
        <v>421</v>
      </c>
      <c r="E15" s="345"/>
      <c r="F15" s="346" t="s">
        <v>784</v>
      </c>
      <c r="G15" s="346" t="s">
        <v>785</v>
      </c>
      <c r="H15" s="347" t="s">
        <v>786</v>
      </c>
    </row>
    <row r="16" spans="1:8" s="869" customFormat="1">
      <c r="A16" s="871" t="s">
        <v>508</v>
      </c>
      <c r="B16" s="872" t="s">
        <v>379</v>
      </c>
      <c r="C16" s="871" t="s">
        <v>377</v>
      </c>
      <c r="D16" s="873" t="s">
        <v>378</v>
      </c>
      <c r="E16" s="874" t="s">
        <v>380</v>
      </c>
      <c r="F16" s="346" t="s">
        <v>724</v>
      </c>
      <c r="G16" s="346" t="s">
        <v>733</v>
      </c>
      <c r="H16" s="347" t="s">
        <v>734</v>
      </c>
    </row>
    <row r="17" spans="1:8" s="869" customFormat="1">
      <c r="A17" s="871" t="s">
        <v>508</v>
      </c>
      <c r="B17" s="872" t="s">
        <v>778</v>
      </c>
      <c r="C17" s="871" t="s">
        <v>779</v>
      </c>
      <c r="D17" s="873" t="s">
        <v>780</v>
      </c>
      <c r="E17" s="874"/>
      <c r="F17" s="346" t="s">
        <v>724</v>
      </c>
      <c r="G17" s="346" t="s">
        <v>733</v>
      </c>
      <c r="H17" s="347" t="s">
        <v>734</v>
      </c>
    </row>
    <row r="18" spans="1:8" s="11" customFormat="1">
      <c r="A18" s="348" t="s">
        <v>507</v>
      </c>
      <c r="B18" s="774">
        <v>2016</v>
      </c>
      <c r="C18" s="348" t="s">
        <v>425</v>
      </c>
      <c r="D18" s="348" t="s">
        <v>726</v>
      </c>
      <c r="E18" s="349" t="s">
        <v>725</v>
      </c>
      <c r="F18" s="346" t="s">
        <v>724</v>
      </c>
      <c r="G18" s="346" t="s">
        <v>733</v>
      </c>
      <c r="H18" s="347" t="s">
        <v>734</v>
      </c>
    </row>
    <row r="19" spans="1:8">
      <c r="A19" s="348" t="s">
        <v>192</v>
      </c>
      <c r="B19" s="774" t="s">
        <v>719</v>
      </c>
      <c r="C19" s="348" t="s">
        <v>426</v>
      </c>
      <c r="D19" s="348" t="s">
        <v>723</v>
      </c>
      <c r="E19" s="345"/>
      <c r="F19" s="346" t="s">
        <v>427</v>
      </c>
      <c r="G19" s="346" t="s">
        <v>428</v>
      </c>
      <c r="H19" s="347" t="s">
        <v>429</v>
      </c>
    </row>
    <row r="20" spans="1:8" s="11" customFormat="1">
      <c r="A20" s="1049" t="s">
        <v>878</v>
      </c>
      <c r="B20" s="1050" t="s">
        <v>873</v>
      </c>
      <c r="C20" s="1049" t="s">
        <v>192</v>
      </c>
      <c r="D20" s="1049" t="s">
        <v>879</v>
      </c>
      <c r="E20" s="349"/>
      <c r="F20" s="870" t="s">
        <v>745</v>
      </c>
      <c r="G20" s="870" t="s">
        <v>744</v>
      </c>
      <c r="H20" s="870" t="s">
        <v>746</v>
      </c>
    </row>
    <row r="21" spans="1:8" s="862" customFormat="1">
      <c r="A21" s="348" t="s">
        <v>407</v>
      </c>
      <c r="B21" s="774" t="s">
        <v>781</v>
      </c>
      <c r="C21" s="348" t="s">
        <v>407</v>
      </c>
      <c r="D21" s="348" t="s">
        <v>782</v>
      </c>
      <c r="E21" s="345"/>
      <c r="F21" s="346" t="s">
        <v>790</v>
      </c>
      <c r="G21" s="346" t="s">
        <v>791</v>
      </c>
      <c r="H21" s="347" t="s">
        <v>792</v>
      </c>
    </row>
    <row r="22" spans="1:8" s="862" customFormat="1">
      <c r="A22" s="348" t="s">
        <v>407</v>
      </c>
      <c r="B22" s="774" t="s">
        <v>778</v>
      </c>
      <c r="C22" s="348" t="s">
        <v>407</v>
      </c>
      <c r="D22" s="348" t="s">
        <v>783</v>
      </c>
      <c r="E22" s="345"/>
      <c r="F22" s="346" t="s">
        <v>787</v>
      </c>
      <c r="G22" s="346" t="s">
        <v>788</v>
      </c>
      <c r="H22" s="347" t="s">
        <v>789</v>
      </c>
    </row>
    <row r="23" spans="1:8" s="11" customFormat="1">
      <c r="A23" s="348" t="s">
        <v>405</v>
      </c>
      <c r="B23" s="901" t="str">
        <f>"november 2016"</f>
        <v>november 2016</v>
      </c>
      <c r="C23" s="348" t="s">
        <v>405</v>
      </c>
      <c r="D23" s="348" t="s">
        <v>658</v>
      </c>
      <c r="E23" s="349" t="s">
        <v>659</v>
      </c>
      <c r="F23" s="346" t="s">
        <v>793</v>
      </c>
      <c r="G23" s="346" t="s">
        <v>794</v>
      </c>
      <c r="H23" s="347" t="s">
        <v>795</v>
      </c>
    </row>
    <row r="24" spans="1:8" s="11" customFormat="1">
      <c r="A24" s="348" t="s">
        <v>405</v>
      </c>
      <c r="B24" s="901" t="str">
        <f>"november 2016"</f>
        <v>november 2016</v>
      </c>
      <c r="C24" s="348" t="s">
        <v>405</v>
      </c>
      <c r="D24" s="902" t="s">
        <v>636</v>
      </c>
      <c r="E24" s="349" t="s">
        <v>422</v>
      </c>
      <c r="F24" s="346" t="s">
        <v>793</v>
      </c>
      <c r="G24" s="346" t="s">
        <v>794</v>
      </c>
      <c r="H24" s="347" t="s">
        <v>795</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621</v>
      </c>
      <c r="B1" s="875" t="s">
        <v>622</v>
      </c>
      <c r="C1" s="875" t="s">
        <v>624</v>
      </c>
      <c r="D1" s="875" t="s">
        <v>623</v>
      </c>
    </row>
    <row r="2" spans="1:4" s="863" customFormat="1">
      <c r="A2" s="863" t="s">
        <v>690</v>
      </c>
      <c r="B2" s="885">
        <v>42860</v>
      </c>
      <c r="C2" s="863" t="s">
        <v>699</v>
      </c>
      <c r="D2" s="886" t="s">
        <v>700</v>
      </c>
    </row>
    <row r="3" spans="1:4" s="863" customFormat="1">
      <c r="A3" s="863" t="s">
        <v>690</v>
      </c>
      <c r="B3" s="885">
        <v>42860</v>
      </c>
      <c r="C3" s="863" t="s">
        <v>702</v>
      </c>
      <c r="D3" s="886" t="s">
        <v>703</v>
      </c>
    </row>
    <row r="4" spans="1:4" s="863" customFormat="1">
      <c r="A4" s="863" t="s">
        <v>690</v>
      </c>
      <c r="B4" s="885">
        <v>42860</v>
      </c>
      <c r="C4" s="863" t="s">
        <v>708</v>
      </c>
      <c r="D4" s="886" t="s">
        <v>707</v>
      </c>
    </row>
    <row r="5" spans="1:4" s="863" customFormat="1">
      <c r="A5" s="863" t="s">
        <v>690</v>
      </c>
      <c r="B5" s="885">
        <v>42860</v>
      </c>
      <c r="C5" s="863" t="s">
        <v>709</v>
      </c>
      <c r="D5" s="899" t="s">
        <v>710</v>
      </c>
    </row>
    <row r="6" spans="1:4" s="863" customFormat="1">
      <c r="A6" s="863" t="s">
        <v>690</v>
      </c>
      <c r="B6" s="905">
        <v>42877</v>
      </c>
      <c r="C6" s="862" t="s">
        <v>775</v>
      </c>
      <c r="D6" s="906" t="s">
        <v>713</v>
      </c>
    </row>
    <row r="7" spans="1:4" s="863" customFormat="1">
      <c r="A7" s="863" t="s">
        <v>690</v>
      </c>
      <c r="B7" s="905">
        <v>42877</v>
      </c>
      <c r="C7" s="862" t="s">
        <v>776</v>
      </c>
      <c r="D7" s="906" t="s">
        <v>714</v>
      </c>
    </row>
    <row r="8" spans="1:4" s="863" customFormat="1">
      <c r="A8" s="863" t="s">
        <v>690</v>
      </c>
      <c r="B8" s="905">
        <v>42877</v>
      </c>
      <c r="C8" s="862" t="s">
        <v>777</v>
      </c>
      <c r="D8" s="906" t="s">
        <v>715</v>
      </c>
    </row>
    <row r="9" spans="1:4" s="7" customFormat="1">
      <c r="A9" s="863" t="s">
        <v>690</v>
      </c>
      <c r="B9" s="905">
        <v>42877</v>
      </c>
      <c r="C9" s="862" t="s">
        <v>717</v>
      </c>
      <c r="D9" s="906" t="s">
        <v>716</v>
      </c>
    </row>
    <row r="10" spans="1:4" s="7" customFormat="1">
      <c r="A10" s="863" t="s">
        <v>762</v>
      </c>
      <c r="B10" s="885">
        <v>43167</v>
      </c>
      <c r="C10" s="885" t="s">
        <v>763</v>
      </c>
      <c r="D10" s="906" t="s">
        <v>764</v>
      </c>
    </row>
    <row r="11" spans="1:4" s="7" customFormat="1">
      <c r="A11" s="863" t="s">
        <v>762</v>
      </c>
      <c r="B11" s="885">
        <v>43167</v>
      </c>
      <c r="C11" s="885" t="s">
        <v>765</v>
      </c>
      <c r="D11" s="909" t="s">
        <v>766</v>
      </c>
    </row>
    <row r="12" spans="1:4" s="7" customFormat="1">
      <c r="A12" s="863" t="s">
        <v>762</v>
      </c>
      <c r="B12" s="885">
        <v>43167</v>
      </c>
      <c r="C12" s="885" t="s">
        <v>767</v>
      </c>
      <c r="D12" s="909" t="s">
        <v>768</v>
      </c>
    </row>
    <row r="13" spans="1:4" s="7" customFormat="1">
      <c r="A13" s="863" t="s">
        <v>762</v>
      </c>
      <c r="B13" s="885">
        <v>43167</v>
      </c>
      <c r="C13" s="885" t="s">
        <v>769</v>
      </c>
      <c r="D13" s="909" t="s">
        <v>770</v>
      </c>
    </row>
    <row r="14" spans="1:4" s="7" customFormat="1">
      <c r="A14" s="863" t="s">
        <v>762</v>
      </c>
      <c r="B14" s="885">
        <v>43278</v>
      </c>
      <c r="C14" s="885" t="s">
        <v>796</v>
      </c>
      <c r="D14" s="906"/>
    </row>
    <row r="15" spans="1:4" s="7" customFormat="1">
      <c r="A15" s="863" t="s">
        <v>831</v>
      </c>
      <c r="B15" s="885">
        <v>43425</v>
      </c>
      <c r="C15" s="885" t="s">
        <v>832</v>
      </c>
      <c r="D15" s="906"/>
    </row>
    <row r="16" spans="1:4" s="7" customFormat="1">
      <c r="A16" s="863" t="s">
        <v>843</v>
      </c>
      <c r="B16" s="885">
        <v>43573</v>
      </c>
      <c r="C16" s="885" t="s">
        <v>844</v>
      </c>
      <c r="D16" s="909"/>
    </row>
    <row r="17" spans="1:4" s="7" customFormat="1">
      <c r="A17" s="863" t="s">
        <v>866</v>
      </c>
      <c r="B17" s="885">
        <v>43678</v>
      </c>
      <c r="C17" s="885" t="s">
        <v>867</v>
      </c>
      <c r="D17" s="909" t="s">
        <v>868</v>
      </c>
    </row>
    <row r="18" spans="1:4" s="7" customFormat="1">
      <c r="A18" s="1040" t="s">
        <v>872</v>
      </c>
      <c r="B18" s="1058">
        <v>43930</v>
      </c>
      <c r="C18" s="1054" t="s">
        <v>869</v>
      </c>
      <c r="D18" s="1057" t="s">
        <v>870</v>
      </c>
    </row>
    <row r="19" spans="1:4" s="7" customFormat="1">
      <c r="A19" s="1040" t="s">
        <v>872</v>
      </c>
      <c r="B19" s="1058">
        <v>43930</v>
      </c>
      <c r="C19" s="1054" t="s">
        <v>871</v>
      </c>
      <c r="D19" s="1057" t="s">
        <v>870</v>
      </c>
    </row>
    <row r="20" spans="1:4" s="7" customFormat="1">
      <c r="A20" s="1055" t="s">
        <v>872</v>
      </c>
      <c r="B20" s="1058">
        <v>43943</v>
      </c>
      <c r="C20" s="1054" t="s">
        <v>881</v>
      </c>
      <c r="D20" s="1056" t="s">
        <v>713</v>
      </c>
    </row>
    <row r="21" spans="1:4">
      <c r="A21" s="1055" t="s">
        <v>872</v>
      </c>
      <c r="B21" s="1058">
        <v>43943</v>
      </c>
      <c r="C21" s="1054" t="s">
        <v>882</v>
      </c>
      <c r="D21" s="1057" t="s">
        <v>714</v>
      </c>
    </row>
    <row r="22" spans="1:4">
      <c r="A22" s="1055" t="s">
        <v>872</v>
      </c>
      <c r="B22" s="1058">
        <v>43943</v>
      </c>
      <c r="C22" s="1054" t="s">
        <v>883</v>
      </c>
      <c r="D22" s="1057" t="s">
        <v>715</v>
      </c>
    </row>
    <row r="23" spans="1:4">
      <c r="A23" s="1055" t="s">
        <v>872</v>
      </c>
      <c r="B23" s="1058">
        <v>43943</v>
      </c>
      <c r="C23" s="1054" t="s">
        <v>884</v>
      </c>
      <c r="D23" s="1057" t="s">
        <v>885</v>
      </c>
    </row>
    <row r="24" spans="1:4">
      <c r="A24" s="1055" t="s">
        <v>872</v>
      </c>
      <c r="B24" s="1058">
        <v>43951</v>
      </c>
      <c r="C24" t="s">
        <v>699</v>
      </c>
      <c r="D24" s="1057" t="s">
        <v>887</v>
      </c>
    </row>
    <row r="25" spans="1:4">
      <c r="A25" s="1055" t="s">
        <v>872</v>
      </c>
      <c r="B25" s="1058">
        <v>43965</v>
      </c>
      <c r="C25" t="s">
        <v>890</v>
      </c>
      <c r="D25" s="1056" t="s">
        <v>703</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554</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127327.01895259536</v>
      </c>
      <c r="C4" s="451">
        <f>huishoudens!C8</f>
        <v>0</v>
      </c>
      <c r="D4" s="451">
        <f>huishoudens!D8</f>
        <v>291992.96220600005</v>
      </c>
      <c r="E4" s="451">
        <f>huishoudens!E8</f>
        <v>45196.626116307816</v>
      </c>
      <c r="F4" s="451">
        <f>huishoudens!F8</f>
        <v>63497.484062835152</v>
      </c>
      <c r="G4" s="451">
        <f>huishoudens!G8</f>
        <v>0</v>
      </c>
      <c r="H4" s="451">
        <f>huishoudens!H8</f>
        <v>0</v>
      </c>
      <c r="I4" s="451">
        <f>huishoudens!I8</f>
        <v>0</v>
      </c>
      <c r="J4" s="451">
        <f>huishoudens!J8</f>
        <v>0</v>
      </c>
      <c r="K4" s="451">
        <f>huishoudens!K8</f>
        <v>0</v>
      </c>
      <c r="L4" s="451">
        <f>huishoudens!L8</f>
        <v>0</v>
      </c>
      <c r="M4" s="451">
        <f>huishoudens!M8</f>
        <v>0</v>
      </c>
      <c r="N4" s="451">
        <f>huishoudens!N8</f>
        <v>34800.175118669824</v>
      </c>
      <c r="O4" s="451">
        <f>huishoudens!O8</f>
        <v>1013.04</v>
      </c>
      <c r="P4" s="452">
        <f>huishoudens!P8</f>
        <v>3031.6</v>
      </c>
      <c r="Q4" s="453">
        <f>SUM(B4:P4)</f>
        <v>566858.90645640821</v>
      </c>
    </row>
    <row r="5" spans="1:17">
      <c r="A5" s="450" t="s">
        <v>155</v>
      </c>
      <c r="B5" s="451">
        <f ca="1">tertiair!B16</f>
        <v>198705.16099999999</v>
      </c>
      <c r="C5" s="451">
        <f ca="1">tertiair!C16</f>
        <v>2890.9285714285716</v>
      </c>
      <c r="D5" s="451">
        <f ca="1">tertiair!D16</f>
        <v>206730.01574914291</v>
      </c>
      <c r="E5" s="451">
        <f>tertiair!E16</f>
        <v>3613.591350568277</v>
      </c>
      <c r="F5" s="451">
        <f ca="1">tertiair!F16</f>
        <v>49467.519524098396</v>
      </c>
      <c r="G5" s="451">
        <f>tertiair!G16</f>
        <v>0</v>
      </c>
      <c r="H5" s="451">
        <f>tertiair!H16</f>
        <v>0</v>
      </c>
      <c r="I5" s="451">
        <f>tertiair!I16</f>
        <v>0</v>
      </c>
      <c r="J5" s="451">
        <f>tertiair!J16</f>
        <v>0</v>
      </c>
      <c r="K5" s="451">
        <f>tertiair!K16</f>
        <v>0</v>
      </c>
      <c r="L5" s="451">
        <f ca="1">tertiair!L16</f>
        <v>0</v>
      </c>
      <c r="M5" s="451">
        <f>tertiair!M16</f>
        <v>0</v>
      </c>
      <c r="N5" s="451">
        <f ca="1">tertiair!N16</f>
        <v>9994.1732423979047</v>
      </c>
      <c r="O5" s="451">
        <f>tertiair!O16</f>
        <v>10.943333333333335</v>
      </c>
      <c r="P5" s="452">
        <f>tertiair!P16</f>
        <v>190.66666666666669</v>
      </c>
      <c r="Q5" s="450">
        <f t="shared" ref="Q5:Q14" ca="1" si="0">SUM(B5:P5)</f>
        <v>471602.99943763606</v>
      </c>
    </row>
    <row r="6" spans="1:17">
      <c r="A6" s="450" t="s">
        <v>193</v>
      </c>
      <c r="B6" s="451">
        <f>'openbare verlichting'!B8</f>
        <v>5279.5950000000003</v>
      </c>
      <c r="C6" s="451"/>
      <c r="D6" s="451"/>
      <c r="E6" s="451"/>
      <c r="F6" s="451"/>
      <c r="G6" s="451"/>
      <c r="H6" s="451"/>
      <c r="I6" s="451"/>
      <c r="J6" s="451"/>
      <c r="K6" s="451"/>
      <c r="L6" s="451"/>
      <c r="M6" s="451"/>
      <c r="N6" s="451"/>
      <c r="O6" s="451"/>
      <c r="P6" s="452"/>
      <c r="Q6" s="450">
        <f t="shared" si="0"/>
        <v>5279.5950000000003</v>
      </c>
    </row>
    <row r="7" spans="1:17">
      <c r="A7" s="450" t="s">
        <v>111</v>
      </c>
      <c r="B7" s="451">
        <f>landbouw!B8</f>
        <v>1822.9190000000001</v>
      </c>
      <c r="C7" s="451">
        <f>landbouw!C8</f>
        <v>0</v>
      </c>
      <c r="D7" s="451">
        <f>landbouw!D8</f>
        <v>1703.7012080000002</v>
      </c>
      <c r="E7" s="451">
        <f>landbouw!E8</f>
        <v>47.006081810250777</v>
      </c>
      <c r="F7" s="451">
        <f>landbouw!F8</f>
        <v>6663.116103059604</v>
      </c>
      <c r="G7" s="451">
        <f>landbouw!G8</f>
        <v>0</v>
      </c>
      <c r="H7" s="451">
        <f>landbouw!H8</f>
        <v>0</v>
      </c>
      <c r="I7" s="451">
        <f>landbouw!I8</f>
        <v>0</v>
      </c>
      <c r="J7" s="451">
        <f>landbouw!J8</f>
        <v>262.43327690387315</v>
      </c>
      <c r="K7" s="451">
        <f>landbouw!K8</f>
        <v>0</v>
      </c>
      <c r="L7" s="451">
        <f>landbouw!L8</f>
        <v>0</v>
      </c>
      <c r="M7" s="451">
        <f>landbouw!M8</f>
        <v>0</v>
      </c>
      <c r="N7" s="451">
        <f>landbouw!N8</f>
        <v>0</v>
      </c>
      <c r="O7" s="451">
        <f>landbouw!O8</f>
        <v>0</v>
      </c>
      <c r="P7" s="452">
        <f>landbouw!P8</f>
        <v>0</v>
      </c>
      <c r="Q7" s="450">
        <f t="shared" si="0"/>
        <v>10499.175669773729</v>
      </c>
    </row>
    <row r="8" spans="1:17">
      <c r="A8" s="450" t="s">
        <v>639</v>
      </c>
      <c r="B8" s="451">
        <f>industrie!B18</f>
        <v>67965.398000000001</v>
      </c>
      <c r="C8" s="451">
        <f>industrie!C18</f>
        <v>321.42857142857144</v>
      </c>
      <c r="D8" s="451">
        <f>industrie!D18</f>
        <v>113395.47216314287</v>
      </c>
      <c r="E8" s="451">
        <f>industrie!E18</f>
        <v>9085.8821211277336</v>
      </c>
      <c r="F8" s="451">
        <f>industrie!F18</f>
        <v>34704.3665165001</v>
      </c>
      <c r="G8" s="451">
        <f>industrie!G18</f>
        <v>0</v>
      </c>
      <c r="H8" s="451">
        <f>industrie!H18</f>
        <v>0</v>
      </c>
      <c r="I8" s="451">
        <f>industrie!I18</f>
        <v>0</v>
      </c>
      <c r="J8" s="451">
        <f>industrie!J18</f>
        <v>263.71991711281726</v>
      </c>
      <c r="K8" s="451">
        <f>industrie!K18</f>
        <v>0</v>
      </c>
      <c r="L8" s="451">
        <f>industrie!L18</f>
        <v>0</v>
      </c>
      <c r="M8" s="451">
        <f>industrie!M18</f>
        <v>0</v>
      </c>
      <c r="N8" s="451">
        <f>industrie!N18</f>
        <v>7608.9072357977211</v>
      </c>
      <c r="O8" s="451">
        <f>industrie!O18</f>
        <v>0</v>
      </c>
      <c r="P8" s="452">
        <f>industrie!P18</f>
        <v>0</v>
      </c>
      <c r="Q8" s="450">
        <f t="shared" si="0"/>
        <v>233345.17452510982</v>
      </c>
    </row>
    <row r="9" spans="1:17" s="456" customFormat="1">
      <c r="A9" s="454" t="s">
        <v>565</v>
      </c>
      <c r="B9" s="455">
        <f>transport!B14</f>
        <v>150.78909215011188</v>
      </c>
      <c r="C9" s="455">
        <f>transport!C14</f>
        <v>0</v>
      </c>
      <c r="D9" s="455">
        <f>transport!D14</f>
        <v>301.4838569476446</v>
      </c>
      <c r="E9" s="455">
        <f>transport!E14</f>
        <v>1435.7094598574347</v>
      </c>
      <c r="F9" s="455">
        <f>transport!F14</f>
        <v>0</v>
      </c>
      <c r="G9" s="455">
        <f>transport!G14</f>
        <v>512125.63735607394</v>
      </c>
      <c r="H9" s="455">
        <f>transport!H14</f>
        <v>104087.83662834266</v>
      </c>
      <c r="I9" s="455">
        <f>transport!I14</f>
        <v>0</v>
      </c>
      <c r="J9" s="455">
        <f>transport!J14</f>
        <v>0</v>
      </c>
      <c r="K9" s="455">
        <f>transport!K14</f>
        <v>0</v>
      </c>
      <c r="L9" s="455">
        <f>transport!L14</f>
        <v>0</v>
      </c>
      <c r="M9" s="455">
        <f>transport!M14</f>
        <v>19230.964774165084</v>
      </c>
      <c r="N9" s="455">
        <f>transport!N14</f>
        <v>0</v>
      </c>
      <c r="O9" s="455">
        <f>transport!O14</f>
        <v>0</v>
      </c>
      <c r="P9" s="455">
        <f>transport!P14</f>
        <v>0</v>
      </c>
      <c r="Q9" s="454">
        <f>SUM(B9:P9)</f>
        <v>637332.42116753687</v>
      </c>
    </row>
    <row r="10" spans="1:17">
      <c r="A10" s="450" t="s">
        <v>555</v>
      </c>
      <c r="B10" s="451">
        <f>transport!B54</f>
        <v>0</v>
      </c>
      <c r="C10" s="451">
        <f>transport!C54</f>
        <v>0</v>
      </c>
      <c r="D10" s="451">
        <f>transport!D54</f>
        <v>0</v>
      </c>
      <c r="E10" s="451">
        <f>transport!E54</f>
        <v>0</v>
      </c>
      <c r="F10" s="451">
        <f>transport!F54</f>
        <v>0</v>
      </c>
      <c r="G10" s="451">
        <f>transport!G54</f>
        <v>17017.43932697842</v>
      </c>
      <c r="H10" s="451">
        <f>transport!H54</f>
        <v>0</v>
      </c>
      <c r="I10" s="451">
        <f>transport!I54</f>
        <v>0</v>
      </c>
      <c r="J10" s="451">
        <f>transport!J54</f>
        <v>0</v>
      </c>
      <c r="K10" s="451">
        <f>transport!K54</f>
        <v>0</v>
      </c>
      <c r="L10" s="451">
        <f>transport!L54</f>
        <v>0</v>
      </c>
      <c r="M10" s="451">
        <f>transport!M54</f>
        <v>527.1765654830624</v>
      </c>
      <c r="N10" s="451">
        <f>transport!N54</f>
        <v>0</v>
      </c>
      <c r="O10" s="451">
        <f>transport!O54</f>
        <v>0</v>
      </c>
      <c r="P10" s="452">
        <f>transport!P54</f>
        <v>0</v>
      </c>
      <c r="Q10" s="450">
        <f t="shared" si="0"/>
        <v>17544.615892461483</v>
      </c>
    </row>
    <row r="11" spans="1:17">
      <c r="A11" s="450" t="s">
        <v>556</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557</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558</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840</v>
      </c>
      <c r="B14" s="458">
        <f>'SEAP template'!C25</f>
        <v>5838.049</v>
      </c>
      <c r="C14" s="458"/>
      <c r="D14" s="458">
        <f>'SEAP template'!E25</f>
        <v>14210.207</v>
      </c>
      <c r="E14" s="458"/>
      <c r="F14" s="458"/>
      <c r="G14" s="458"/>
      <c r="H14" s="458"/>
      <c r="I14" s="458"/>
      <c r="J14" s="458"/>
      <c r="K14" s="458"/>
      <c r="L14" s="458"/>
      <c r="M14" s="458"/>
      <c r="N14" s="458"/>
      <c r="O14" s="458"/>
      <c r="P14" s="459"/>
      <c r="Q14" s="450">
        <f t="shared" si="0"/>
        <v>20048.256000000001</v>
      </c>
    </row>
    <row r="15" spans="1:17" s="460" customFormat="1">
      <c r="A15" s="1004" t="s">
        <v>559</v>
      </c>
      <c r="B15" s="944">
        <f ca="1">SUM(B4:B14)</f>
        <v>407088.93004474544</v>
      </c>
      <c r="C15" s="944">
        <f t="shared" ref="C15:Q15" ca="1" si="1">SUM(C4:C14)</f>
        <v>3212.3571428571431</v>
      </c>
      <c r="D15" s="944">
        <f t="shared" ca="1" si="1"/>
        <v>628333.84218323359</v>
      </c>
      <c r="E15" s="944">
        <f t="shared" si="1"/>
        <v>59378.815129671508</v>
      </c>
      <c r="F15" s="944">
        <f t="shared" ca="1" si="1"/>
        <v>154332.48620649322</v>
      </c>
      <c r="G15" s="944">
        <f t="shared" si="1"/>
        <v>529143.07668305235</v>
      </c>
      <c r="H15" s="944">
        <f t="shared" si="1"/>
        <v>104087.83662834266</v>
      </c>
      <c r="I15" s="944">
        <f t="shared" si="1"/>
        <v>0</v>
      </c>
      <c r="J15" s="944">
        <f t="shared" si="1"/>
        <v>526.15319401669035</v>
      </c>
      <c r="K15" s="944">
        <f t="shared" si="1"/>
        <v>0</v>
      </c>
      <c r="L15" s="944">
        <f t="shared" ca="1" si="1"/>
        <v>0</v>
      </c>
      <c r="M15" s="944">
        <f t="shared" si="1"/>
        <v>19758.141339648148</v>
      </c>
      <c r="N15" s="944">
        <f t="shared" ca="1" si="1"/>
        <v>52403.255596865449</v>
      </c>
      <c r="O15" s="944">
        <f t="shared" si="1"/>
        <v>1023.9833333333333</v>
      </c>
      <c r="P15" s="944">
        <f t="shared" si="1"/>
        <v>3222.2666666666664</v>
      </c>
      <c r="Q15" s="944">
        <f t="shared" ca="1" si="1"/>
        <v>1962511.1441489263</v>
      </c>
    </row>
    <row r="17" spans="1:17">
      <c r="A17" s="461" t="s">
        <v>560</v>
      </c>
      <c r="B17" s="760">
        <f ca="1">huishoudens!B10</f>
        <v>0.19866694203586405</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562</v>
      </c>
      <c r="B19" s="1155" t="s">
        <v>561</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25295.669493854624</v>
      </c>
      <c r="C22" s="451">
        <f t="shared" ref="C22:C32" ca="1" si="3">C4*$C$17</f>
        <v>0</v>
      </c>
      <c r="D22" s="451">
        <f t="shared" ref="D22:D32" si="4">D4*$D$17</f>
        <v>58982.578365612018</v>
      </c>
      <c r="E22" s="451">
        <f t="shared" ref="E22:E32" si="5">E4*$E$17</f>
        <v>10259.634128401874</v>
      </c>
      <c r="F22" s="451">
        <f t="shared" ref="F22:F32" si="6">F4*$F$17</f>
        <v>16953.828244776985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111491.71023264551</v>
      </c>
    </row>
    <row r="23" spans="1:17">
      <c r="A23" s="450" t="s">
        <v>155</v>
      </c>
      <c r="B23" s="451">
        <f t="shared" ca="1" si="2"/>
        <v>39476.146702614031</v>
      </c>
      <c r="C23" s="451">
        <f t="shared" ca="1" si="3"/>
        <v>687.02067226890779</v>
      </c>
      <c r="D23" s="451">
        <f t="shared" ca="1" si="4"/>
        <v>41759.463181326872</v>
      </c>
      <c r="E23" s="451">
        <f t="shared" si="5"/>
        <v>820.28523657899893</v>
      </c>
      <c r="F23" s="451">
        <f t="shared" ca="1" si="6"/>
        <v>13207.827712934273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95950.74350572309</v>
      </c>
    </row>
    <row r="24" spans="1:17">
      <c r="A24" s="450" t="s">
        <v>193</v>
      </c>
      <c r="B24" s="451">
        <f t="shared" ca="1" si="2"/>
        <v>1048.8809938378377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1048.8809938378377</v>
      </c>
    </row>
    <row r="25" spans="1:17">
      <c r="A25" s="450" t="s">
        <v>111</v>
      </c>
      <c r="B25" s="451">
        <f t="shared" ca="1" si="2"/>
        <v>362.15374330907525</v>
      </c>
      <c r="C25" s="451">
        <f t="shared" ca="1" si="3"/>
        <v>0</v>
      </c>
      <c r="D25" s="451">
        <f t="shared" si="4"/>
        <v>344.14764401600007</v>
      </c>
      <c r="E25" s="451">
        <f t="shared" si="5"/>
        <v>10.670380570926927</v>
      </c>
      <c r="F25" s="451">
        <f t="shared" si="6"/>
        <v>1779.0519995169143</v>
      </c>
      <c r="G25" s="451">
        <f t="shared" si="7"/>
        <v>0</v>
      </c>
      <c r="H25" s="451">
        <f t="shared" si="8"/>
        <v>0</v>
      </c>
      <c r="I25" s="451">
        <f t="shared" si="9"/>
        <v>0</v>
      </c>
      <c r="J25" s="451">
        <f t="shared" si="10"/>
        <v>92.901380023971086</v>
      </c>
      <c r="K25" s="451">
        <f t="shared" si="11"/>
        <v>0</v>
      </c>
      <c r="L25" s="451">
        <f t="shared" si="12"/>
        <v>0</v>
      </c>
      <c r="M25" s="451">
        <f t="shared" si="13"/>
        <v>0</v>
      </c>
      <c r="N25" s="451">
        <f t="shared" si="14"/>
        <v>0</v>
      </c>
      <c r="O25" s="451">
        <f t="shared" si="15"/>
        <v>0</v>
      </c>
      <c r="P25" s="452">
        <f t="shared" si="16"/>
        <v>0</v>
      </c>
      <c r="Q25" s="450">
        <f t="shared" ca="1" si="17"/>
        <v>2588.9251474368875</v>
      </c>
    </row>
    <row r="26" spans="1:17">
      <c r="A26" s="450" t="s">
        <v>639</v>
      </c>
      <c r="B26" s="451">
        <f t="shared" ca="1" si="2"/>
        <v>13502.47778491043</v>
      </c>
      <c r="C26" s="451">
        <f t="shared" ca="1" si="3"/>
        <v>76.386554621848759</v>
      </c>
      <c r="D26" s="451">
        <f t="shared" si="4"/>
        <v>22905.885376954862</v>
      </c>
      <c r="E26" s="451">
        <f t="shared" si="5"/>
        <v>2062.4952414959957</v>
      </c>
      <c r="F26" s="451">
        <f t="shared" si="6"/>
        <v>9266.0658599055278</v>
      </c>
      <c r="G26" s="451">
        <f t="shared" si="7"/>
        <v>0</v>
      </c>
      <c r="H26" s="451">
        <f t="shared" si="8"/>
        <v>0</v>
      </c>
      <c r="I26" s="451">
        <f t="shared" si="9"/>
        <v>0</v>
      </c>
      <c r="J26" s="451">
        <f t="shared" si="10"/>
        <v>93.356850657937301</v>
      </c>
      <c r="K26" s="451">
        <f t="shared" si="11"/>
        <v>0</v>
      </c>
      <c r="L26" s="451">
        <f t="shared" si="12"/>
        <v>0</v>
      </c>
      <c r="M26" s="451">
        <f t="shared" si="13"/>
        <v>0</v>
      </c>
      <c r="N26" s="451">
        <f t="shared" si="14"/>
        <v>0</v>
      </c>
      <c r="O26" s="451">
        <f t="shared" si="15"/>
        <v>0</v>
      </c>
      <c r="P26" s="452">
        <f t="shared" si="16"/>
        <v>0</v>
      </c>
      <c r="Q26" s="450">
        <f t="shared" ca="1" si="17"/>
        <v>47906.667668546615</v>
      </c>
    </row>
    <row r="27" spans="1:17" s="456" customFormat="1">
      <c r="A27" s="454" t="s">
        <v>565</v>
      </c>
      <c r="B27" s="754">
        <f t="shared" ca="1" si="2"/>
        <v>29.95680782982684</v>
      </c>
      <c r="C27" s="455">
        <f t="shared" ca="1" si="3"/>
        <v>0</v>
      </c>
      <c r="D27" s="455">
        <f t="shared" si="4"/>
        <v>60.89973910342421</v>
      </c>
      <c r="E27" s="455">
        <f t="shared" si="5"/>
        <v>325.90604738763767</v>
      </c>
      <c r="F27" s="455">
        <f t="shared" si="6"/>
        <v>0</v>
      </c>
      <c r="G27" s="455">
        <f t="shared" si="7"/>
        <v>136737.54517407174</v>
      </c>
      <c r="H27" s="455">
        <f t="shared" si="8"/>
        <v>25917.871320457321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163072.17908884995</v>
      </c>
    </row>
    <row r="28" spans="1:17">
      <c r="A28" s="450" t="s">
        <v>555</v>
      </c>
      <c r="B28" s="451">
        <f t="shared" ca="1" si="2"/>
        <v>0</v>
      </c>
      <c r="C28" s="451">
        <f t="shared" ca="1" si="3"/>
        <v>0</v>
      </c>
      <c r="D28" s="451">
        <f t="shared" si="4"/>
        <v>0</v>
      </c>
      <c r="E28" s="451">
        <f t="shared" si="5"/>
        <v>0</v>
      </c>
      <c r="F28" s="451">
        <f t="shared" si="6"/>
        <v>0</v>
      </c>
      <c r="G28" s="451">
        <f t="shared" si="7"/>
        <v>4543.6563003032379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4543.6563003032379</v>
      </c>
    </row>
    <row r="29" spans="1:17">
      <c r="A29" s="450" t="s">
        <v>556</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557</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558</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840</v>
      </c>
      <c r="B32" s="451">
        <f t="shared" ca="1" si="2"/>
        <v>1159.8273422855341</v>
      </c>
      <c r="C32" s="451">
        <f t="shared" ca="1" si="3"/>
        <v>0</v>
      </c>
      <c r="D32" s="451">
        <f t="shared" si="4"/>
        <v>2870.4618140000002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4030.2891562855343</v>
      </c>
    </row>
    <row r="33" spans="1:17" s="460" customFormat="1">
      <c r="A33" s="1004" t="s">
        <v>559</v>
      </c>
      <c r="B33" s="944">
        <f ca="1">SUM(B22:B32)</f>
        <v>80875.112868641358</v>
      </c>
      <c r="C33" s="944">
        <f t="shared" ref="C33:Q33" ca="1" si="18">SUM(C22:C32)</f>
        <v>763.40722689075653</v>
      </c>
      <c r="D33" s="944">
        <f t="shared" ca="1" si="18"/>
        <v>126923.43612101316</v>
      </c>
      <c r="E33" s="944">
        <f t="shared" si="18"/>
        <v>13478.991034435434</v>
      </c>
      <c r="F33" s="944">
        <f t="shared" ca="1" si="18"/>
        <v>41206.773817133697</v>
      </c>
      <c r="G33" s="944">
        <f t="shared" si="18"/>
        <v>141281.20147437498</v>
      </c>
      <c r="H33" s="944">
        <f t="shared" si="18"/>
        <v>25917.871320457321</v>
      </c>
      <c r="I33" s="944">
        <f t="shared" si="18"/>
        <v>0</v>
      </c>
      <c r="J33" s="944">
        <f t="shared" si="18"/>
        <v>186.2582306819084</v>
      </c>
      <c r="K33" s="944">
        <f t="shared" si="18"/>
        <v>0</v>
      </c>
      <c r="L33" s="944">
        <f t="shared" ca="1" si="18"/>
        <v>0</v>
      </c>
      <c r="M33" s="944">
        <f t="shared" si="18"/>
        <v>0</v>
      </c>
      <c r="N33" s="944">
        <f t="shared" ca="1" si="18"/>
        <v>0</v>
      </c>
      <c r="O33" s="944">
        <f t="shared" si="18"/>
        <v>0</v>
      </c>
      <c r="P33" s="944">
        <f t="shared" si="18"/>
        <v>0</v>
      </c>
      <c r="Q33" s="944">
        <f t="shared" ca="1" si="18"/>
        <v>430633.05209362862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554</v>
      </c>
      <c r="B1" s="1164" t="s">
        <v>797</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798</v>
      </c>
      <c r="C4" s="915" t="s">
        <v>799</v>
      </c>
      <c r="D4" s="916" t="s">
        <v>800</v>
      </c>
      <c r="E4" s="917" t="s">
        <v>801</v>
      </c>
      <c r="F4" s="917" t="s">
        <v>802</v>
      </c>
      <c r="G4" s="918" t="s">
        <v>805</v>
      </c>
      <c r="H4" s="918" t="s">
        <v>805</v>
      </c>
      <c r="I4" s="918" t="s">
        <v>805</v>
      </c>
      <c r="J4" s="917" t="s">
        <v>804</v>
      </c>
      <c r="K4" s="918" t="s">
        <v>805</v>
      </c>
      <c r="L4" s="918" t="s">
        <v>805</v>
      </c>
      <c r="M4" s="918" t="s">
        <v>805</v>
      </c>
      <c r="N4" s="917" t="s">
        <v>806</v>
      </c>
      <c r="O4" s="919" t="s">
        <v>807</v>
      </c>
      <c r="P4" s="920" t="s">
        <v>808</v>
      </c>
      <c r="Q4" s="921"/>
    </row>
    <row r="5" spans="1:17" ht="124.35" customHeight="1">
      <c r="A5" s="922" t="s">
        <v>155</v>
      </c>
      <c r="B5" s="923" t="s">
        <v>809</v>
      </c>
      <c r="C5" s="924" t="s">
        <v>810</v>
      </c>
      <c r="D5" s="924" t="s">
        <v>811</v>
      </c>
      <c r="E5" s="925" t="s">
        <v>812</v>
      </c>
      <c r="F5" s="925" t="s">
        <v>813</v>
      </c>
      <c r="G5" s="926" t="s">
        <v>805</v>
      </c>
      <c r="H5" s="926" t="s">
        <v>805</v>
      </c>
      <c r="I5" s="926" t="s">
        <v>805</v>
      </c>
      <c r="J5" s="925" t="s">
        <v>814</v>
      </c>
      <c r="K5" s="923" t="s">
        <v>815</v>
      </c>
      <c r="L5" s="926" t="s">
        <v>805</v>
      </c>
      <c r="M5" s="926" t="s">
        <v>805</v>
      </c>
      <c r="N5" s="925" t="s">
        <v>816</v>
      </c>
      <c r="O5" s="927" t="s">
        <v>807</v>
      </c>
      <c r="P5" s="928" t="s">
        <v>808</v>
      </c>
      <c r="Q5" s="929"/>
    </row>
    <row r="6" spans="1:17" ht="124.35" customHeight="1">
      <c r="A6" s="922" t="s">
        <v>193</v>
      </c>
      <c r="B6" s="930" t="s">
        <v>817</v>
      </c>
      <c r="C6" s="931" t="s">
        <v>803</v>
      </c>
      <c r="D6" s="926" t="s">
        <v>803</v>
      </c>
      <c r="E6" s="926" t="s">
        <v>803</v>
      </c>
      <c r="F6" s="926" t="s">
        <v>803</v>
      </c>
      <c r="G6" s="926" t="s">
        <v>803</v>
      </c>
      <c r="H6" s="926" t="s">
        <v>803</v>
      </c>
      <c r="I6" s="926" t="s">
        <v>803</v>
      </c>
      <c r="J6" s="926" t="s">
        <v>803</v>
      </c>
      <c r="K6" s="926" t="s">
        <v>803</v>
      </c>
      <c r="L6" s="926" t="s">
        <v>803</v>
      </c>
      <c r="M6" s="926" t="s">
        <v>803</v>
      </c>
      <c r="N6" s="926" t="s">
        <v>803</v>
      </c>
      <c r="O6" s="932" t="s">
        <v>803</v>
      </c>
      <c r="P6" s="933" t="s">
        <v>803</v>
      </c>
      <c r="Q6" s="934"/>
    </row>
    <row r="7" spans="1:17" ht="124.35" customHeight="1">
      <c r="A7" s="922" t="s">
        <v>111</v>
      </c>
      <c r="B7" s="930" t="s">
        <v>817</v>
      </c>
      <c r="C7" s="924" t="s">
        <v>810</v>
      </c>
      <c r="D7" s="924" t="s">
        <v>811</v>
      </c>
      <c r="E7" s="925" t="s">
        <v>812</v>
      </c>
      <c r="F7" s="925" t="s">
        <v>813</v>
      </c>
      <c r="G7" s="926" t="s">
        <v>805</v>
      </c>
      <c r="H7" s="926" t="s">
        <v>805</v>
      </c>
      <c r="I7" s="926" t="s">
        <v>805</v>
      </c>
      <c r="J7" s="925" t="s">
        <v>814</v>
      </c>
      <c r="K7" s="926" t="s">
        <v>805</v>
      </c>
      <c r="L7" s="926" t="s">
        <v>805</v>
      </c>
      <c r="M7" s="926" t="s">
        <v>805</v>
      </c>
      <c r="N7" s="935" t="s">
        <v>805</v>
      </c>
      <c r="O7" s="931" t="s">
        <v>805</v>
      </c>
      <c r="P7" s="936" t="s">
        <v>805</v>
      </c>
      <c r="Q7" s="929"/>
    </row>
    <row r="8" spans="1:17" ht="124.35" customHeight="1">
      <c r="A8" s="922" t="s">
        <v>639</v>
      </c>
      <c r="B8" s="923" t="s">
        <v>818</v>
      </c>
      <c r="C8" s="924" t="s">
        <v>810</v>
      </c>
      <c r="D8" s="924" t="s">
        <v>811</v>
      </c>
      <c r="E8" s="925" t="s">
        <v>812</v>
      </c>
      <c r="F8" s="925" t="s">
        <v>813</v>
      </c>
      <c r="G8" s="926" t="s">
        <v>805</v>
      </c>
      <c r="H8" s="926" t="s">
        <v>805</v>
      </c>
      <c r="I8" s="926" t="s">
        <v>805</v>
      </c>
      <c r="J8" s="925" t="s">
        <v>814</v>
      </c>
      <c r="K8" s="923" t="s">
        <v>815</v>
      </c>
      <c r="L8" s="926" t="s">
        <v>805</v>
      </c>
      <c r="M8" s="926" t="s">
        <v>805</v>
      </c>
      <c r="N8" s="925" t="s">
        <v>816</v>
      </c>
      <c r="O8" s="927" t="s">
        <v>807</v>
      </c>
      <c r="P8" s="928" t="s">
        <v>808</v>
      </c>
      <c r="Q8" s="929"/>
    </row>
    <row r="9" spans="1:17" s="456" customFormat="1" ht="124.35" customHeight="1">
      <c r="A9" s="937" t="s">
        <v>565</v>
      </c>
      <c r="B9" s="925" t="s">
        <v>819</v>
      </c>
      <c r="C9" s="932" t="s">
        <v>803</v>
      </c>
      <c r="D9" s="925" t="s">
        <v>820</v>
      </c>
      <c r="E9" s="925" t="s">
        <v>821</v>
      </c>
      <c r="F9" s="926" t="s">
        <v>803</v>
      </c>
      <c r="G9" s="925" t="s">
        <v>822</v>
      </c>
      <c r="H9" s="925" t="s">
        <v>823</v>
      </c>
      <c r="I9" s="926" t="s">
        <v>803</v>
      </c>
      <c r="J9" s="926" t="s">
        <v>803</v>
      </c>
      <c r="K9" s="926" t="s">
        <v>803</v>
      </c>
      <c r="L9" s="926" t="s">
        <v>803</v>
      </c>
      <c r="M9" s="925" t="s">
        <v>819</v>
      </c>
      <c r="N9" s="926" t="s">
        <v>803</v>
      </c>
      <c r="O9" s="926" t="s">
        <v>803</v>
      </c>
      <c r="P9" s="938" t="s">
        <v>803</v>
      </c>
      <c r="Q9" s="939"/>
    </row>
    <row r="10" spans="1:17" ht="124.35" customHeight="1">
      <c r="A10" s="922" t="s">
        <v>555</v>
      </c>
      <c r="B10" s="923" t="s">
        <v>833</v>
      </c>
      <c r="C10" s="932" t="s">
        <v>803</v>
      </c>
      <c r="D10" s="932" t="s">
        <v>803</v>
      </c>
      <c r="E10" s="932" t="s">
        <v>803</v>
      </c>
      <c r="F10" s="926" t="s">
        <v>803</v>
      </c>
      <c r="G10" s="923" t="s">
        <v>824</v>
      </c>
      <c r="H10" s="926" t="s">
        <v>803</v>
      </c>
      <c r="I10" s="926" t="s">
        <v>803</v>
      </c>
      <c r="J10" s="926" t="s">
        <v>803</v>
      </c>
      <c r="K10" s="926" t="s">
        <v>803</v>
      </c>
      <c r="L10" s="926" t="s">
        <v>803</v>
      </c>
      <c r="M10" s="923" t="s">
        <v>825</v>
      </c>
      <c r="N10" s="926" t="s">
        <v>803</v>
      </c>
      <c r="O10" s="926" t="s">
        <v>803</v>
      </c>
      <c r="P10" s="938" t="s">
        <v>803</v>
      </c>
      <c r="Q10" s="929"/>
    </row>
    <row r="11" spans="1:17" ht="21">
      <c r="A11" s="922" t="s">
        <v>556</v>
      </c>
      <c r="B11" s="940" t="s">
        <v>826</v>
      </c>
      <c r="C11" s="940" t="s">
        <v>826</v>
      </c>
      <c r="D11" s="940" t="s">
        <v>826</v>
      </c>
      <c r="E11" s="940" t="s">
        <v>826</v>
      </c>
      <c r="F11" s="940" t="s">
        <v>826</v>
      </c>
      <c r="G11" s="940" t="s">
        <v>826</v>
      </c>
      <c r="H11" s="940" t="s">
        <v>826</v>
      </c>
      <c r="I11" s="940" t="s">
        <v>826</v>
      </c>
      <c r="J11" s="940" t="s">
        <v>826</v>
      </c>
      <c r="K11" s="940" t="s">
        <v>826</v>
      </c>
      <c r="L11" s="940" t="s">
        <v>826</v>
      </c>
      <c r="M11" s="940" t="s">
        <v>826</v>
      </c>
      <c r="N11" s="940" t="s">
        <v>826</v>
      </c>
      <c r="O11" s="940" t="s">
        <v>826</v>
      </c>
      <c r="P11" s="956" t="s">
        <v>826</v>
      </c>
      <c r="Q11" s="957"/>
    </row>
    <row r="12" spans="1:17" ht="21">
      <c r="A12" s="922" t="s">
        <v>557</v>
      </c>
      <c r="B12" s="940" t="s">
        <v>826</v>
      </c>
      <c r="C12" s="940" t="s">
        <v>803</v>
      </c>
      <c r="D12" s="940" t="s">
        <v>803</v>
      </c>
      <c r="E12" s="940" t="s">
        <v>803</v>
      </c>
      <c r="F12" s="940" t="s">
        <v>803</v>
      </c>
      <c r="G12" s="940" t="s">
        <v>803</v>
      </c>
      <c r="H12" s="940" t="s">
        <v>803</v>
      </c>
      <c r="I12" s="940" t="s">
        <v>803</v>
      </c>
      <c r="J12" s="940" t="s">
        <v>803</v>
      </c>
      <c r="K12" s="940" t="s">
        <v>803</v>
      </c>
      <c r="L12" s="940" t="s">
        <v>803</v>
      </c>
      <c r="M12" s="940" t="s">
        <v>803</v>
      </c>
      <c r="N12" s="940" t="s">
        <v>803</v>
      </c>
      <c r="O12" s="940" t="s">
        <v>803</v>
      </c>
      <c r="P12" s="941" t="s">
        <v>803</v>
      </c>
      <c r="Q12" s="452"/>
    </row>
    <row r="13" spans="1:17" ht="21">
      <c r="A13" s="922" t="s">
        <v>558</v>
      </c>
      <c r="B13" s="940" t="s">
        <v>826</v>
      </c>
      <c r="C13" s="940" t="s">
        <v>803</v>
      </c>
      <c r="D13" s="940" t="s">
        <v>826</v>
      </c>
      <c r="E13" s="940" t="s">
        <v>826</v>
      </c>
      <c r="F13" s="940" t="s">
        <v>803</v>
      </c>
      <c r="G13" s="940" t="s">
        <v>826</v>
      </c>
      <c r="H13" s="940" t="s">
        <v>826</v>
      </c>
      <c r="I13" s="940" t="s">
        <v>803</v>
      </c>
      <c r="J13" s="940" t="s">
        <v>803</v>
      </c>
      <c r="K13" s="940" t="s">
        <v>803</v>
      </c>
      <c r="L13" s="940" t="s">
        <v>803</v>
      </c>
      <c r="M13" s="940" t="s">
        <v>826</v>
      </c>
      <c r="N13" s="940" t="s">
        <v>803</v>
      </c>
      <c r="O13" s="940" t="s">
        <v>803</v>
      </c>
      <c r="P13" s="941" t="s">
        <v>803</v>
      </c>
      <c r="Q13" s="452"/>
    </row>
    <row r="14" spans="1:17" ht="30">
      <c r="A14" s="942" t="s">
        <v>840</v>
      </c>
      <c r="B14" s="930" t="s">
        <v>817</v>
      </c>
      <c r="C14" s="940" t="s">
        <v>803</v>
      </c>
      <c r="D14" s="930" t="s">
        <v>817</v>
      </c>
      <c r="E14" s="940" t="s">
        <v>803</v>
      </c>
      <c r="F14" s="940" t="s">
        <v>803</v>
      </c>
      <c r="G14" s="940" t="s">
        <v>803</v>
      </c>
      <c r="H14" s="940" t="s">
        <v>803</v>
      </c>
      <c r="I14" s="940" t="s">
        <v>803</v>
      </c>
      <c r="J14" s="940" t="s">
        <v>803</v>
      </c>
      <c r="K14" s="940" t="s">
        <v>803</v>
      </c>
      <c r="L14" s="940" t="s">
        <v>803</v>
      </c>
      <c r="M14" s="940" t="s">
        <v>803</v>
      </c>
      <c r="N14" s="940" t="s">
        <v>803</v>
      </c>
      <c r="O14" s="940" t="s">
        <v>803</v>
      </c>
      <c r="P14" s="956" t="s">
        <v>803</v>
      </c>
      <c r="Q14" s="1005"/>
    </row>
    <row r="15" spans="1:17" s="460" customFormat="1" ht="21">
      <c r="A15" s="943" t="s">
        <v>559</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827</v>
      </c>
      <c r="B18" s="953" t="s">
        <v>828</v>
      </c>
      <c r="C18" s="954" t="s">
        <v>829</v>
      </c>
      <c r="D18" s="955" t="s">
        <v>830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845</v>
      </c>
    </row>
    <row r="2" spans="1:16" ht="60">
      <c r="A2" s="1172"/>
      <c r="B2" s="1173"/>
      <c r="C2" s="1173"/>
      <c r="D2" s="1174" t="s">
        <v>196</v>
      </c>
      <c r="E2" s="1174"/>
      <c r="F2" s="1174"/>
      <c r="G2" s="1174"/>
      <c r="H2" s="1174"/>
      <c r="I2" s="1019" t="s">
        <v>846</v>
      </c>
      <c r="J2" s="1019" t="s">
        <v>233</v>
      </c>
      <c r="K2" s="1019" t="s">
        <v>847</v>
      </c>
      <c r="L2" s="1019" t="s">
        <v>839</v>
      </c>
      <c r="M2" s="1019" t="s">
        <v>244</v>
      </c>
      <c r="N2" s="1019" t="s">
        <v>848</v>
      </c>
      <c r="O2" s="1019" t="s">
        <v>126</v>
      </c>
      <c r="P2" s="1173"/>
    </row>
    <row r="3" spans="1:16" ht="30">
      <c r="A3" s="1172"/>
      <c r="B3" s="1019" t="s">
        <v>849</v>
      </c>
      <c r="C3" s="1019" t="s">
        <v>850</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15169.121137191971</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24900.953885753333</v>
      </c>
      <c r="C6" s="1021"/>
      <c r="D6" s="1021"/>
      <c r="E6" s="1021"/>
      <c r="F6" s="1021"/>
      <c r="G6" s="1021"/>
      <c r="H6" s="1021"/>
      <c r="I6" s="1021"/>
      <c r="J6" s="1021"/>
      <c r="K6" s="1021"/>
      <c r="L6" s="1021"/>
      <c r="M6" s="1021"/>
      <c r="N6" s="1021"/>
      <c r="O6" s="1021"/>
      <c r="P6" s="1022">
        <f>'SEAP template'!Q74</f>
        <v>0</v>
      </c>
    </row>
    <row r="7" spans="1:16">
      <c r="A7" s="1023" t="s">
        <v>839</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2248.65</v>
      </c>
      <c r="D8" s="1021">
        <f>'SEAP template'!D76</f>
        <v>2645.4705882352951</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534.38505882352968</v>
      </c>
    </row>
    <row r="9" spans="1:16">
      <c r="A9" s="1024" t="s">
        <v>851</v>
      </c>
      <c r="B9" s="1021">
        <f>'SEAP template'!B77</f>
        <v>1237.5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3535.7142857142858</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41307.575022945304</v>
      </c>
      <c r="C10" s="1025">
        <f>SUM(C4:C9)</f>
        <v>2248.65</v>
      </c>
      <c r="D10" s="1025">
        <f t="shared" ref="D10:H10" si="0">SUM(D8:D9)</f>
        <v>2645.4705882352951</v>
      </c>
      <c r="E10" s="1025">
        <f t="shared" si="0"/>
        <v>0</v>
      </c>
      <c r="F10" s="1025">
        <f t="shared" si="0"/>
        <v>0</v>
      </c>
      <c r="G10" s="1025">
        <f t="shared" si="0"/>
        <v>0</v>
      </c>
      <c r="H10" s="1025">
        <f t="shared" si="0"/>
        <v>0</v>
      </c>
      <c r="I10" s="1025">
        <f>SUM(I8:I9)</f>
        <v>0</v>
      </c>
      <c r="J10" s="1025">
        <f>SUM(J8:J9)</f>
        <v>3535.7142857142858</v>
      </c>
      <c r="K10" s="1025">
        <f t="shared" ref="K10:L10" si="1">SUM(K8:K9)</f>
        <v>0</v>
      </c>
      <c r="L10" s="1025">
        <f t="shared" si="1"/>
        <v>0</v>
      </c>
      <c r="M10" s="1025">
        <f>SUM(M8:M9)</f>
        <v>0</v>
      </c>
      <c r="N10" s="1025">
        <f>SUM(N8:N9)</f>
        <v>0</v>
      </c>
      <c r="O10" s="1025">
        <f>SUM(O8:O9)</f>
        <v>0</v>
      </c>
      <c r="P10" s="1025">
        <f>SUM(P8:P9)</f>
        <v>534.38505882352968</v>
      </c>
    </row>
    <row r="11" spans="1:16">
      <c r="A11" s="869"/>
      <c r="B11" s="869"/>
      <c r="C11" s="869"/>
      <c r="D11" s="869"/>
      <c r="E11" s="869"/>
      <c r="F11" s="869"/>
      <c r="G11" s="869"/>
      <c r="H11" s="869"/>
      <c r="I11" s="869"/>
      <c r="J11" s="869"/>
      <c r="K11" s="869"/>
      <c r="L11" s="869"/>
      <c r="M11" s="869"/>
      <c r="N11" s="869"/>
      <c r="O11" s="869"/>
      <c r="P11" s="869"/>
    </row>
    <row r="12" spans="1:16">
      <c r="A12" s="461" t="s">
        <v>852</v>
      </c>
      <c r="B12" s="760" t="s">
        <v>853</v>
      </c>
      <c r="C12" s="760">
        <f ca="1">'EF ele_warmte'!B12</f>
        <v>0.19866694203586405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854</v>
      </c>
    </row>
    <row r="15" spans="1:16">
      <c r="A15" s="1172"/>
      <c r="B15" s="1173"/>
      <c r="C15" s="1173"/>
      <c r="D15" s="1175" t="s">
        <v>196</v>
      </c>
      <c r="E15" s="1175"/>
      <c r="F15" s="1175"/>
      <c r="G15" s="1175"/>
      <c r="H15" s="1175"/>
      <c r="I15" s="1173" t="s">
        <v>846</v>
      </c>
      <c r="J15" s="1173" t="s">
        <v>233</v>
      </c>
      <c r="K15" s="1173" t="s">
        <v>847</v>
      </c>
      <c r="L15" s="1173" t="s">
        <v>839</v>
      </c>
      <c r="M15" s="1173" t="s">
        <v>244</v>
      </c>
      <c r="N15" s="1173" t="s">
        <v>855</v>
      </c>
      <c r="O15" s="1173" t="s">
        <v>126</v>
      </c>
      <c r="P15" s="1173"/>
    </row>
    <row r="16" spans="1:16" ht="30">
      <c r="A16" s="1172"/>
      <c r="B16" s="1019" t="s">
        <v>856</v>
      </c>
      <c r="C16" s="1019" t="s">
        <v>857</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3212.3571428571431</v>
      </c>
      <c r="D17" s="1022">
        <f>'SEAP template'!D87</f>
        <v>3779.2436974789925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763.40722689075653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858</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3212.3571428571431</v>
      </c>
      <c r="D20" s="1025">
        <f t="shared" ref="D20:H20" si="2">SUM(D17:D19)</f>
        <v>3779.2436974789925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763.40722689075653</v>
      </c>
    </row>
    <row r="22" spans="1:16">
      <c r="A22" s="461" t="s">
        <v>859</v>
      </c>
      <c r="B22" s="760" t="s">
        <v>853</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845</v>
      </c>
    </row>
    <row r="2" spans="1:16" ht="15.75">
      <c r="A2" s="1172"/>
      <c r="B2" s="1173"/>
      <c r="C2" s="1173"/>
      <c r="D2" s="1174" t="s">
        <v>196</v>
      </c>
      <c r="E2" s="1174"/>
      <c r="F2" s="1174"/>
      <c r="G2" s="1174"/>
      <c r="H2" s="1174"/>
      <c r="I2" s="1019" t="s">
        <v>846</v>
      </c>
      <c r="J2" s="1019" t="s">
        <v>233</v>
      </c>
      <c r="K2" s="1019" t="s">
        <v>847</v>
      </c>
      <c r="L2" s="1019" t="s">
        <v>839</v>
      </c>
      <c r="M2" s="1019" t="s">
        <v>244</v>
      </c>
      <c r="N2" s="1019" t="s">
        <v>848</v>
      </c>
      <c r="O2" s="1019" t="s">
        <v>126</v>
      </c>
      <c r="P2" s="1173"/>
    </row>
    <row r="3" spans="1:16" ht="30">
      <c r="A3" s="1172"/>
      <c r="B3" s="1019" t="s">
        <v>849</v>
      </c>
      <c r="C3" s="1019" t="s">
        <v>850</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860</v>
      </c>
      <c r="C4" s="1032" t="s">
        <v>803</v>
      </c>
      <c r="D4" s="1032" t="s">
        <v>803</v>
      </c>
      <c r="E4" s="1032" t="s">
        <v>803</v>
      </c>
      <c r="F4" s="1032" t="s">
        <v>803</v>
      </c>
      <c r="G4" s="1032" t="s">
        <v>803</v>
      </c>
      <c r="H4" s="1032" t="s">
        <v>803</v>
      </c>
      <c r="I4" s="1032" t="s">
        <v>803</v>
      </c>
      <c r="J4" s="1032" t="s">
        <v>803</v>
      </c>
      <c r="K4" s="1032" t="s">
        <v>803</v>
      </c>
      <c r="L4" s="1032" t="s">
        <v>803</v>
      </c>
      <c r="M4" s="1032" t="s">
        <v>803</v>
      </c>
      <c r="N4" s="1032" t="s">
        <v>803</v>
      </c>
      <c r="O4" s="1032" t="s">
        <v>803</v>
      </c>
      <c r="P4" s="1033" t="s">
        <v>861</v>
      </c>
    </row>
    <row r="5" spans="1:16" ht="135">
      <c r="A5" s="1034" t="s">
        <v>249</v>
      </c>
      <c r="B5" s="1031" t="s">
        <v>860</v>
      </c>
      <c r="C5" s="1032" t="s">
        <v>803</v>
      </c>
      <c r="D5" s="1032" t="s">
        <v>803</v>
      </c>
      <c r="E5" s="1032" t="s">
        <v>803</v>
      </c>
      <c r="F5" s="1032" t="s">
        <v>803</v>
      </c>
      <c r="G5" s="1032" t="s">
        <v>803</v>
      </c>
      <c r="H5" s="1032" t="s">
        <v>803</v>
      </c>
      <c r="I5" s="1032" t="s">
        <v>803</v>
      </c>
      <c r="J5" s="1032" t="s">
        <v>803</v>
      </c>
      <c r="K5" s="1032" t="s">
        <v>803</v>
      </c>
      <c r="L5" s="1032" t="s">
        <v>803</v>
      </c>
      <c r="M5" s="1032" t="s">
        <v>803</v>
      </c>
      <c r="N5" s="1032" t="s">
        <v>803</v>
      </c>
      <c r="O5" s="1032" t="s">
        <v>803</v>
      </c>
      <c r="P5" s="1033" t="s">
        <v>861</v>
      </c>
    </row>
    <row r="6" spans="1:16" ht="135">
      <c r="A6" s="1034" t="s">
        <v>250</v>
      </c>
      <c r="B6" s="1031" t="s">
        <v>860</v>
      </c>
      <c r="C6" s="1032" t="s">
        <v>803</v>
      </c>
      <c r="D6" s="1032" t="s">
        <v>803</v>
      </c>
      <c r="E6" s="1032" t="s">
        <v>803</v>
      </c>
      <c r="F6" s="1032" t="s">
        <v>803</v>
      </c>
      <c r="G6" s="1032" t="s">
        <v>803</v>
      </c>
      <c r="H6" s="1032" t="s">
        <v>803</v>
      </c>
      <c r="I6" s="1032" t="s">
        <v>803</v>
      </c>
      <c r="J6" s="1032" t="s">
        <v>803</v>
      </c>
      <c r="K6" s="1032" t="s">
        <v>803</v>
      </c>
      <c r="L6" s="1032" t="s">
        <v>803</v>
      </c>
      <c r="M6" s="1032" t="s">
        <v>803</v>
      </c>
      <c r="N6" s="1032" t="s">
        <v>803</v>
      </c>
      <c r="O6" s="1032" t="s">
        <v>803</v>
      </c>
      <c r="P6" s="1033" t="s">
        <v>861</v>
      </c>
    </row>
    <row r="7" spans="1:16" ht="135">
      <c r="A7" s="1034" t="s">
        <v>839</v>
      </c>
      <c r="B7" s="1032" t="s">
        <v>803</v>
      </c>
      <c r="C7" s="1032" t="s">
        <v>803</v>
      </c>
      <c r="D7" s="1032" t="s">
        <v>803</v>
      </c>
      <c r="E7" s="1032" t="s">
        <v>803</v>
      </c>
      <c r="F7" s="1032" t="s">
        <v>803</v>
      </c>
      <c r="G7" s="1032" t="s">
        <v>803</v>
      </c>
      <c r="H7" s="1032" t="s">
        <v>803</v>
      </c>
      <c r="I7" s="1032" t="s">
        <v>803</v>
      </c>
      <c r="J7" s="1032" t="s">
        <v>803</v>
      </c>
      <c r="K7" s="1032" t="s">
        <v>803</v>
      </c>
      <c r="L7" s="1032" t="s">
        <v>803</v>
      </c>
      <c r="M7" s="1032" t="s">
        <v>803</v>
      </c>
      <c r="N7" s="1032" t="s">
        <v>803</v>
      </c>
      <c r="O7" s="1032" t="s">
        <v>803</v>
      </c>
      <c r="P7" s="1033" t="s">
        <v>861</v>
      </c>
    </row>
    <row r="8" spans="1:16" ht="210">
      <c r="A8" s="1030" t="s">
        <v>251</v>
      </c>
      <c r="B8" s="1031" t="s">
        <v>862</v>
      </c>
      <c r="C8" s="1031" t="s">
        <v>862</v>
      </c>
      <c r="D8" s="1031" t="s">
        <v>862</v>
      </c>
      <c r="E8" s="1031" t="s">
        <v>862</v>
      </c>
      <c r="F8" s="1031" t="s">
        <v>862</v>
      </c>
      <c r="G8" s="1031" t="s">
        <v>862</v>
      </c>
      <c r="H8" s="1031" t="s">
        <v>862</v>
      </c>
      <c r="I8" s="1031" t="s">
        <v>862</v>
      </c>
      <c r="J8" s="1031" t="s">
        <v>862</v>
      </c>
      <c r="K8" s="1032" t="s">
        <v>803</v>
      </c>
      <c r="L8" s="1032" t="s">
        <v>803</v>
      </c>
      <c r="M8" s="1032" t="s">
        <v>803</v>
      </c>
      <c r="N8" s="1031" t="s">
        <v>863</v>
      </c>
      <c r="O8" s="1031" t="s">
        <v>863</v>
      </c>
      <c r="P8" s="1035"/>
    </row>
    <row r="9" spans="1:16" ht="210">
      <c r="A9" s="1036" t="s">
        <v>851</v>
      </c>
      <c r="B9" s="1031" t="s">
        <v>863</v>
      </c>
      <c r="C9" s="1031" t="s">
        <v>863</v>
      </c>
      <c r="D9" s="1031" t="s">
        <v>863</v>
      </c>
      <c r="E9" s="1031" t="s">
        <v>863</v>
      </c>
      <c r="F9" s="1031" t="s">
        <v>863</v>
      </c>
      <c r="G9" s="1031" t="s">
        <v>863</v>
      </c>
      <c r="H9" s="1031" t="s">
        <v>863</v>
      </c>
      <c r="I9" s="1031" t="s">
        <v>863</v>
      </c>
      <c r="J9" s="1031" t="s">
        <v>863</v>
      </c>
      <c r="K9" s="1032" t="s">
        <v>803</v>
      </c>
      <c r="L9" s="1031" t="s">
        <v>863</v>
      </c>
      <c r="M9" s="1031" t="s">
        <v>863</v>
      </c>
      <c r="N9" s="1031" t="s">
        <v>863</v>
      </c>
      <c r="O9" s="1031" t="s">
        <v>863</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852</v>
      </c>
      <c r="B12" s="760" t="s">
        <v>853</v>
      </c>
      <c r="C12" s="1038" t="s">
        <v>864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854</v>
      </c>
    </row>
    <row r="15" spans="1:16">
      <c r="A15" s="1172"/>
      <c r="B15" s="1173"/>
      <c r="C15" s="1173"/>
      <c r="D15" s="1175" t="s">
        <v>196</v>
      </c>
      <c r="E15" s="1175"/>
      <c r="F15" s="1175"/>
      <c r="G15" s="1175"/>
      <c r="H15" s="1175"/>
      <c r="I15" s="1173" t="s">
        <v>846</v>
      </c>
      <c r="J15" s="1173" t="s">
        <v>233</v>
      </c>
      <c r="K15" s="1173" t="s">
        <v>847</v>
      </c>
      <c r="L15" s="1173" t="s">
        <v>839</v>
      </c>
      <c r="M15" s="1173" t="s">
        <v>244</v>
      </c>
      <c r="N15" s="1173" t="s">
        <v>855</v>
      </c>
      <c r="O15" s="1173" t="s">
        <v>126</v>
      </c>
      <c r="P15" s="1173"/>
    </row>
    <row r="16" spans="1:16" ht="30">
      <c r="A16" s="1172"/>
      <c r="B16" s="1019" t="s">
        <v>856</v>
      </c>
      <c r="C16" s="1019" t="s">
        <v>857</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863</v>
      </c>
      <c r="C17" s="1031" t="s">
        <v>863</v>
      </c>
      <c r="D17" s="1031" t="s">
        <v>863</v>
      </c>
      <c r="E17" s="1031" t="s">
        <v>863</v>
      </c>
      <c r="F17" s="1031" t="s">
        <v>863</v>
      </c>
      <c r="G17" s="1031" t="s">
        <v>863</v>
      </c>
      <c r="H17" s="1031" t="s">
        <v>863</v>
      </c>
      <c r="I17" s="1031" t="s">
        <v>863</v>
      </c>
      <c r="J17" s="1031" t="s">
        <v>863</v>
      </c>
      <c r="K17" s="1032" t="s">
        <v>803</v>
      </c>
      <c r="L17" s="1032" t="s">
        <v>803</v>
      </c>
      <c r="M17" s="1032" t="s">
        <v>803</v>
      </c>
      <c r="N17" s="1031" t="s">
        <v>863</v>
      </c>
      <c r="O17" s="1031" t="s">
        <v>863</v>
      </c>
      <c r="P17" s="1039"/>
    </row>
    <row r="18" spans="1:16" ht="45">
      <c r="A18" s="1028" t="s">
        <v>257</v>
      </c>
      <c r="B18" s="1033" t="s">
        <v>826</v>
      </c>
      <c r="C18" s="1033" t="s">
        <v>826</v>
      </c>
      <c r="D18" s="1033" t="s">
        <v>826</v>
      </c>
      <c r="E18" s="1033" t="s">
        <v>826</v>
      </c>
      <c r="F18" s="1033" t="s">
        <v>826</v>
      </c>
      <c r="G18" s="1033" t="s">
        <v>826</v>
      </c>
      <c r="H18" s="1033" t="s">
        <v>826</v>
      </c>
      <c r="I18" s="1033" t="s">
        <v>826</v>
      </c>
      <c r="J18" s="1033" t="s">
        <v>826</v>
      </c>
      <c r="K18" s="1033" t="s">
        <v>826</v>
      </c>
      <c r="L18" s="1033" t="s">
        <v>826</v>
      </c>
      <c r="M18" s="1033" t="s">
        <v>826</v>
      </c>
      <c r="N18" s="1033" t="s">
        <v>826</v>
      </c>
      <c r="O18" s="1033" t="s">
        <v>826</v>
      </c>
      <c r="P18" s="1033" t="s">
        <v>826</v>
      </c>
    </row>
    <row r="19" spans="1:16" ht="45">
      <c r="A19" s="1024" t="s">
        <v>858</v>
      </c>
      <c r="B19" s="1033" t="s">
        <v>826</v>
      </c>
      <c r="C19" s="1033" t="s">
        <v>826</v>
      </c>
      <c r="D19" s="1033" t="s">
        <v>826</v>
      </c>
      <c r="E19" s="1033" t="s">
        <v>826</v>
      </c>
      <c r="F19" s="1033" t="s">
        <v>826</v>
      </c>
      <c r="G19" s="1033" t="s">
        <v>826</v>
      </c>
      <c r="H19" s="1033" t="s">
        <v>826</v>
      </c>
      <c r="I19" s="1033" t="s">
        <v>826</v>
      </c>
      <c r="J19" s="1033" t="s">
        <v>826</v>
      </c>
      <c r="K19" s="1033" t="s">
        <v>826</v>
      </c>
      <c r="L19" s="1033" t="s">
        <v>826</v>
      </c>
      <c r="M19" s="1033" t="s">
        <v>826</v>
      </c>
      <c r="N19" s="1033" t="s">
        <v>826</v>
      </c>
      <c r="O19" s="1033" t="s">
        <v>826</v>
      </c>
      <c r="P19" s="1033" t="s">
        <v>826</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859</v>
      </c>
      <c r="B22" s="760" t="s">
        <v>853</v>
      </c>
      <c r="C22" s="1038" t="s">
        <v>865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582</v>
      </c>
      <c r="B6" s="75" t="s">
        <v>583</v>
      </c>
      <c r="C6" s="434" t="s">
        <v>566</v>
      </c>
    </row>
    <row r="7" spans="1:3">
      <c r="A7" s="125"/>
      <c r="B7" s="129"/>
      <c r="C7" s="122"/>
    </row>
    <row r="8" spans="1:3">
      <c r="A8" s="113" t="s">
        <v>585</v>
      </c>
      <c r="B8" s="75" t="s">
        <v>584</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619</v>
      </c>
    </row>
    <row r="13" spans="1:3">
      <c r="A13" s="140"/>
      <c r="B13" s="124"/>
      <c r="C13" s="300"/>
    </row>
    <row r="14" spans="1:3" s="11" customFormat="1">
      <c r="A14" s="113" t="s">
        <v>602</v>
      </c>
      <c r="B14" s="130" t="s">
        <v>603</v>
      </c>
      <c r="C14" s="131" t="s">
        <v>604</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614</v>
      </c>
      <c r="B4" s="464"/>
      <c r="C4" s="464"/>
      <c r="D4" s="464"/>
      <c r="E4" s="464"/>
      <c r="F4" s="464"/>
      <c r="G4" s="496"/>
      <c r="H4" s="496"/>
      <c r="I4" s="464"/>
      <c r="J4" s="464"/>
      <c r="K4" s="464"/>
      <c r="L4" s="464"/>
      <c r="M4" s="464"/>
      <c r="N4" s="464"/>
      <c r="O4" s="464"/>
      <c r="P4" s="464"/>
    </row>
    <row r="5" spans="1:16" outlineLevel="1">
      <c r="A5" s="668" t="s">
        <v>615</v>
      </c>
      <c r="B5" s="464"/>
      <c r="C5" s="464"/>
      <c r="D5" s="464"/>
      <c r="E5" s="464"/>
      <c r="F5" s="464"/>
      <c r="G5" s="496"/>
      <c r="H5" s="496"/>
      <c r="I5" s="464"/>
      <c r="J5" s="464"/>
      <c r="K5" s="464"/>
      <c r="L5" s="464"/>
      <c r="M5" s="464"/>
      <c r="N5" s="464"/>
      <c r="O5" s="464"/>
      <c r="P5" s="464"/>
    </row>
    <row r="6" spans="1:16" outlineLevel="1">
      <c r="A6" s="668" t="s">
        <v>616</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617</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618</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580</v>
      </c>
      <c r="B13" s="451"/>
      <c r="C13" s="468"/>
      <c r="D13" s="468"/>
      <c r="E13" s="468"/>
      <c r="F13" s="468"/>
      <c r="G13" s="468"/>
      <c r="H13" s="468"/>
      <c r="I13" s="468"/>
      <c r="J13" s="468"/>
      <c r="K13" s="468"/>
      <c r="L13" s="468"/>
      <c r="M13" s="468"/>
      <c r="N13" s="468"/>
      <c r="O13" s="761" t="s">
        <v>635</v>
      </c>
      <c r="P13" s="761" t="s">
        <v>634</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607</v>
      </c>
      <c r="B17" s="498">
        <f ca="1">'EF ele_warmte'!B12</f>
        <v>0.19866694203586405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656</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626</v>
      </c>
      <c r="B27" s="768">
        <f>B24*B25*B26</f>
        <v>0</v>
      </c>
      <c r="C27" s="489" t="s">
        <v>627</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656</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626</v>
      </c>
      <c r="B35" s="767">
        <f>B31*B32*B33/1000-B31*B32*B33/1000/B34</f>
        <v>0</v>
      </c>
      <c r="C35" s="495" t="s">
        <v>627</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2020-06-20T15:59:28Z</dcterms:modified>
</cp:coreProperties>
</file>