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B48" i="18"/>
  <c r="C8" i="18" s="1"/>
  <c r="D76" i="14" s="1"/>
  <c r="D8" i="59" s="1"/>
  <c r="D10" i="59" s="1"/>
  <c r="B49" i="18"/>
  <c r="C17" i="18" s="1"/>
  <c r="D87" i="14" s="1"/>
  <c r="D17" i="59" s="1"/>
  <c r="D20" i="59" s="1"/>
  <c r="D48" i="18"/>
  <c r="C49" i="18"/>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17"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Q11" i="14"/>
  <c r="P4" i="48"/>
  <c r="P22" i="48" s="1"/>
  <c r="B7" i="48"/>
  <c r="C24" i="14"/>
  <c r="C26" i="14" s="1"/>
  <c r="J15" i="16"/>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O8" i="48"/>
  <c r="O26" i="48" s="1"/>
  <c r="P13" i="14"/>
  <c r="P16" i="14" s="1"/>
  <c r="P27" i="14"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K63" i="14" s="1"/>
  <c r="J8" i="48"/>
  <c r="K13" i="14"/>
  <c r="K16" i="14" s="1"/>
  <c r="K27" i="14" s="1"/>
  <c r="E22" i="16"/>
  <c r="F43" i="14" s="1"/>
  <c r="F46" i="14" s="1"/>
  <c r="F61" i="14" s="1"/>
  <c r="G33" i="48"/>
  <c r="N8" i="48"/>
  <c r="N26" i="48" s="1"/>
  <c r="O13" i="14"/>
  <c r="N22" i="16"/>
  <c r="O43" i="14" s="1"/>
  <c r="G13" i="14"/>
  <c r="R13" i="14" s="1"/>
  <c r="F8" i="48"/>
  <c r="F63" i="14" l="1"/>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<sst xmlns="http://schemas.openxmlformats.org/spreadsheetml/2006/main" count="2407" uniqueCount="896">
  <si>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</si>
  <si>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</si>
  <si>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</si>
  <si>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</si>
  <si>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</si>
  <si>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</si>
  <si>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</si>
  <si>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</si>
  <si>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</si>
  <si>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</si>
  <si>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</si>
  <si>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</si>
  <si>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</si>
  <si>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</si>
  <si>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</si>
  <si>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</si>
  <si>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</si>
  <si>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</si>
  <si>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</si>
  <si>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</si>
  <si>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</si>
  <si>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</si>
  <si>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</si>
  <si>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</si>
  <si>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</si>
  <si>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</si>
  <si>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</si>
  <si>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</si>
  <si>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</si>
  <si>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</si>
  <si>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</si>
  <si>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</si>
  <si>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</si>
  <si>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</si>
  <si>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</si>
  <si>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</si>
  <si>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</si>
  <si>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</si>
  <si>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</si>
  <si>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</si>
  <si>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</si>
  <si>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</si>
  <si>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</si>
  <si>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</si>
  <si>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</si>
  <si>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</si>
  <si>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</si>
  <si>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</si>
  <si>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</si>
  <si>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</si>
  <si>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</si>
  <si>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</si>
  <si>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</si>
  <si>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</si>
  <si>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</si>
  <si>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</si>
  <si>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</si>
  <si>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</si>
  <si>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</si>
  <si>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</si>
  <si>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</si>
  <si>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</si>
  <si>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</si>
  <si>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</si>
  <si>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</si>
  <si>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</si>
  <si>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</si>
  <si>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</si>
  <si>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</si>
  <si>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</si>
  <si>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</si>
  <si>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</si>
  <si>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</si>
  <si>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</si>
  <si>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</si>
  <si>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</si>
  <si>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</si>
  <si>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</si>
  <si>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</si>
  <si>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</si>
  <si>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</si>
  <si>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</si>
  <si>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</si>
  <si>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</si>
  <si>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</si>
  <si>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</si>
  <si>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</si>
  <si>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</si>
  <si>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</si>
  <si>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</si>
  <si>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</si>
  <si>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</si>
  <si>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</si>
  <si>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</si>
  <si>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</si>
  <si>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</si>
  <si>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</si>
  <si>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</si>
  <si>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</si>
  <si>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</si>
  <si>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</si>
  <si>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</si>
  <si>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</si>
  <si>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</si>
  <si>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</si>
  <si>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</si>
  <si>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</si>
  <si>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</si>
  <si>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</si>
  <si>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</si>
  <si>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</si>
  <si>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</si>
  <si>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</si>
  <si>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</si>
  <si>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</si>
  <si>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</si>
  <si>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</si>
  <si>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</si>
  <si>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</si>
  <si>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</si>
  <si>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</si>
  <si>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</si>
  <si>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</si>
  <si>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</si>
  <si>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</si>
  <si>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</si>
  <si>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</si>
  <si>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</si>
  <si>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</si>
  <si>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</si>
  <si>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</si>
  <si>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</si>
  <si>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</si>
  <si>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</si>
  <si>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</si>
  <si>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</si>
  <si>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</si>
  <si>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</si>
  <si>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</si>
  <si>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</si>
  <si>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</si>
  <si>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</si>
  <si>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</si>
  <si>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</si>
  <si>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</si>
  <si>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</si>
  <si>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</si>
  <si>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</si>
  <si>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</si>
  <si>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</si>
  <si>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</si>
  <si>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</si>
  <si>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</si>
  <si>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</si>
  <si>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</si>
  <si>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</si>
  <si>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</si>
  <si>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</si>
  <si>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</si>
  <si>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</si>
  <si>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</si>
  <si>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</si>
  <si>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</si>
  <si>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</si>
  <si>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</si>
  <si>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</si>
  <si>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</si>
  <si>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</si>
  <si>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</si>
  <si>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</si>
  <si>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</si>
  <si>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</si>
  <si>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</si>
  <si>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</si>
  <si>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</si>
  <si>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</si>
  <si>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</si>
  <si>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</si>
  <si>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</si>
  <si>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</si>
  <si>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</si>
  <si>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</si>
  <si>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</si>
  <si>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</si>
  <si>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</si>
  <si>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</si>
  <si>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</si>
  <si>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</si>
  <si>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</si>
  <si>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</si>
  <si>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</si>
  <si>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</si>
  <si>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</si>
  <si>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</si>
  <si>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</si>
  <si>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</si>
  <si>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</si>
  <si>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</si>
  <si>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</si>
  <si>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</si>
  <si>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</si>
  <si>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</si>
  <si>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</si>
  <si>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</si>
  <si>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</si>
  <si>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</si>
  <si>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</si>
  <si>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</si>
  <si>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</si>
  <si>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</si>
  <si>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</si>
  <si>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</si>
  <si>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</si>
  <si>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</si>
  <si>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</si>
  <si>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</si>
  <si>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</si>
  <si>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</si>
  <si>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</si>
  <si>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</si>
  <si>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</si>
  <si>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</si>
  <si>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</si>
  <si>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</si>
  <si>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</si>
  <si>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</si>
  <si>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</si>
  <si>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</si>
  <si>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</si>
  <si>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</si>
  <si>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</si>
  <si>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</si>
  <si>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</si>
  <si>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</si>
  <si>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</si>
  <si>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</si>
  <si>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</si>
  <si>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</si>
  <si>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</si>
  <si>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</si>
  <si>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</si>
  <si>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</si>
  <si>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</si>
  <si>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</si>
  <si>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</si>
  <si>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</si>
  <si>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</si>
  <si>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</si>
  <si>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</si>
  <si>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</si>
  <si>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</si>
  <si>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</si>
  <si>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</si>
  <si>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</si>
  <si>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</si>
  <si>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</si>
  <si>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</si>
  <si>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</si>
  <si>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</si>
  <si>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</si>
  <si>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</si>
  <si>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</si>
  <si>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</si>
  <si>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</si>
  <si>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</si>
  <si>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</si>
  <si>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</si>
  <si>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</si>
  <si>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</si>
  <si>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</si>
  <si>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</si>
  <si>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</si>
  <si>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</si>
  <si>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</si>
  <si>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</si>
  <si>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</si>
  <si>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</si>
  <si>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</si>
  <si>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</si>
  <si>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</si>
  <si>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</si>
  <si>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</si>
  <si>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</si>
  <si>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</si>
  <si>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</si>
  <si>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</si>
  <si>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</si>
  <si>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</si>
  <si>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</si>
  <si>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</si>
  <si>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</si>
  <si>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</si>
  <si>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</si>
  <si>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</si>
  <si>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</si>
  <si>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</si>
  <si>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</si>
  <si>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</si>
  <si>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</si>
  <si>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</si>
  <si>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</si>
  <si>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</si>
  <si>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</si>
  <si>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</si>
  <si>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</si>
  <si>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</si>
  <si>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</si>
  <si>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</si>
  <si>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</si>
  <si>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</si>
  <si>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</si>
  <si>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</si>
  <si>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</si>
  <si>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</si>
  <si>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</si>
  <si>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</si>
  <si>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</si>
  <si>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</si>
  <si>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</si>
  <si>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</si>
  <si>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</si>
  <si>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</si>
  <si>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</si>
  <si>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</si>
  <si>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</si>
  <si>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</si>
  <si>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</si>
  <si>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</si>
  <si>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</si>
  <si>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</si>
  <si>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</si>
  <si>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</si>
  <si>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</si>
  <si>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</si>
  <si>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</si>
  <si>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</si>
  <si>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</si>
  <si>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</si>
  <si>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</si>
  <si>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</si>
  <si>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</si>
  <si>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</si>
  <si>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</si>
  <si>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</si>
  <si>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</si>
  <si>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</si>
  <si>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</si>
  <si>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</si>
  <si>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</si>
  <si>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</si>
  <si>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</si>
  <si>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</si>
  <si>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</si>
  <si>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</si>
  <si>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</si>
  <si>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</si>
  <si>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</si>
  <si>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</si>
  <si>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</si>
  <si>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</si>
  <si>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</si>
  <si>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</si>
  <si>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</si>
  <si>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</si>
  <si>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</si>
  <si>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</si>
  <si>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</si>
  <si>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</si>
  <si>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</si>
  <si>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</si>
  <si>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</si>
  <si>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</si>
  <si>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</si>
  <si>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</si>
  <si>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</si>
  <si>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</si>
  <si>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</si>
  <si>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</si>
  <si>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</si>
  <si>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</si>
  <si>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</si>
  <si>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</si>
  <si>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</si>
  <si>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</si>
  <si>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</si>
  <si>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</si>
  <si>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</si>
  <si>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</si>
  <si>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</si>
  <si>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</si>
  <si>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</si>
  <si>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</si>
  <si>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</si>
  <si>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</si>
  <si>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</si>
  <si>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</si>
  <si>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</si>
  <si>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</si>
  <si>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</si>
  <si>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</si>
  <si>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</si>
  <si>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</si>
  <si>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</si>
  <si>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</si>
  <si>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</si>
  <si>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</si>
  <si>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</si>
  <si>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</si>
  <si>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</si>
  <si>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</si>
  <si>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</si>
  <si>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</si>
  <si>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</si>
  <si>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</si>
  <si>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</si>
  <si>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</si>
  <si>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</si>
  <si>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</si>
  <si>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</si>
  <si>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</si>
  <si>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</si>
  <si>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</si>
  <si>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</si>
  <si>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</si>
  <si>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</si>
  <si>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</si>
  <si>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</si>
  <si>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</si>
  <si>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</si>
  <si>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</si>
  <si>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</si>
  <si>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</si>
  <si>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</si>
  <si>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</si>
  <si>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</si>
  <si>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</si>
  <si>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</si>
  <si>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</si>
  <si>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</si>
  <si>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</si>
  <si>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</si>
  <si>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</si>
  <si>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</si>
  <si>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</si>
  <si>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</si>
  <si>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</si>
  <si>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</si>
  <si>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</si>
  <si>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</si>
  <si>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</si>
  <si>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</si>
  <si>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</si>
  <si>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</si>
  <si>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</si>
  <si>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</si>
  <si>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</si>
  <si>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</si>
  <si>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</si>
  <si>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</si>
  <si>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</si>
  <si>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</si>
  <si>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</si>
  <si>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</si>
  <si>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</si>
  <si>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</si>
  <si>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</si>
  <si>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</si>
  <si>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</si>
  <si>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</si>
  <si>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</si>
  <si>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</si>
  <si>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</si>
  <si>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</si>
  <si>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</si>
  <si>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</si>
  <si>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</si>
  <si>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</si>
  <si>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</si>
  <si>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</si>
  <si>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</si>
  <si>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</si>
  <si>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</si>
  <si>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</si>
  <si>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</si>
  <si>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</si>
  <si>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</si>
  <si>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</si>
  <si>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</si>
  <si>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</si>
  <si>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</si>
  <si>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</si>
  <si>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</si>
  <si>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</si>
  <si>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</si>
  <si>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</si>
  <si>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</si>
  <si>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</si>
  <si>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</si>
  <si>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</si>
  <si>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</si>
  <si>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</si>
  <si>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</si>
  <si>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</si>
  <si>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</si>
  <si>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</si>
  <si>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</si>
  <si>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</si>
  <si>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</si>
  <si>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</si>
  <si>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</si>
  <si>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</si>
  <si>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</si>
  <si>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</si>
  <si>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</si>
  <si>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</si>
  <si>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</si>
  <si>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</si>
  <si>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</si>
  <si>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</si>
  <si>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</si>
  <si>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</si>
  <si>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</si>
  <si>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</si>
  <si>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</si>
  <si>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</si>
  <si>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</si>
  <si>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</si>
  <si>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</si>
  <si>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</si>
  <si>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</si>
  <si>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</si>
  <si>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</si>
  <si>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</si>
  <si>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</si>
  <si>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</si>
  <si>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</si>
  <si>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</si>
  <si>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</si>
  <si>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</si>
  <si>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</si>
  <si>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</si>
  <si>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</si>
  <si>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</si>
  <si>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</si>
  <si>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</si>
  <si>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</si>
  <si>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</si>
  <si>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</si>
  <si>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</si>
  <si>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</si>
  <si>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</si>
  <si>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</si>
  <si>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</si>
  <si>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</si>
  <si>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</si>
  <si>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</si>
  <si>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</si>
  <si>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</si>
  <si>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</si>
  <si>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</si>
  <si>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</si>
  <si>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</si>
  <si>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</si>
  <si>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</si>
  <si>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</si>
  <si>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</si>
  <si>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</si>
  <si>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</si>
  <si>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</si>
  <si>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</si>
  <si>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</si>
  <si>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</si>
  <si>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</si>
  <si>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</si>
  <si>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</si>
  <si>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</si>
  <si>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</si>
  <si>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</si>
  <si>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</si>
  <si>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</si>
  <si>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</si>
  <si>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</si>
  <si>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</si>
  <si>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</si>
  <si>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</si>
  <si>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</si>
  <si>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</si>
  <si>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</si>
  <si>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</si>
  <si>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</si>
  <si>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</si>
  <si>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</si>
  <si>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</si>
  <si>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</si>
  <si>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</si>
  <si>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</si>
  <si>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</si>
  <si>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</si>
  <si>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</si>
  <si>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</si>
  <si>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</si>
  <si>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</si>
  <si>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</si>
  <si>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</si>
  <si>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</si>
  <si>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</si>
  <si>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</si>
  <si>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</si>
  <si>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</si>
  <si>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</si>
  <si>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</si>
  <si>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</si>
  <si>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</si>
  <si>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</si>
  <si>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</si>
  <si>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</si>
  <si>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</si>
  <si>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</si>
  <si>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</si>
  <si>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</si>
  <si>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</si>
  <si>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</si>
  <si>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</si>
  <si>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</si>
  <si>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</si>
  <si>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</si>
  <si>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</si>
  <si>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</si>
  <si>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</si>
  <si>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</si>
  <si>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</si>
  <si>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</si>
  <si>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</si>
  <si>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</si>
  <si>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</si>
  <si>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</si>
  <si>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</si>
  <si>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</si>
  <si>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</si>
  <si>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</si>
  <si>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</si>
  <si>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</si>
  <si>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</si>
  <si>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</si>
  <si>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</si>
  <si>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</si>
  <si>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</si>
  <si>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</si>
  <si>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</si>
  <si>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</si>
  <si>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</si>
  <si>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</si>
  <si>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</si>
  <si>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</si>
  <si>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</si>
  <si>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</si>
  <si>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</si>
  <si>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</si>
  <si>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</si>
  <si>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</si>
  <si>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</si>
  <si>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</si>
  <si>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</si>
  <si>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</si>
  <si>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</si>
  <si>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</si>
  <si>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</si>
  <si>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</si>
  <si>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</si>
  <si>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</si>
  <si>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</si>
  <si>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</si>
  <si>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</si>
  <si>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</si>
  <si>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</si>
  <si>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</si>
  <si>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</si>
  <si>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</si>
  <si>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</si>
  <si>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</si>
  <si>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</si>
  <si>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</si>
  <si>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</si>
  <si>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</si>
  <si>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</si>
  <si>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</si>
  <si>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</si>
  <si>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</si>
  <si>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</si>
  <si>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</si>
  <si>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</si>
  <si>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</si>
  <si>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</si>
  <si>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</si>
  <si>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</si>
  <si>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</si>
  <si>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</si>
  <si>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</si>
  <si>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</si>
  <si>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</si>
  <si>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</si>
  <si>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</si>
  <si>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</si>
  <si>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</si>
  <si>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</si>
  <si>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</si>
  <si>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</si>
  <si>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</si>
  <si>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</si>
  <si>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</si>
  <si>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</si>
  <si>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</si>
  <si>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</si>
  <si>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</si>
  <si>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</si>
  <si>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</si>
  <si>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</si>
  <si>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</si>
  <si>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</si>
  <si>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</si>
  <si>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</si>
  <si>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</si>
  <si>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</si>
  <si>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</si>
  <si>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</si>
  <si>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</si>
  <si>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</si>
  <si>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</si>
  <si>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</si>
  <si>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</si>
  <si>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</si>
  <si>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</si>
  <si>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</si>
  <si>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</si>
  <si>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</si>
  <si>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</si>
  <si>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</si>
  <si>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</si>
  <si>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</si>
  <si>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</si>
  <si>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</si>
  <si>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</si>
  <si>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</si>
  <si>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</si>
  <si>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</si>
  <si>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</si>
  <si>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</si>
  <si>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</si>
  <si>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</si>
  <si>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</si>
  <si>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</si>
  <si>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</si>
  <si>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</si>
  <si>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</si>
  <si>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</si>
  <si>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</si>
  <si>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</si>
  <si>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</si>
  <si>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</si>
  <si>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</si>
  <si>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</si>
  <si>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</si>
  <si>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</si>
  <si>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</si>
  <si>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</si>
  <si>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</si>
  <si>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</si>
  <si>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</si>
  <si>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</si>
  <si>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</si>
  <si>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</si>
  <si>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</si>
  <si>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</si>
  <si>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</si>
  <si>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</si>
  <si>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</si>
  <si>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</si>
  <si>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</si>
  <si>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</si>
  <si>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</si>
  <si>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</si>
  <si>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</si>
  <si>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</si>
  <si>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</si>
  <si>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</si>
  <si>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</si>
  <si>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</si>
  <si>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</si>
  <si>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</si>
  <si>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</si>
  <si>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</si>
  <si>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</si>
  <si>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</si>
  <si>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</si>
  <si>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</si>
  <si>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</si>
  <si>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</si>
  <si>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</si>
  <si>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</si>
  <si>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</si>
  <si>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</si>
  <si>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</si>
  <si>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</si>
  <si>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</si>
  <si>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</si>
  <si>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</si>
  <si>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</si>
  <si>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</si>
  <si>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</si>
  <si>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</si>
  <si>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</si>
  <si>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</si>
  <si>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</si>
  <si>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</si>
  <si>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</si>
  <si>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</si>
  <si>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</si>
  <si>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</si>
  <si>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</si>
  <si>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</si>
  <si>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</si>
  <si>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</si>
  <si>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</si>
  <si>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</si>
  <si>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</si>
  <si>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</si>
  <si>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</si>
  <si>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</si>
  <si>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</si>
  <si>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</si>
  <si>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</si>
  <si>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</si>
  <si>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</si>
  <si>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</si>
  <si>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</si>
  <si>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</si>
  <si>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</si>
  <si>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</si>
  <si>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</si>
  <si>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</si>
  <si>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</si>
  <si>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</si>
  <si>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</si>
  <si>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</si>
  <si>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</si>
  <si>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</si>
  <si>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</si>
  <si>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</si>
  <si>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</si>
  <si>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</si>
  <si>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</si>
  <si>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</si>
  <si>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</si>
  <si>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</si>
  <si>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</si>
  <si>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</si>
  <si>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</si>
  <si>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</si>
  <si>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</si>
  <si>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</si>
  <si>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</si>
  <si>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</si>
  <si>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</si>
  <si>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</si>
  <si>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</si>
  <si>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</si>
  <si>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</si>
  <si>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</si>
  <si>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</si>
  <si>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</si>
  <si>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</si>
  <si>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</si>
  <si>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</si>
  <si>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</si>
  <si>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</si>
  <si>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</si>
  <si>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</si>
  <si>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</si>
  <si>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</si>
  <si>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</si>
  <si>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</si>
  <si>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</si>
  <si>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</si>
  <si>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</si>
  <si>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</si>
  <si>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</si>
  <si>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</si>
  <si>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</si>
  <si>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</si>
  <si>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</si>
  <si>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71020</t>
  </si>
  <si>
    <t>HALEN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</si>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</sst>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86800.561943641442</c:v>
                </c:pt>
                <c:pt idx="1">
                  <c:v>19763.648463817968</c:v>
                </c:pt>
                <c:pt idx="2">
                  <c:v>616.82799999999997</c:v>
                </c:pt>
                <c:pt idx="3">
                  <c:v>6970.6429217452078</c:v>
                </c:pt>
                <c:pt idx="4">
                  <c:v>53286.429962502363</c:v>
                </c:pt>
                <c:pt idx="5">
                  <c:v>132197.18115439123</c:v>
                </c:pt>
                <c:pt idx="6">
                  <c:v>1325.840431020795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86800.561943641442</c:v>
                </c:pt>
                <c:pt idx="1">
                  <c:v>19763.648463817968</c:v>
                </c:pt>
                <c:pt idx="2">
                  <c:v>616.82799999999997</c:v>
                </c:pt>
                <c:pt idx="3">
                  <c:v>6970.6429217452078</c:v>
                </c:pt>
                <c:pt idx="4">
                  <c:v>53286.429962502363</c:v>
                </c:pt>
                <c:pt idx="5">
                  <c:v>132197.18115439123</c:v>
                </c:pt>
                <c:pt idx="6">
                  <c:v>1325.840431020795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15889.194438262752</c:v>
                </c:pt>
                <c:pt idx="2">
                  <c:v>3024.318222605561</c:v>
                </c:pt>
                <c:pt idx="3">
                  <c:v>75.586425256269393</c:v>
                </c:pt>
                <c:pt idx="4">
                  <c:v>1662.9396990143532</c:v>
                </c:pt>
                <c:pt idx="5">
                  <c:v>9687.3171236608105</c:v>
                </c:pt>
                <c:pt idx="6">
                  <c:v>33844.560820164224</c:v>
                </c:pt>
                <c:pt idx="7">
                  <c:v>343.3625030339274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15889.194438262752</c:v>
                </c:pt>
                <c:pt idx="2">
                  <c:v>3024.318222605561</c:v>
                </c:pt>
                <c:pt idx="3">
                  <c:v>75.586425256269393</c:v>
                </c:pt>
                <c:pt idx="4">
                  <c:v>1662.9396990143532</c:v>
                </c:pt>
                <c:pt idx="5">
                  <c:v>9687.3171236608105</c:v>
                </c:pt>
                <c:pt idx="6">
                  <c:v>33844.560820164224</c:v>
                </c:pt>
                <c:pt idx="7">
                  <c:v>343.3625030339274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71020</v>
      </c>
      <c r="B6" s="390"/>
      <c r="C6" s="391"/>
    </row>
    <row r="7" spans="1:7" s="388" customFormat="1" ht="15.75" customHeight="1">
      <c r="A7" s="392" t="str">
        <f>txtMunicipality</f>
        <v>HALEN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10073.628999999999</v>
      </c>
      <c r="D10" s="978">
        <f ca="1">tertiair!C16</f>
        <v>0</v>
      </c>
      <c r="E10" s="978">
        <f ca="1">tertiair!D16</f>
        <v>6149.4436299999998</v>
      </c>
      <c r="F10" s="978">
        <f>tertiair!E16</f>
        <v>168.45878222108755</v>
      </c>
      <c r="G10" s="978">
        <f ca="1">tertiair!F16</f>
        <v>2191.1952526594355</v>
      </c>
      <c r="H10" s="978">
        <f>tertiair!G16</f>
        <v>0</v>
      </c>
      <c r="I10" s="978">
        <f>tertiair!H16</f>
        <v>0</v>
      </c>
      <c r="J10" s="978">
        <f>tertiair!I16</f>
        <v>0</v>
      </c>
      <c r="K10" s="978">
        <f>tertiair!J16</f>
        <v>0</v>
      </c>
      <c r="L10" s="978">
        <f>tertiair!K16</f>
        <v>0</v>
      </c>
      <c r="M10" s="978">
        <f ca="1">tertiair!L16</f>
        <v>0</v>
      </c>
      <c r="N10" s="978">
        <f>tertiair!M16</f>
        <v>0</v>
      </c>
      <c r="O10" s="978">
        <f ca="1">tertiair!N16</f>
        <v>1796.1864656041148</v>
      </c>
      <c r="P10" s="978">
        <f>tertiair!O16</f>
        <v>1.5633333333333335</v>
      </c>
      <c r="Q10" s="979">
        <f>tertiair!P16</f>
        <v>0</v>
      </c>
      <c r="R10" s="674">
        <f ca="1">SUM(C10:Q10)</f>
        <v>20380.476463817969</v>
      </c>
      <c r="S10" s="67"/>
    </row>
    <row r="11" spans="1:19" s="447" customFormat="1">
      <c r="A11" s="783" t="s">
        <v>224</v>
      </c>
      <c r="B11" s="788"/>
      <c r="C11" s="978">
        <f>huishoudens!B8</f>
        <v>17342.978914975036</v>
      </c>
      <c r="D11" s="978">
        <f>huishoudens!C8</f>
        <v>0</v>
      </c>
      <c r="E11" s="978">
        <f>huishoudens!D8</f>
        <v>21831.885328</v>
      </c>
      <c r="F11" s="978">
        <f>huishoudens!E8</f>
        <v>9253.7716037904793</v>
      </c>
      <c r="G11" s="978">
        <f>huishoudens!F8</f>
        <v>27166.029042678223</v>
      </c>
      <c r="H11" s="978">
        <f>huishoudens!G8</f>
        <v>0</v>
      </c>
      <c r="I11" s="978">
        <f>huishoudens!H8</f>
        <v>0</v>
      </c>
      <c r="J11" s="978">
        <f>huishoudens!I8</f>
        <v>0</v>
      </c>
      <c r="K11" s="978">
        <f>huishoudens!J8</f>
        <v>0</v>
      </c>
      <c r="L11" s="978">
        <f>huishoudens!K8</f>
        <v>0</v>
      </c>
      <c r="M11" s="978">
        <f>huishoudens!L8</f>
        <v>0</v>
      </c>
      <c r="N11" s="978">
        <f>huishoudens!M8</f>
        <v>0</v>
      </c>
      <c r="O11" s="978">
        <f>huishoudens!N8</f>
        <v>10455.063720864389</v>
      </c>
      <c r="P11" s="978">
        <f>huishoudens!O8</f>
        <v>140.70000000000002</v>
      </c>
      <c r="Q11" s="979">
        <f>huishoudens!P8</f>
        <v>610.13333333333333</v>
      </c>
      <c r="R11" s="674">
        <f>SUM(C11:Q11)</f>
        <v>86800.561943641442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17581.252</v>
      </c>
      <c r="D13" s="978">
        <f>industrie!C18</f>
        <v>0</v>
      </c>
      <c r="E13" s="978">
        <f>industrie!D18</f>
        <v>19062.469316000002</v>
      </c>
      <c r="F13" s="978">
        <f>industrie!E18</f>
        <v>3108.5926572765507</v>
      </c>
      <c r="G13" s="978">
        <f>industrie!F18</f>
        <v>11142.984804456293</v>
      </c>
      <c r="H13" s="978">
        <f>industrie!G18</f>
        <v>0</v>
      </c>
      <c r="I13" s="978">
        <f>industrie!H18</f>
        <v>0</v>
      </c>
      <c r="J13" s="978">
        <f>industrie!I18</f>
        <v>0</v>
      </c>
      <c r="K13" s="978">
        <f>industrie!J18</f>
        <v>4.110293812793123</v>
      </c>
      <c r="L13" s="978">
        <f>industrie!K18</f>
        <v>0</v>
      </c>
      <c r="M13" s="978">
        <f>industrie!L18</f>
        <v>0</v>
      </c>
      <c r="N13" s="978">
        <f>industrie!M18</f>
        <v>0</v>
      </c>
      <c r="O13" s="978">
        <f>industrie!N18</f>
        <v>2387.0208909567154</v>
      </c>
      <c r="P13" s="978">
        <f>industrie!O18</f>
        <v>0</v>
      </c>
      <c r="Q13" s="979">
        <f>industrie!P18</f>
        <v>0</v>
      </c>
      <c r="R13" s="674">
        <f>SUM(C13:Q13)</f>
        <v>53286.429962502363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44997.859914975037</v>
      </c>
      <c r="D16" s="706">
        <f t="shared" ref="D16:R16" ca="1" si="0">SUM(D9:D15)</f>
        <v>0</v>
      </c>
      <c r="E16" s="706">
        <f t="shared" ca="1" si="0"/>
        <v>47043.798274000001</v>
      </c>
      <c r="F16" s="706">
        <f t="shared" si="0"/>
        <v>12530.823043288117</v>
      </c>
      <c r="G16" s="706">
        <f t="shared" ca="1" si="0"/>
        <v>40500.209099793952</v>
      </c>
      <c r="H16" s="706">
        <f t="shared" si="0"/>
        <v>0</v>
      </c>
      <c r="I16" s="706">
        <f t="shared" si="0"/>
        <v>0</v>
      </c>
      <c r="J16" s="706">
        <f t="shared" si="0"/>
        <v>0</v>
      </c>
      <c r="K16" s="706">
        <f t="shared" si="0"/>
        <v>4.110293812793123</v>
      </c>
      <c r="L16" s="706">
        <f t="shared" si="0"/>
        <v>0</v>
      </c>
      <c r="M16" s="706">
        <f t="shared" ca="1" si="0"/>
        <v>0</v>
      </c>
      <c r="N16" s="706">
        <f t="shared" si="0"/>
        <v>0</v>
      </c>
      <c r="O16" s="706">
        <f t="shared" ca="1" si="0"/>
        <v>14638.271077425219</v>
      </c>
      <c r="P16" s="706">
        <f t="shared" si="0"/>
        <v>142.26333333333335</v>
      </c>
      <c r="Q16" s="706">
        <f t="shared" si="0"/>
        <v>610.13333333333333</v>
      </c>
      <c r="R16" s="706">
        <f t="shared" ca="1" si="0"/>
        <v>160467.46836996177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1286.0018840221999</v>
      </c>
      <c r="I19" s="978">
        <f>transport!H54</f>
        <v>0</v>
      </c>
      <c r="J19" s="978">
        <f>transport!I54</f>
        <v>0</v>
      </c>
      <c r="K19" s="978">
        <f>transport!J54</f>
        <v>0</v>
      </c>
      <c r="L19" s="978">
        <f>transport!K54</f>
        <v>0</v>
      </c>
      <c r="M19" s="978">
        <f>transport!L54</f>
        <v>0</v>
      </c>
      <c r="N19" s="978">
        <f>transport!M54</f>
        <v>39.838546998595127</v>
      </c>
      <c r="O19" s="978">
        <f>transport!N54</f>
        <v>0</v>
      </c>
      <c r="P19" s="978">
        <f>transport!O54</f>
        <v>0</v>
      </c>
      <c r="Q19" s="979">
        <f>transport!P54</f>
        <v>0</v>
      </c>
      <c r="R19" s="674">
        <f>SUM(C19:Q19)</f>
        <v>1325.840431020795</v>
      </c>
      <c r="S19" s="67"/>
    </row>
    <row r="20" spans="1:19" s="447" customFormat="1">
      <c r="A20" s="783" t="s">
        <v>306</v>
      </c>
      <c r="B20" s="788"/>
      <c r="C20" s="978">
        <f>transport!B14</f>
        <v>28.025387028977121</v>
      </c>
      <c r="D20" s="978">
        <f>transport!C14</f>
        <v>0</v>
      </c>
      <c r="E20" s="978">
        <f>transport!D14</f>
        <v>58.405039337195973</v>
      </c>
      <c r="F20" s="978">
        <f>transport!E14</f>
        <v>295.7967677453446</v>
      </c>
      <c r="G20" s="978">
        <f>transport!F14</f>
        <v>0</v>
      </c>
      <c r="H20" s="978">
        <f>transport!G14</f>
        <v>107445.05570146466</v>
      </c>
      <c r="I20" s="978">
        <f>transport!H14</f>
        <v>20378.927783478543</v>
      </c>
      <c r="J20" s="978">
        <f>transport!I14</f>
        <v>0</v>
      </c>
      <c r="K20" s="978">
        <f>transport!J14</f>
        <v>0</v>
      </c>
      <c r="L20" s="978">
        <f>transport!K14</f>
        <v>0</v>
      </c>
      <c r="M20" s="978">
        <f>transport!L14</f>
        <v>0</v>
      </c>
      <c r="N20" s="978">
        <f>transport!M14</f>
        <v>3990.9704753365072</v>
      </c>
      <c r="O20" s="978">
        <f>transport!N14</f>
        <v>0</v>
      </c>
      <c r="P20" s="978">
        <f>transport!O14</f>
        <v>0</v>
      </c>
      <c r="Q20" s="979">
        <f>transport!P14</f>
        <v>0</v>
      </c>
      <c r="R20" s="674">
        <f>SUM(C20:Q20)</f>
        <v>132197.18115439123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28.025387028977121</v>
      </c>
      <c r="D22" s="786">
        <f t="shared" ref="D22:R22" si="1">SUM(D18:D21)</f>
        <v>0</v>
      </c>
      <c r="E22" s="786">
        <f t="shared" si="1"/>
        <v>58.405039337195973</v>
      </c>
      <c r="F22" s="786">
        <f t="shared" si="1"/>
        <v>295.7967677453446</v>
      </c>
      <c r="G22" s="786">
        <f t="shared" si="1"/>
        <v>0</v>
      </c>
      <c r="H22" s="786">
        <f t="shared" si="1"/>
        <v>108731.05758548687</v>
      </c>
      <c r="I22" s="786">
        <f t="shared" si="1"/>
        <v>20378.927783478543</v>
      </c>
      <c r="J22" s="786">
        <f t="shared" si="1"/>
        <v>0</v>
      </c>
      <c r="K22" s="786">
        <f t="shared" si="1"/>
        <v>0</v>
      </c>
      <c r="L22" s="786">
        <f t="shared" si="1"/>
        <v>0</v>
      </c>
      <c r="M22" s="786">
        <f t="shared" si="1"/>
        <v>0</v>
      </c>
      <c r="N22" s="786">
        <f t="shared" si="1"/>
        <v>4030.8090223351023</v>
      </c>
      <c r="O22" s="786">
        <f t="shared" si="1"/>
        <v>0</v>
      </c>
      <c r="P22" s="786">
        <f t="shared" si="1"/>
        <v>0</v>
      </c>
      <c r="Q22" s="786">
        <f t="shared" si="1"/>
        <v>0</v>
      </c>
      <c r="R22" s="786">
        <f t="shared" si="1"/>
        <v>133523.02158541203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1410.81</v>
      </c>
      <c r="D24" s="978">
        <f>+landbouw!C8</f>
        <v>0</v>
      </c>
      <c r="E24" s="978">
        <f>+landbouw!D8</f>
        <v>163.56958200000003</v>
      </c>
      <c r="F24" s="978">
        <f>+landbouw!E8</f>
        <v>36.379373015871735</v>
      </c>
      <c r="G24" s="978">
        <f>+landbouw!F8</f>
        <v>5156.7792257130022</v>
      </c>
      <c r="H24" s="978">
        <f>+landbouw!G8</f>
        <v>0</v>
      </c>
      <c r="I24" s="978">
        <f>+landbouw!H8</f>
        <v>0</v>
      </c>
      <c r="J24" s="978">
        <f>+landbouw!I8</f>
        <v>0</v>
      </c>
      <c r="K24" s="978">
        <f>+landbouw!J8</f>
        <v>203.10474101633329</v>
      </c>
      <c r="L24" s="978">
        <f>+landbouw!K8</f>
        <v>0</v>
      </c>
      <c r="M24" s="978">
        <f>+landbouw!L8</f>
        <v>0</v>
      </c>
      <c r="N24" s="978">
        <f>+landbouw!M8</f>
        <v>0</v>
      </c>
      <c r="O24" s="978">
        <f>+landbouw!N8</f>
        <v>0</v>
      </c>
      <c r="P24" s="978">
        <f>+landbouw!O8</f>
        <v>0</v>
      </c>
      <c r="Q24" s="979">
        <f>+landbouw!P8</f>
        <v>0</v>
      </c>
      <c r="R24" s="674">
        <f>SUM(C24:Q24)</f>
        <v>6970.6429217452078</v>
      </c>
      <c r="S24" s="67"/>
    </row>
    <row r="25" spans="1:19" s="447" customFormat="1" ht="15" thickBot="1">
      <c r="A25" s="805" t="s">
        <v>834</v>
      </c>
      <c r="B25" s="981"/>
      <c r="C25" s="982">
        <f>IF(Onbekend_ele_kWh="---",0,Onbekend_ele_kWh)/1000+IF(REST_rest_ele_kWh="---",0,REST_rest_ele_kWh)/1000</f>
        <v>432.40699999999998</v>
      </c>
      <c r="D25" s="982"/>
      <c r="E25" s="982">
        <f>IF(onbekend_gas_kWh="---",0,onbekend_gas_kWh)/1000+IF(REST_rest_gas_kWh="---",0,REST_rest_gas_kWh)/1000</f>
        <v>609.87699999999995</v>
      </c>
      <c r="F25" s="982"/>
      <c r="G25" s="982"/>
      <c r="H25" s="982"/>
      <c r="I25" s="982"/>
      <c r="J25" s="982"/>
      <c r="K25" s="982"/>
      <c r="L25" s="982"/>
      <c r="M25" s="982"/>
      <c r="N25" s="982"/>
      <c r="O25" s="982"/>
      <c r="P25" s="982"/>
      <c r="Q25" s="983"/>
      <c r="R25" s="674">
        <f>SUM(C25:Q25)</f>
        <v>1042.2839999999999</v>
      </c>
      <c r="S25" s="67"/>
    </row>
    <row r="26" spans="1:19" s="447" customFormat="1" ht="15.75" thickBot="1">
      <c r="A26" s="679" t="s">
        <v>835</v>
      </c>
      <c r="B26" s="791"/>
      <c r="C26" s="786">
        <f>SUM(C24:C25)</f>
        <v>1843.2169999999999</v>
      </c>
      <c r="D26" s="786">
        <f t="shared" ref="D26:R26" si="2">SUM(D24:D25)</f>
        <v>0</v>
      </c>
      <c r="E26" s="786">
        <f t="shared" si="2"/>
        <v>773.44658200000003</v>
      </c>
      <c r="F26" s="786">
        <f t="shared" si="2"/>
        <v>36.379373015871735</v>
      </c>
      <c r="G26" s="786">
        <f t="shared" si="2"/>
        <v>5156.7792257130022</v>
      </c>
      <c r="H26" s="786">
        <f t="shared" si="2"/>
        <v>0</v>
      </c>
      <c r="I26" s="786">
        <f t="shared" si="2"/>
        <v>0</v>
      </c>
      <c r="J26" s="786">
        <f t="shared" si="2"/>
        <v>0</v>
      </c>
      <c r="K26" s="786">
        <f t="shared" si="2"/>
        <v>203.10474101633329</v>
      </c>
      <c r="L26" s="786">
        <f t="shared" si="2"/>
        <v>0</v>
      </c>
      <c r="M26" s="786">
        <f t="shared" si="2"/>
        <v>0</v>
      </c>
      <c r="N26" s="786">
        <f t="shared" si="2"/>
        <v>0</v>
      </c>
      <c r="O26" s="786">
        <f t="shared" si="2"/>
        <v>0</v>
      </c>
      <c r="P26" s="786">
        <f t="shared" si="2"/>
        <v>0</v>
      </c>
      <c r="Q26" s="786">
        <f t="shared" si="2"/>
        <v>0</v>
      </c>
      <c r="R26" s="786">
        <f t="shared" si="2"/>
        <v>8012.9269217452074</v>
      </c>
      <c r="S26" s="67"/>
    </row>
    <row r="27" spans="1:19" s="447" customFormat="1" ht="17.25" thickTop="1" thickBot="1">
      <c r="A27" s="680" t="s">
        <v>115</v>
      </c>
      <c r="B27" s="779"/>
      <c r="C27" s="681">
        <f ca="1">C22+C16+C26</f>
        <v>46869.102302004008</v>
      </c>
      <c r="D27" s="681">
        <f t="shared" ref="D27:R27" ca="1" si="3">D22+D16+D26</f>
        <v>0</v>
      </c>
      <c r="E27" s="681">
        <f t="shared" ca="1" si="3"/>
        <v>47875.649895337192</v>
      </c>
      <c r="F27" s="681">
        <f t="shared" si="3"/>
        <v>12862.999184049335</v>
      </c>
      <c r="G27" s="681">
        <f t="shared" ca="1" si="3"/>
        <v>45656.988325506958</v>
      </c>
      <c r="H27" s="681">
        <f t="shared" si="3"/>
        <v>108731.05758548687</v>
      </c>
      <c r="I27" s="681">
        <f t="shared" si="3"/>
        <v>20378.927783478543</v>
      </c>
      <c r="J27" s="681">
        <f t="shared" si="3"/>
        <v>0</v>
      </c>
      <c r="K27" s="681">
        <f t="shared" si="3"/>
        <v>207.21503482912641</v>
      </c>
      <c r="L27" s="681">
        <f t="shared" si="3"/>
        <v>0</v>
      </c>
      <c r="M27" s="681">
        <f t="shared" ca="1" si="3"/>
        <v>0</v>
      </c>
      <c r="N27" s="681">
        <f t="shared" si="3"/>
        <v>4030.8090223351023</v>
      </c>
      <c r="O27" s="681">
        <f t="shared" ca="1" si="3"/>
        <v>14638.271077425219</v>
      </c>
      <c r="P27" s="681">
        <f t="shared" si="3"/>
        <v>142.26333333333335</v>
      </c>
      <c r="Q27" s="681">
        <f t="shared" si="3"/>
        <v>610.13333333333333</v>
      </c>
      <c r="R27" s="681">
        <f t="shared" ca="1" si="3"/>
        <v>302003.41687711899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1234.427758577574</v>
      </c>
      <c r="D40" s="978">
        <f ca="1">tertiair!C20</f>
        <v>0</v>
      </c>
      <c r="E40" s="978">
        <f ca="1">tertiair!D20</f>
        <v>1242.18761326</v>
      </c>
      <c r="F40" s="978">
        <f>tertiair!E20</f>
        <v>38.240143564186873</v>
      </c>
      <c r="G40" s="978">
        <f ca="1">tertiair!F20</f>
        <v>585.04913246006936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3099.9046478618302</v>
      </c>
    </row>
    <row r="41" spans="1:18">
      <c r="A41" s="796" t="s">
        <v>224</v>
      </c>
      <c r="B41" s="803"/>
      <c r="C41" s="978">
        <f ca="1">huishoudens!B12</f>
        <v>2125.217693551228</v>
      </c>
      <c r="D41" s="978">
        <f ca="1">huishoudens!C12</f>
        <v>0</v>
      </c>
      <c r="E41" s="978">
        <f>huishoudens!D12</f>
        <v>4410.0408362560001</v>
      </c>
      <c r="F41" s="978">
        <f>huishoudens!E12</f>
        <v>2100.6061540604387</v>
      </c>
      <c r="G41" s="978">
        <f>huishoudens!F12</f>
        <v>7253.3297543950857</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15889.194438262752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2154.4158018274738</v>
      </c>
      <c r="D43" s="978">
        <f ca="1">industrie!C22</f>
        <v>0</v>
      </c>
      <c r="E43" s="978">
        <f>industrie!D22</f>
        <v>3850.6188018320008</v>
      </c>
      <c r="F43" s="978">
        <f>industrie!E22</f>
        <v>705.65053320177697</v>
      </c>
      <c r="G43" s="978">
        <f>industrie!F22</f>
        <v>2975.1769427898303</v>
      </c>
      <c r="H43" s="978">
        <f>industrie!G22</f>
        <v>0</v>
      </c>
      <c r="I43" s="978">
        <f>industrie!H22</f>
        <v>0</v>
      </c>
      <c r="J43" s="978">
        <f>industrie!I22</f>
        <v>0</v>
      </c>
      <c r="K43" s="978">
        <f>industrie!J22</f>
        <v>1.4550440097287656</v>
      </c>
      <c r="L43" s="978">
        <f>industrie!K22</f>
        <v>0</v>
      </c>
      <c r="M43" s="978">
        <f>industrie!L22</f>
        <v>0</v>
      </c>
      <c r="N43" s="978">
        <f>industrie!M22</f>
        <v>0</v>
      </c>
      <c r="O43" s="978">
        <f>industrie!N22</f>
        <v>0</v>
      </c>
      <c r="P43" s="978">
        <f>industrie!O22</f>
        <v>0</v>
      </c>
      <c r="Q43" s="748">
        <f>industrie!P22</f>
        <v>0</v>
      </c>
      <c r="R43" s="823">
        <f t="shared" ca="1" si="4"/>
        <v>9687.3171236608105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5514.0612539562753</v>
      </c>
      <c r="D46" s="706">
        <f t="shared" ref="D46:Q46" ca="1" si="5">SUM(D39:D45)</f>
        <v>0</v>
      </c>
      <c r="E46" s="706">
        <f t="shared" ca="1" si="5"/>
        <v>9502.847251348001</v>
      </c>
      <c r="F46" s="706">
        <f t="shared" si="5"/>
        <v>2844.4968308264024</v>
      </c>
      <c r="G46" s="706">
        <f t="shared" ca="1" si="5"/>
        <v>10813.555829644985</v>
      </c>
      <c r="H46" s="706">
        <f t="shared" si="5"/>
        <v>0</v>
      </c>
      <c r="I46" s="706">
        <f t="shared" si="5"/>
        <v>0</v>
      </c>
      <c r="J46" s="706">
        <f t="shared" si="5"/>
        <v>0</v>
      </c>
      <c r="K46" s="706">
        <f t="shared" si="5"/>
        <v>1.4550440097287656</v>
      </c>
      <c r="L46" s="706">
        <f t="shared" si="5"/>
        <v>0</v>
      </c>
      <c r="M46" s="706">
        <f t="shared" ca="1" si="5"/>
        <v>0</v>
      </c>
      <c r="N46" s="706">
        <f t="shared" si="5"/>
        <v>0</v>
      </c>
      <c r="O46" s="706">
        <f t="shared" ca="1" si="5"/>
        <v>0</v>
      </c>
      <c r="P46" s="706">
        <f t="shared" si="5"/>
        <v>0</v>
      </c>
      <c r="Q46" s="706">
        <f t="shared" si="5"/>
        <v>0</v>
      </c>
      <c r="R46" s="706">
        <f ca="1">SUM(R39:R45)</f>
        <v>28676.416209785391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343.3625030339274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343.3625030339274</v>
      </c>
    </row>
    <row r="50" spans="1:18">
      <c r="A50" s="799" t="s">
        <v>306</v>
      </c>
      <c r="B50" s="809"/>
      <c r="C50" s="677">
        <f ca="1">transport!B18</f>
        <v>3.4342455626913844</v>
      </c>
      <c r="D50" s="677">
        <f>transport!C18</f>
        <v>0</v>
      </c>
      <c r="E50" s="677">
        <f>transport!D18</f>
        <v>11.797817946113588</v>
      </c>
      <c r="F50" s="677">
        <f>transport!E18</f>
        <v>67.145866278193225</v>
      </c>
      <c r="G50" s="677">
        <f>transport!F18</f>
        <v>0</v>
      </c>
      <c r="H50" s="677">
        <f>transport!G18</f>
        <v>28687.829872291066</v>
      </c>
      <c r="I50" s="677">
        <f>transport!H18</f>
        <v>5074.3530180861571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33844.560820164224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3.4342455626913844</v>
      </c>
      <c r="D52" s="706">
        <f t="shared" ref="D52:Q52" ca="1" si="6">SUM(D48:D51)</f>
        <v>0</v>
      </c>
      <c r="E52" s="706">
        <f t="shared" si="6"/>
        <v>11.797817946113588</v>
      </c>
      <c r="F52" s="706">
        <f t="shared" si="6"/>
        <v>67.145866278193225</v>
      </c>
      <c r="G52" s="706">
        <f t="shared" si="6"/>
        <v>0</v>
      </c>
      <c r="H52" s="706">
        <f t="shared" si="6"/>
        <v>29031.192375324994</v>
      </c>
      <c r="I52" s="706">
        <f t="shared" si="6"/>
        <v>5074.3530180861571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34187.923323198149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172.88139419059678</v>
      </c>
      <c r="D54" s="677">
        <f ca="1">+landbouw!C12</f>
        <v>0</v>
      </c>
      <c r="E54" s="677">
        <f>+landbouw!D12</f>
        <v>33.041055564000004</v>
      </c>
      <c r="F54" s="677">
        <f>+landbouw!E12</f>
        <v>8.2581176746028842</v>
      </c>
      <c r="G54" s="677">
        <f>+landbouw!F12</f>
        <v>1376.8600532653716</v>
      </c>
      <c r="H54" s="677">
        <f>+landbouw!G12</f>
        <v>0</v>
      </c>
      <c r="I54" s="677">
        <f>+landbouw!H12</f>
        <v>0</v>
      </c>
      <c r="J54" s="677">
        <f>+landbouw!I12</f>
        <v>0</v>
      </c>
      <c r="K54" s="677">
        <f>+landbouw!J12</f>
        <v>71.899078319781978</v>
      </c>
      <c r="L54" s="677">
        <f>+landbouw!K12</f>
        <v>0</v>
      </c>
      <c r="M54" s="677">
        <f>+landbouw!L12</f>
        <v>0</v>
      </c>
      <c r="N54" s="677">
        <f>+landbouw!M12</f>
        <v>0</v>
      </c>
      <c r="O54" s="677">
        <f>+landbouw!N12</f>
        <v>0</v>
      </c>
      <c r="P54" s="677">
        <f>+landbouw!O12</f>
        <v>0</v>
      </c>
      <c r="Q54" s="678">
        <f>+landbouw!P12</f>
        <v>0</v>
      </c>
      <c r="R54" s="705">
        <f ca="1">SUM(C54:Q54)</f>
        <v>1662.9396990143532</v>
      </c>
    </row>
    <row r="55" spans="1:18" ht="15" thickBot="1">
      <c r="A55" s="799" t="s">
        <v>834</v>
      </c>
      <c r="B55" s="809"/>
      <c r="C55" s="677">
        <f ca="1">C25*'EF ele_warmte'!B12</f>
        <v>52.987379603046037</v>
      </c>
      <c r="D55" s="677"/>
      <c r="E55" s="677">
        <f>E25*EF_CO2_aardgas</f>
        <v>123.195154</v>
      </c>
      <c r="F55" s="677"/>
      <c r="G55" s="677"/>
      <c r="H55" s="677"/>
      <c r="I55" s="677"/>
      <c r="J55" s="677"/>
      <c r="K55" s="677"/>
      <c r="L55" s="677"/>
      <c r="M55" s="677"/>
      <c r="N55" s="677"/>
      <c r="O55" s="677"/>
      <c r="P55" s="677"/>
      <c r="Q55" s="678"/>
      <c r="R55" s="705">
        <f ca="1">SUM(C55:Q55)</f>
        <v>176.18253360304604</v>
      </c>
    </row>
    <row r="56" spans="1:18" ht="15.75" thickBot="1">
      <c r="A56" s="797" t="s">
        <v>835</v>
      </c>
      <c r="B56" s="810"/>
      <c r="C56" s="706">
        <f ca="1">SUM(C54:C55)</f>
        <v>225.86877379364282</v>
      </c>
      <c r="D56" s="706">
        <f t="shared" ref="D56:Q56" ca="1" si="7">SUM(D54:D55)</f>
        <v>0</v>
      </c>
      <c r="E56" s="706">
        <f t="shared" si="7"/>
        <v>156.23620956400001</v>
      </c>
      <c r="F56" s="706">
        <f t="shared" si="7"/>
        <v>8.2581176746028842</v>
      </c>
      <c r="G56" s="706">
        <f t="shared" si="7"/>
        <v>1376.8600532653716</v>
      </c>
      <c r="H56" s="706">
        <f t="shared" si="7"/>
        <v>0</v>
      </c>
      <c r="I56" s="706">
        <f t="shared" si="7"/>
        <v>0</v>
      </c>
      <c r="J56" s="706">
        <f t="shared" si="7"/>
        <v>0</v>
      </c>
      <c r="K56" s="706">
        <f t="shared" si="7"/>
        <v>71.899078319781978</v>
      </c>
      <c r="L56" s="706">
        <f t="shared" si="7"/>
        <v>0</v>
      </c>
      <c r="M56" s="706">
        <f t="shared" si="7"/>
        <v>0</v>
      </c>
      <c r="N56" s="706">
        <f t="shared" si="7"/>
        <v>0</v>
      </c>
      <c r="O56" s="706">
        <f t="shared" si="7"/>
        <v>0</v>
      </c>
      <c r="P56" s="706">
        <f t="shared" si="7"/>
        <v>0</v>
      </c>
      <c r="Q56" s="707">
        <f t="shared" si="7"/>
        <v>0</v>
      </c>
      <c r="R56" s="708">
        <f ca="1">SUM(R54:R55)</f>
        <v>1839.1222326173993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5743.3642733126089</v>
      </c>
      <c r="D61" s="714">
        <f t="shared" ref="D61:Q61" ca="1" si="8">D46+D52+D56</f>
        <v>0</v>
      </c>
      <c r="E61" s="714">
        <f t="shared" ca="1" si="8"/>
        <v>9670.8812788581145</v>
      </c>
      <c r="F61" s="714">
        <f t="shared" si="8"/>
        <v>2919.9008147791988</v>
      </c>
      <c r="G61" s="714">
        <f t="shared" ca="1" si="8"/>
        <v>12190.415882910356</v>
      </c>
      <c r="H61" s="714">
        <f t="shared" si="8"/>
        <v>29031.192375324994</v>
      </c>
      <c r="I61" s="714">
        <f t="shared" si="8"/>
        <v>5074.3530180861571</v>
      </c>
      <c r="J61" s="714">
        <f t="shared" si="8"/>
        <v>0</v>
      </c>
      <c r="K61" s="714">
        <f t="shared" si="8"/>
        <v>73.354122329510744</v>
      </c>
      <c r="L61" s="714">
        <f t="shared" si="8"/>
        <v>0</v>
      </c>
      <c r="M61" s="714">
        <f t="shared" ca="1" si="8"/>
        <v>0</v>
      </c>
      <c r="N61" s="714">
        <f t="shared" si="8"/>
        <v>0</v>
      </c>
      <c r="O61" s="714">
        <f t="shared" ca="1" si="8"/>
        <v>0</v>
      </c>
      <c r="P61" s="714">
        <f t="shared" si="8"/>
        <v>0</v>
      </c>
      <c r="Q61" s="714">
        <f t="shared" si="8"/>
        <v>0</v>
      </c>
      <c r="R61" s="714">
        <f ca="1">R46+R52+R56</f>
        <v>64703.461765600936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0.12254052224650859</v>
      </c>
      <c r="D63" s="755">
        <f t="shared" ca="1" si="9"/>
        <v>0</v>
      </c>
      <c r="E63" s="989">
        <f t="shared" ca="1" si="9"/>
        <v>0.20200000000000004</v>
      </c>
      <c r="F63" s="755">
        <f t="shared" si="9"/>
        <v>0.22699999999999998</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16227.431914205365</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4653.5967528999608</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20881.028667105325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17342.978914975036</v>
      </c>
      <c r="C4" s="451">
        <f>huishoudens!C8</f>
        <v>0</v>
      </c>
      <c r="D4" s="451">
        <f>huishoudens!D8</f>
        <v>21831.885328</v>
      </c>
      <c r="E4" s="451">
        <f>huishoudens!E8</f>
        <v>9253.7716037904793</v>
      </c>
      <c r="F4" s="451">
        <f>huishoudens!F8</f>
        <v>27166.029042678223</v>
      </c>
      <c r="G4" s="451">
        <f>huishoudens!G8</f>
        <v>0</v>
      </c>
      <c r="H4" s="451">
        <f>huishoudens!H8</f>
        <v>0</v>
      </c>
      <c r="I4" s="451">
        <f>huishoudens!I8</f>
        <v>0</v>
      </c>
      <c r="J4" s="451">
        <f>huishoudens!J8</f>
        <v>0</v>
      </c>
      <c r="K4" s="451">
        <f>huishoudens!K8</f>
        <v>0</v>
      </c>
      <c r="L4" s="451">
        <f>huishoudens!L8</f>
        <v>0</v>
      </c>
      <c r="M4" s="451">
        <f>huishoudens!M8</f>
        <v>0</v>
      </c>
      <c r="N4" s="451">
        <f>huishoudens!N8</f>
        <v>10455.063720864389</v>
      </c>
      <c r="O4" s="451">
        <f>huishoudens!O8</f>
        <v>140.70000000000002</v>
      </c>
      <c r="P4" s="452">
        <f>huishoudens!P8</f>
        <v>610.13333333333333</v>
      </c>
      <c r="Q4" s="453">
        <f>SUM(B4:P4)</f>
        <v>86800.561943641442</v>
      </c>
    </row>
    <row r="5" spans="1:17">
      <c r="A5" s="450" t="s">
        <v>155</v>
      </c>
      <c r="B5" s="451">
        <f ca="1">tertiair!B16</f>
        <v>9456.8009999999995</v>
      </c>
      <c r="C5" s="451">
        <f ca="1">tertiair!C16</f>
        <v>0</v>
      </c>
      <c r="D5" s="451">
        <f ca="1">tertiair!D16</f>
        <v>6149.4436299999998</v>
      </c>
      <c r="E5" s="451">
        <f>tertiair!E16</f>
        <v>168.45878222108755</v>
      </c>
      <c r="F5" s="451">
        <f ca="1">tertiair!F16</f>
        <v>2191.1952526594355</v>
      </c>
      <c r="G5" s="451">
        <f>tertiair!G16</f>
        <v>0</v>
      </c>
      <c r="H5" s="451">
        <f>tertiair!H16</f>
        <v>0</v>
      </c>
      <c r="I5" s="451">
        <f>tertiair!I16</f>
        <v>0</v>
      </c>
      <c r="J5" s="451">
        <f>tertiair!J16</f>
        <v>0</v>
      </c>
      <c r="K5" s="451">
        <f>tertiair!K16</f>
        <v>0</v>
      </c>
      <c r="L5" s="451">
        <f ca="1">tertiair!L16</f>
        <v>0</v>
      </c>
      <c r="M5" s="451">
        <f>tertiair!M16</f>
        <v>0</v>
      </c>
      <c r="N5" s="451">
        <f ca="1">tertiair!N16</f>
        <v>1796.1864656041148</v>
      </c>
      <c r="O5" s="451">
        <f>tertiair!O16</f>
        <v>1.5633333333333335</v>
      </c>
      <c r="P5" s="452">
        <f>tertiair!P16</f>
        <v>0</v>
      </c>
      <c r="Q5" s="450">
        <f t="shared" ref="Q5:Q14" ca="1" si="0">SUM(B5:P5)</f>
        <v>19763.648463817968</v>
      </c>
    </row>
    <row r="6" spans="1:17">
      <c r="A6" s="450" t="s">
        <v>193</v>
      </c>
      <c r="B6" s="451">
        <f>'openbare verlichting'!B8</f>
        <v>616.82799999999997</v>
      </c>
      <c r="C6" s="451"/>
      <c r="D6" s="451"/>
      <c r="E6" s="451"/>
      <c r="F6" s="451"/>
      <c r="G6" s="451"/>
      <c r="H6" s="451"/>
      <c r="I6" s="451"/>
      <c r="J6" s="451"/>
      <c r="K6" s="451"/>
      <c r="L6" s="451"/>
      <c r="M6" s="451"/>
      <c r="N6" s="451"/>
      <c r="O6" s="451"/>
      <c r="P6" s="452"/>
      <c r="Q6" s="450">
        <f t="shared" si="0"/>
        <v>616.82799999999997</v>
      </c>
    </row>
    <row r="7" spans="1:17">
      <c r="A7" s="450" t="s">
        <v>111</v>
      </c>
      <c r="B7" s="451">
        <f>landbouw!B8</f>
        <v>1410.81</v>
      </c>
      <c r="C7" s="451">
        <f>landbouw!C8</f>
        <v>0</v>
      </c>
      <c r="D7" s="451">
        <f>landbouw!D8</f>
        <v>163.56958200000003</v>
      </c>
      <c r="E7" s="451">
        <f>landbouw!E8</f>
        <v>36.379373015871735</v>
      </c>
      <c r="F7" s="451">
        <f>landbouw!F8</f>
        <v>5156.7792257130022</v>
      </c>
      <c r="G7" s="451">
        <f>landbouw!G8</f>
        <v>0</v>
      </c>
      <c r="H7" s="451">
        <f>landbouw!H8</f>
        <v>0</v>
      </c>
      <c r="I7" s="451">
        <f>landbouw!I8</f>
        <v>0</v>
      </c>
      <c r="J7" s="451">
        <f>landbouw!J8</f>
        <v>203.10474101633329</v>
      </c>
      <c r="K7" s="451">
        <f>landbouw!K8</f>
        <v>0</v>
      </c>
      <c r="L7" s="451">
        <f>landbouw!L8</f>
        <v>0</v>
      </c>
      <c r="M7" s="451">
        <f>landbouw!M8</f>
        <v>0</v>
      </c>
      <c r="N7" s="451">
        <f>landbouw!N8</f>
        <v>0</v>
      </c>
      <c r="O7" s="451">
        <f>landbouw!O8</f>
        <v>0</v>
      </c>
      <c r="P7" s="452">
        <f>landbouw!P8</f>
        <v>0</v>
      </c>
      <c r="Q7" s="450">
        <f t="shared" si="0"/>
        <v>6970.6429217452078</v>
      </c>
    </row>
    <row r="8" spans="1:17">
      <c r="A8" s="450" t="s">
        <v>637</v>
      </c>
      <c r="B8" s="451">
        <f>industrie!B18</f>
        <v>17581.252</v>
      </c>
      <c r="C8" s="451">
        <f>industrie!C18</f>
        <v>0</v>
      </c>
      <c r="D8" s="451">
        <f>industrie!D18</f>
        <v>19062.469316000002</v>
      </c>
      <c r="E8" s="451">
        <f>industrie!E18</f>
        <v>3108.5926572765507</v>
      </c>
      <c r="F8" s="451">
        <f>industrie!F18</f>
        <v>11142.984804456293</v>
      </c>
      <c r="G8" s="451">
        <f>industrie!G18</f>
        <v>0</v>
      </c>
      <c r="H8" s="451">
        <f>industrie!H18</f>
        <v>0</v>
      </c>
      <c r="I8" s="451">
        <f>industrie!I18</f>
        <v>0</v>
      </c>
      <c r="J8" s="451">
        <f>industrie!J18</f>
        <v>4.110293812793123</v>
      </c>
      <c r="K8" s="451">
        <f>industrie!K18</f>
        <v>0</v>
      </c>
      <c r="L8" s="451">
        <f>industrie!L18</f>
        <v>0</v>
      </c>
      <c r="M8" s="451">
        <f>industrie!M18</f>
        <v>0</v>
      </c>
      <c r="N8" s="451">
        <f>industrie!N18</f>
        <v>2387.0208909567154</v>
      </c>
      <c r="O8" s="451">
        <f>industrie!O18</f>
        <v>0</v>
      </c>
      <c r="P8" s="452">
        <f>industrie!P18</f>
        <v>0</v>
      </c>
      <c r="Q8" s="450">
        <f t="shared" si="0"/>
        <v>53286.429962502363</v>
      </c>
    </row>
    <row r="9" spans="1:17" s="456" customFormat="1">
      <c r="A9" s="454" t="s">
        <v>563</v>
      </c>
      <c r="B9" s="455">
        <f>transport!B14</f>
        <v>28.025387028977121</v>
      </c>
      <c r="C9" s="455">
        <f>transport!C14</f>
        <v>0</v>
      </c>
      <c r="D9" s="455">
        <f>transport!D14</f>
        <v>58.405039337195973</v>
      </c>
      <c r="E9" s="455">
        <f>transport!E14</f>
        <v>295.7967677453446</v>
      </c>
      <c r="F9" s="455">
        <f>transport!F14</f>
        <v>0</v>
      </c>
      <c r="G9" s="455">
        <f>transport!G14</f>
        <v>107445.05570146466</v>
      </c>
      <c r="H9" s="455">
        <f>transport!H14</f>
        <v>20378.927783478543</v>
      </c>
      <c r="I9" s="455">
        <f>transport!I14</f>
        <v>0</v>
      </c>
      <c r="J9" s="455">
        <f>transport!J14</f>
        <v>0</v>
      </c>
      <c r="K9" s="455">
        <f>transport!K14</f>
        <v>0</v>
      </c>
      <c r="L9" s="455">
        <f>transport!L14</f>
        <v>0</v>
      </c>
      <c r="M9" s="455">
        <f>transport!M14</f>
        <v>3990.9704753365072</v>
      </c>
      <c r="N9" s="455">
        <f>transport!N14</f>
        <v>0</v>
      </c>
      <c r="O9" s="455">
        <f>transport!O14</f>
        <v>0</v>
      </c>
      <c r="P9" s="455">
        <f>transport!P14</f>
        <v>0</v>
      </c>
      <c r="Q9" s="454">
        <f>SUM(B9:P9)</f>
        <v>132197.18115439123</v>
      </c>
    </row>
    <row r="10" spans="1:17">
      <c r="A10" s="450" t="s">
        <v>553</v>
      </c>
      <c r="B10" s="451">
        <f>transport!B54</f>
        <v>0</v>
      </c>
      <c r="C10" s="451">
        <f>transport!C54</f>
        <v>0</v>
      </c>
      <c r="D10" s="451">
        <f>transport!D54</f>
        <v>0</v>
      </c>
      <c r="E10" s="451">
        <f>transport!E54</f>
        <v>0</v>
      </c>
      <c r="F10" s="451">
        <f>transport!F54</f>
        <v>0</v>
      </c>
      <c r="G10" s="451">
        <f>transport!G54</f>
        <v>1286.0018840221999</v>
      </c>
      <c r="H10" s="451">
        <f>transport!H54</f>
        <v>0</v>
      </c>
      <c r="I10" s="451">
        <f>transport!I54</f>
        <v>0</v>
      </c>
      <c r="J10" s="451">
        <f>transport!J54</f>
        <v>0</v>
      </c>
      <c r="K10" s="451">
        <f>transport!K54</f>
        <v>0</v>
      </c>
      <c r="L10" s="451">
        <f>transport!L54</f>
        <v>0</v>
      </c>
      <c r="M10" s="451">
        <f>transport!M54</f>
        <v>39.838546998595127</v>
      </c>
      <c r="N10" s="451">
        <f>transport!N54</f>
        <v>0</v>
      </c>
      <c r="O10" s="451">
        <f>transport!O54</f>
        <v>0</v>
      </c>
      <c r="P10" s="452">
        <f>transport!P54</f>
        <v>0</v>
      </c>
      <c r="Q10" s="450">
        <f t="shared" si="0"/>
        <v>1325.840431020795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432.40699999999998</v>
      </c>
      <c r="C14" s="458"/>
      <c r="D14" s="458">
        <f>'SEAP template'!E25</f>
        <v>609.87699999999995</v>
      </c>
      <c r="E14" s="458"/>
      <c r="F14" s="458"/>
      <c r="G14" s="458"/>
      <c r="H14" s="458"/>
      <c r="I14" s="458"/>
      <c r="J14" s="458"/>
      <c r="K14" s="458"/>
      <c r="L14" s="458"/>
      <c r="M14" s="458"/>
      <c r="N14" s="458"/>
      <c r="O14" s="458"/>
      <c r="P14" s="459"/>
      <c r="Q14" s="450">
        <f t="shared" si="0"/>
        <v>1042.2839999999999</v>
      </c>
    </row>
    <row r="15" spans="1:17" s="460" customFormat="1">
      <c r="A15" s="1004" t="s">
        <v>557</v>
      </c>
      <c r="B15" s="944">
        <f ca="1">SUM(B4:B14)</f>
        <v>46869.102302004008</v>
      </c>
      <c r="C15" s="944">
        <f t="shared" ref="C15:Q15" ca="1" si="1">SUM(C4:C14)</f>
        <v>0</v>
      </c>
      <c r="D15" s="944">
        <f t="shared" ca="1" si="1"/>
        <v>47875.649895337192</v>
      </c>
      <c r="E15" s="944">
        <f t="shared" si="1"/>
        <v>12862.999184049335</v>
      </c>
      <c r="F15" s="944">
        <f t="shared" ca="1" si="1"/>
        <v>45656.988325506958</v>
      </c>
      <c r="G15" s="944">
        <f t="shared" si="1"/>
        <v>108731.05758548687</v>
      </c>
      <c r="H15" s="944">
        <f t="shared" si="1"/>
        <v>20378.927783478543</v>
      </c>
      <c r="I15" s="944">
        <f t="shared" si="1"/>
        <v>0</v>
      </c>
      <c r="J15" s="944">
        <f t="shared" si="1"/>
        <v>207.21503482912641</v>
      </c>
      <c r="K15" s="944">
        <f t="shared" si="1"/>
        <v>0</v>
      </c>
      <c r="L15" s="944">
        <f t="shared" ca="1" si="1"/>
        <v>0</v>
      </c>
      <c r="M15" s="944">
        <f t="shared" si="1"/>
        <v>4030.8090223351023</v>
      </c>
      <c r="N15" s="944">
        <f t="shared" ca="1" si="1"/>
        <v>14638.271077425219</v>
      </c>
      <c r="O15" s="944">
        <f t="shared" si="1"/>
        <v>142.26333333333335</v>
      </c>
      <c r="P15" s="944">
        <f t="shared" si="1"/>
        <v>610.13333333333333</v>
      </c>
      <c r="Q15" s="944">
        <f t="shared" ca="1" si="1"/>
        <v>302003.41687711893</v>
      </c>
    </row>
    <row r="17" spans="1:17">
      <c r="A17" s="461" t="s">
        <v>558</v>
      </c>
      <c r="B17" s="760">
        <f ca="1">huishoudens!B10</f>
        <v>0.12254052224650859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2125.217693551228</v>
      </c>
      <c r="C22" s="451">
        <f t="shared" ref="C22:C32" ca="1" si="3">C4*$C$17</f>
        <v>0</v>
      </c>
      <c r="D22" s="451">
        <f t="shared" ref="D22:D32" si="4">D4*$D$17</f>
        <v>4410.0408362560001</v>
      </c>
      <c r="E22" s="451">
        <f t="shared" ref="E22:E32" si="5">E4*$E$17</f>
        <v>2100.6061540604387</v>
      </c>
      <c r="F22" s="451">
        <f t="shared" ref="F22:F32" si="6">F4*$F$17</f>
        <v>7253.3297543950857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15889.194438262752</v>
      </c>
    </row>
    <row r="23" spans="1:17">
      <c r="A23" s="450" t="s">
        <v>155</v>
      </c>
      <c r="B23" s="451">
        <f t="shared" ca="1" si="2"/>
        <v>1158.8413333213045</v>
      </c>
      <c r="C23" s="451">
        <f t="shared" ca="1" si="3"/>
        <v>0</v>
      </c>
      <c r="D23" s="451">
        <f t="shared" ca="1" si="4"/>
        <v>1242.18761326</v>
      </c>
      <c r="E23" s="451">
        <f t="shared" si="5"/>
        <v>38.240143564186873</v>
      </c>
      <c r="F23" s="451">
        <f t="shared" ca="1" si="6"/>
        <v>585.04913246006936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3024.318222605561</v>
      </c>
    </row>
    <row r="24" spans="1:17">
      <c r="A24" s="450" t="s">
        <v>193</v>
      </c>
      <c r="B24" s="451">
        <f t="shared" ca="1" si="2"/>
        <v>75.586425256269393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75.586425256269393</v>
      </c>
    </row>
    <row r="25" spans="1:17">
      <c r="A25" s="450" t="s">
        <v>111</v>
      </c>
      <c r="B25" s="451">
        <f t="shared" ca="1" si="2"/>
        <v>172.88139419059678</v>
      </c>
      <c r="C25" s="451">
        <f t="shared" ca="1" si="3"/>
        <v>0</v>
      </c>
      <c r="D25" s="451">
        <f t="shared" si="4"/>
        <v>33.041055564000004</v>
      </c>
      <c r="E25" s="451">
        <f t="shared" si="5"/>
        <v>8.2581176746028842</v>
      </c>
      <c r="F25" s="451">
        <f t="shared" si="6"/>
        <v>1376.8600532653716</v>
      </c>
      <c r="G25" s="451">
        <f t="shared" si="7"/>
        <v>0</v>
      </c>
      <c r="H25" s="451">
        <f t="shared" si="8"/>
        <v>0</v>
      </c>
      <c r="I25" s="451">
        <f t="shared" si="9"/>
        <v>0</v>
      </c>
      <c r="J25" s="451">
        <f t="shared" si="10"/>
        <v>71.899078319781978</v>
      </c>
      <c r="K25" s="451">
        <f t="shared" si="11"/>
        <v>0</v>
      </c>
      <c r="L25" s="451">
        <f t="shared" si="12"/>
        <v>0</v>
      </c>
      <c r="M25" s="451">
        <f t="shared" si="13"/>
        <v>0</v>
      </c>
      <c r="N25" s="451">
        <f t="shared" si="14"/>
        <v>0</v>
      </c>
      <c r="O25" s="451">
        <f t="shared" si="15"/>
        <v>0</v>
      </c>
      <c r="P25" s="452">
        <f t="shared" si="16"/>
        <v>0</v>
      </c>
      <c r="Q25" s="450">
        <f t="shared" ca="1" si="17"/>
        <v>1662.9396990143532</v>
      </c>
    </row>
    <row r="26" spans="1:17">
      <c r="A26" s="450" t="s">
        <v>637</v>
      </c>
      <c r="B26" s="451">
        <f t="shared" ca="1" si="2"/>
        <v>2154.4158018274738</v>
      </c>
      <c r="C26" s="451">
        <f t="shared" ca="1" si="3"/>
        <v>0</v>
      </c>
      <c r="D26" s="451">
        <f t="shared" si="4"/>
        <v>3850.6188018320008</v>
      </c>
      <c r="E26" s="451">
        <f t="shared" si="5"/>
        <v>705.65053320177697</v>
      </c>
      <c r="F26" s="451">
        <f t="shared" si="6"/>
        <v>2975.1769427898303</v>
      </c>
      <c r="G26" s="451">
        <f t="shared" si="7"/>
        <v>0</v>
      </c>
      <c r="H26" s="451">
        <f t="shared" si="8"/>
        <v>0</v>
      </c>
      <c r="I26" s="451">
        <f t="shared" si="9"/>
        <v>0</v>
      </c>
      <c r="J26" s="451">
        <f t="shared" si="10"/>
        <v>1.4550440097287656</v>
      </c>
      <c r="K26" s="451">
        <f t="shared" si="11"/>
        <v>0</v>
      </c>
      <c r="L26" s="451">
        <f t="shared" si="12"/>
        <v>0</v>
      </c>
      <c r="M26" s="451">
        <f t="shared" si="13"/>
        <v>0</v>
      </c>
      <c r="N26" s="451">
        <f t="shared" si="14"/>
        <v>0</v>
      </c>
      <c r="O26" s="451">
        <f t="shared" si="15"/>
        <v>0</v>
      </c>
      <c r="P26" s="452">
        <f t="shared" si="16"/>
        <v>0</v>
      </c>
      <c r="Q26" s="450">
        <f t="shared" ca="1" si="17"/>
        <v>9687.3171236608105</v>
      </c>
    </row>
    <row r="27" spans="1:17" s="456" customFormat="1">
      <c r="A27" s="454" t="s">
        <v>563</v>
      </c>
      <c r="B27" s="754">
        <f t="shared" ca="1" si="2"/>
        <v>3.4342455626913844</v>
      </c>
      <c r="C27" s="455">
        <f t="shared" ca="1" si="3"/>
        <v>0</v>
      </c>
      <c r="D27" s="455">
        <f t="shared" si="4"/>
        <v>11.797817946113588</v>
      </c>
      <c r="E27" s="455">
        <f t="shared" si="5"/>
        <v>67.145866278193225</v>
      </c>
      <c r="F27" s="455">
        <f t="shared" si="6"/>
        <v>0</v>
      </c>
      <c r="G27" s="455">
        <f t="shared" si="7"/>
        <v>28687.829872291066</v>
      </c>
      <c r="H27" s="455">
        <f t="shared" si="8"/>
        <v>5074.3530180861571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33844.560820164224</v>
      </c>
    </row>
    <row r="28" spans="1:17">
      <c r="A28" s="450" t="s">
        <v>553</v>
      </c>
      <c r="B28" s="451">
        <f t="shared" ca="1" si="2"/>
        <v>0</v>
      </c>
      <c r="C28" s="451">
        <f t="shared" ca="1" si="3"/>
        <v>0</v>
      </c>
      <c r="D28" s="451">
        <f t="shared" si="4"/>
        <v>0</v>
      </c>
      <c r="E28" s="451">
        <f t="shared" si="5"/>
        <v>0</v>
      </c>
      <c r="F28" s="451">
        <f t="shared" si="6"/>
        <v>0</v>
      </c>
      <c r="G28" s="451">
        <f t="shared" si="7"/>
        <v>343.3625030339274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343.3625030339274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52.987379603046037</v>
      </c>
      <c r="C32" s="451">
        <f t="shared" ca="1" si="3"/>
        <v>0</v>
      </c>
      <c r="D32" s="451">
        <f t="shared" si="4"/>
        <v>123.195154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176.18253360304604</v>
      </c>
    </row>
    <row r="33" spans="1:17" s="460" customFormat="1">
      <c r="A33" s="1004" t="s">
        <v>557</v>
      </c>
      <c r="B33" s="944">
        <f ca="1">SUM(B22:B32)</f>
        <v>5743.3642733126098</v>
      </c>
      <c r="C33" s="944">
        <f t="shared" ref="C33:Q33" ca="1" si="18">SUM(C22:C32)</f>
        <v>0</v>
      </c>
      <c r="D33" s="944">
        <f t="shared" ca="1" si="18"/>
        <v>9670.8812788581163</v>
      </c>
      <c r="E33" s="944">
        <f t="shared" si="18"/>
        <v>2919.9008147791988</v>
      </c>
      <c r="F33" s="944">
        <f t="shared" ca="1" si="18"/>
        <v>12190.415882910356</v>
      </c>
      <c r="G33" s="944">
        <f t="shared" si="18"/>
        <v>29031.192375324994</v>
      </c>
      <c r="H33" s="944">
        <f t="shared" si="18"/>
        <v>5074.3530180861571</v>
      </c>
      <c r="I33" s="944">
        <f t="shared" si="18"/>
        <v>0</v>
      </c>
      <c r="J33" s="944">
        <f t="shared" si="18"/>
        <v>73.354122329510744</v>
      </c>
      <c r="K33" s="944">
        <f t="shared" si="18"/>
        <v>0</v>
      </c>
      <c r="L33" s="944">
        <f t="shared" ca="1" si="18"/>
        <v>0</v>
      </c>
      <c r="M33" s="944">
        <f t="shared" si="18"/>
        <v>0</v>
      </c>
      <c r="N33" s="944">
        <f t="shared" ca="1" si="18"/>
        <v>0</v>
      </c>
      <c r="O33" s="944">
        <f t="shared" si="18"/>
        <v>0</v>
      </c>
      <c r="P33" s="944">
        <f t="shared" si="18"/>
        <v>0</v>
      </c>
      <c r="Q33" s="944">
        <f t="shared" ca="1" si="18"/>
        <v>64703.461765600943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16227.431914205365</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4653.5967528999608</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20881.028667105325</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0.12254052224650859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0.12254052224650859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0.12254052224650859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0.12254052224650859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3916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1988.49</v>
      </c>
      <c r="C14" s="330"/>
      <c r="D14" s="330"/>
      <c r="E14" s="330"/>
      <c r="F14" s="330"/>
    </row>
    <row r="15" spans="1:6">
      <c r="A15" s="1291" t="s">
        <v>183</v>
      </c>
      <c r="B15" s="1292">
        <v>541</v>
      </c>
      <c r="C15" s="330"/>
      <c r="D15" s="330"/>
      <c r="E15" s="330"/>
      <c r="F15" s="330"/>
    </row>
    <row r="16" spans="1:6">
      <c r="A16" s="1291" t="s">
        <v>6</v>
      </c>
      <c r="B16" s="1292">
        <v>194</v>
      </c>
      <c r="C16" s="330"/>
      <c r="D16" s="330"/>
      <c r="E16" s="330"/>
      <c r="F16" s="330"/>
    </row>
    <row r="17" spans="1:6">
      <c r="A17" s="1291" t="s">
        <v>7</v>
      </c>
      <c r="B17" s="1292">
        <v>364</v>
      </c>
      <c r="C17" s="330"/>
      <c r="D17" s="330"/>
      <c r="E17" s="330"/>
      <c r="F17" s="330"/>
    </row>
    <row r="18" spans="1:6">
      <c r="A18" s="1291" t="s">
        <v>8</v>
      </c>
      <c r="B18" s="1292">
        <v>509</v>
      </c>
      <c r="C18" s="330"/>
      <c r="D18" s="330"/>
      <c r="E18" s="330"/>
      <c r="F18" s="330"/>
    </row>
    <row r="19" spans="1:6">
      <c r="A19" s="1291" t="s">
        <v>9</v>
      </c>
      <c r="B19" s="1292">
        <v>660</v>
      </c>
      <c r="C19" s="330"/>
      <c r="D19" s="330"/>
      <c r="E19" s="330"/>
      <c r="F19" s="330"/>
    </row>
    <row r="20" spans="1:6">
      <c r="A20" s="1291" t="s">
        <v>10</v>
      </c>
      <c r="B20" s="1292">
        <v>297</v>
      </c>
      <c r="C20" s="330"/>
      <c r="D20" s="330"/>
      <c r="E20" s="330"/>
      <c r="F20" s="330"/>
    </row>
    <row r="21" spans="1:6">
      <c r="A21" s="1291" t="s">
        <v>11</v>
      </c>
      <c r="B21" s="1292">
        <v>1256</v>
      </c>
      <c r="C21" s="330"/>
      <c r="D21" s="330"/>
      <c r="E21" s="330"/>
      <c r="F21" s="330"/>
    </row>
    <row r="22" spans="1:6">
      <c r="A22" s="1291" t="s">
        <v>12</v>
      </c>
      <c r="B22" s="1292">
        <v>4753</v>
      </c>
      <c r="C22" s="330"/>
      <c r="D22" s="330"/>
      <c r="E22" s="330"/>
      <c r="F22" s="330"/>
    </row>
    <row r="23" spans="1:6">
      <c r="A23" s="1291" t="s">
        <v>13</v>
      </c>
      <c r="B23" s="1292">
        <v>60</v>
      </c>
      <c r="C23" s="330"/>
      <c r="D23" s="330"/>
      <c r="E23" s="330"/>
      <c r="F23" s="330"/>
    </row>
    <row r="24" spans="1:6">
      <c r="A24" s="1291" t="s">
        <v>14</v>
      </c>
      <c r="B24" s="1292">
        <v>4</v>
      </c>
      <c r="C24" s="330"/>
      <c r="D24" s="330"/>
      <c r="E24" s="330"/>
      <c r="F24" s="330"/>
    </row>
    <row r="25" spans="1:6">
      <c r="A25" s="1291" t="s">
        <v>15</v>
      </c>
      <c r="B25" s="1292">
        <v>106</v>
      </c>
      <c r="C25" s="330"/>
      <c r="D25" s="330"/>
      <c r="E25" s="330"/>
      <c r="F25" s="330"/>
    </row>
    <row r="26" spans="1:6">
      <c r="A26" s="1291" t="s">
        <v>16</v>
      </c>
      <c r="B26" s="1292">
        <v>359</v>
      </c>
      <c r="C26" s="330"/>
      <c r="D26" s="330"/>
      <c r="E26" s="330"/>
      <c r="F26" s="330"/>
    </row>
    <row r="27" spans="1:6">
      <c r="A27" s="1291" t="s">
        <v>17</v>
      </c>
      <c r="B27" s="1292">
        <v>50</v>
      </c>
      <c r="C27" s="330"/>
      <c r="D27" s="330"/>
      <c r="E27" s="330"/>
      <c r="F27" s="330"/>
    </row>
    <row r="28" spans="1:6" s="43" customFormat="1">
      <c r="A28" s="1293" t="s">
        <v>18</v>
      </c>
      <c r="B28" s="1294">
        <v>122560</v>
      </c>
      <c r="C28" s="336"/>
      <c r="D28" s="336"/>
      <c r="E28" s="336"/>
      <c r="F28" s="336"/>
    </row>
    <row r="29" spans="1:6">
      <c r="A29" s="1293" t="s">
        <v>892</v>
      </c>
      <c r="B29" s="1294">
        <v>47</v>
      </c>
      <c r="C29" s="336"/>
      <c r="D29" s="336"/>
      <c r="E29" s="336"/>
      <c r="F29" s="336"/>
    </row>
    <row r="30" spans="1:6">
      <c r="A30" s="1286" t="s">
        <v>893</v>
      </c>
      <c r="B30" s="1295">
        <v>12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v>
      </c>
      <c r="F36" s="1292">
        <v>8028</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1656</v>
      </c>
      <c r="D39" s="1292">
        <v>24203864</v>
      </c>
      <c r="E39" s="1292">
        <v>3868</v>
      </c>
      <c r="F39" s="1292">
        <v>14909229</v>
      </c>
    </row>
    <row r="40" spans="1:6">
      <c r="A40" s="1291" t="s">
        <v>29</v>
      </c>
      <c r="B40" s="1291" t="s">
        <v>28</v>
      </c>
      <c r="C40" s="1292">
        <v>0</v>
      </c>
      <c r="D40" s="1292">
        <v>0</v>
      </c>
      <c r="E40" s="1292">
        <v>0</v>
      </c>
      <c r="F40" s="1292">
        <v>0</v>
      </c>
    </row>
    <row r="41" spans="1:6">
      <c r="A41" s="1291" t="s">
        <v>31</v>
      </c>
      <c r="B41" s="1291" t="s">
        <v>32</v>
      </c>
      <c r="C41" s="1292">
        <v>21</v>
      </c>
      <c r="D41" s="1292">
        <v>13554053</v>
      </c>
      <c r="E41" s="1292">
        <v>75</v>
      </c>
      <c r="F41" s="1292">
        <v>11719908</v>
      </c>
    </row>
    <row r="42" spans="1:6">
      <c r="A42" s="1291" t="s">
        <v>31</v>
      </c>
      <c r="B42" s="1291" t="s">
        <v>33</v>
      </c>
      <c r="C42" s="1292">
        <v>3</v>
      </c>
      <c r="D42" s="1292">
        <v>2008797</v>
      </c>
      <c r="E42" s="1292">
        <v>3</v>
      </c>
      <c r="F42" s="1292">
        <v>1600478</v>
      </c>
    </row>
    <row r="43" spans="1:6">
      <c r="A43" s="1291" t="s">
        <v>31</v>
      </c>
      <c r="B43" s="1291" t="s">
        <v>34</v>
      </c>
      <c r="C43" s="1292">
        <v>0</v>
      </c>
      <c r="D43" s="1292">
        <v>0</v>
      </c>
      <c r="E43" s="1292">
        <v>0</v>
      </c>
      <c r="F43" s="1292">
        <v>0</v>
      </c>
    </row>
    <row r="44" spans="1:6">
      <c r="A44" s="1291" t="s">
        <v>31</v>
      </c>
      <c r="B44" s="1291" t="s">
        <v>35</v>
      </c>
      <c r="C44" s="1292">
        <v>6</v>
      </c>
      <c r="D44" s="1292">
        <v>187043</v>
      </c>
      <c r="E44" s="1292">
        <v>15</v>
      </c>
      <c r="F44" s="1292">
        <v>413418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50933</v>
      </c>
    </row>
    <row r="48" spans="1:6">
      <c r="A48" s="1291" t="s">
        <v>31</v>
      </c>
      <c r="B48" s="1291" t="s">
        <v>28</v>
      </c>
      <c r="C48" s="1292">
        <v>3</v>
      </c>
      <c r="D48" s="1292">
        <v>102689</v>
      </c>
      <c r="E48" s="1292">
        <v>3</v>
      </c>
      <c r="F48" s="1292">
        <v>86419</v>
      </c>
    </row>
    <row r="49" spans="1:6">
      <c r="A49" s="1291" t="s">
        <v>31</v>
      </c>
      <c r="B49" s="1291" t="s">
        <v>39</v>
      </c>
      <c r="C49" s="1292">
        <v>0</v>
      </c>
      <c r="D49" s="1292">
        <v>0</v>
      </c>
      <c r="E49" s="1292">
        <v>0</v>
      </c>
      <c r="F49" s="1292">
        <v>0</v>
      </c>
    </row>
    <row r="50" spans="1:6">
      <c r="A50" s="1291" t="s">
        <v>31</v>
      </c>
      <c r="B50" s="1291" t="s">
        <v>40</v>
      </c>
      <c r="C50" s="1292">
        <v>4</v>
      </c>
      <c r="D50" s="1292">
        <v>5280976</v>
      </c>
      <c r="E50" s="1292">
        <v>7</v>
      </c>
      <c r="F50" s="1292">
        <v>3710096</v>
      </c>
    </row>
    <row r="51" spans="1:6">
      <c r="A51" s="1291" t="s">
        <v>41</v>
      </c>
      <c r="B51" s="1291" t="s">
        <v>42</v>
      </c>
      <c r="C51" s="1292">
        <v>9</v>
      </c>
      <c r="D51" s="1292">
        <v>181341</v>
      </c>
      <c r="E51" s="1292">
        <v>64</v>
      </c>
      <c r="F51" s="1292">
        <v>1410810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59</v>
      </c>
      <c r="F54" s="1292">
        <v>616828</v>
      </c>
    </row>
    <row r="55" spans="1:6">
      <c r="A55" s="1291" t="s">
        <v>45</v>
      </c>
      <c r="B55" s="1291" t="s">
        <v>28</v>
      </c>
      <c r="C55" s="1292">
        <v>0</v>
      </c>
      <c r="D55" s="1292">
        <v>0</v>
      </c>
      <c r="E55" s="1292">
        <v>0</v>
      </c>
      <c r="F55" s="1292">
        <v>0</v>
      </c>
    </row>
    <row r="56" spans="1:6">
      <c r="A56" s="1291" t="s">
        <v>47</v>
      </c>
      <c r="B56" s="1291" t="s">
        <v>28</v>
      </c>
      <c r="C56" s="1292">
        <v>35</v>
      </c>
      <c r="D56" s="1292">
        <v>609877</v>
      </c>
      <c r="E56" s="1292">
        <v>94</v>
      </c>
      <c r="F56" s="1292">
        <v>432407</v>
      </c>
    </row>
    <row r="57" spans="1:6">
      <c r="A57" s="1291" t="s">
        <v>48</v>
      </c>
      <c r="B57" s="1291" t="s">
        <v>49</v>
      </c>
      <c r="C57" s="1292">
        <v>19</v>
      </c>
      <c r="D57" s="1292">
        <v>990449</v>
      </c>
      <c r="E57" s="1292">
        <v>61</v>
      </c>
      <c r="F57" s="1292">
        <v>2259653</v>
      </c>
    </row>
    <row r="58" spans="1:6">
      <c r="A58" s="1291" t="s">
        <v>48</v>
      </c>
      <c r="B58" s="1291" t="s">
        <v>50</v>
      </c>
      <c r="C58" s="1292">
        <v>6</v>
      </c>
      <c r="D58" s="1292">
        <v>1492951</v>
      </c>
      <c r="E58" s="1292">
        <v>23</v>
      </c>
      <c r="F58" s="1292">
        <v>739582</v>
      </c>
    </row>
    <row r="59" spans="1:6">
      <c r="A59" s="1291" t="s">
        <v>48</v>
      </c>
      <c r="B59" s="1291" t="s">
        <v>51</v>
      </c>
      <c r="C59" s="1292">
        <v>48</v>
      </c>
      <c r="D59" s="1292">
        <v>1967140</v>
      </c>
      <c r="E59" s="1292">
        <v>126</v>
      </c>
      <c r="F59" s="1292">
        <v>3732435</v>
      </c>
    </row>
    <row r="60" spans="1:6">
      <c r="A60" s="1291" t="s">
        <v>48</v>
      </c>
      <c r="B60" s="1291" t="s">
        <v>52</v>
      </c>
      <c r="C60" s="1292">
        <v>15</v>
      </c>
      <c r="D60" s="1292">
        <v>426890</v>
      </c>
      <c r="E60" s="1292">
        <v>28</v>
      </c>
      <c r="F60" s="1292">
        <v>594491</v>
      </c>
    </row>
    <row r="61" spans="1:6">
      <c r="A61" s="1291" t="s">
        <v>48</v>
      </c>
      <c r="B61" s="1291" t="s">
        <v>53</v>
      </c>
      <c r="C61" s="1292">
        <v>52</v>
      </c>
      <c r="D61" s="1292">
        <v>1746396</v>
      </c>
      <c r="E61" s="1292">
        <v>166</v>
      </c>
      <c r="F61" s="1292">
        <v>2095161</v>
      </c>
    </row>
    <row r="62" spans="1:6">
      <c r="A62" s="1291" t="s">
        <v>48</v>
      </c>
      <c r="B62" s="1291" t="s">
        <v>54</v>
      </c>
      <c r="C62" s="1292">
        <v>3</v>
      </c>
      <c r="D62" s="1292">
        <v>193739</v>
      </c>
      <c r="E62" s="1292">
        <v>3</v>
      </c>
      <c r="F62" s="1292">
        <v>35479</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78509</v>
      </c>
      <c r="E65" s="1292">
        <v>0</v>
      </c>
      <c r="F65" s="1292">
        <v>3493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63285</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18870546</v>
      </c>
      <c r="E73" s="449"/>
      <c r="F73" s="330"/>
    </row>
    <row r="74" spans="1:6">
      <c r="A74" s="1291" t="s">
        <v>63</v>
      </c>
      <c r="B74" s="1291" t="s">
        <v>664</v>
      </c>
      <c r="C74" s="1305" t="s">
        <v>666</v>
      </c>
      <c r="D74" s="1306">
        <v>1065887.425006544</v>
      </c>
      <c r="E74" s="449"/>
      <c r="F74" s="330"/>
    </row>
    <row r="75" spans="1:6">
      <c r="A75" s="1291" t="s">
        <v>64</v>
      </c>
      <c r="B75" s="1291" t="s">
        <v>663</v>
      </c>
      <c r="C75" s="1305" t="s">
        <v>667</v>
      </c>
      <c r="D75" s="1306">
        <v>29656151</v>
      </c>
      <c r="E75" s="449"/>
      <c r="F75" s="330"/>
    </row>
    <row r="76" spans="1:6">
      <c r="A76" s="1291" t="s">
        <v>64</v>
      </c>
      <c r="B76" s="1291" t="s">
        <v>664</v>
      </c>
      <c r="C76" s="1305" t="s">
        <v>668</v>
      </c>
      <c r="D76" s="1306">
        <v>1068757.425006544</v>
      </c>
      <c r="E76" s="449"/>
      <c r="F76" s="330"/>
    </row>
    <row r="77" spans="1:6">
      <c r="A77" s="1291" t="s">
        <v>65</v>
      </c>
      <c r="B77" s="1291" t="s">
        <v>663</v>
      </c>
      <c r="C77" s="1305" t="s">
        <v>669</v>
      </c>
      <c r="D77" s="1306">
        <v>87682732</v>
      </c>
      <c r="E77" s="449"/>
      <c r="F77" s="330"/>
    </row>
    <row r="78" spans="1:6">
      <c r="A78" s="1286" t="s">
        <v>65</v>
      </c>
      <c r="B78" s="1286" t="s">
        <v>664</v>
      </c>
      <c r="C78" s="1286" t="s">
        <v>670</v>
      </c>
      <c r="D78" s="1307">
        <v>10425080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359745.14998691191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16227.431914205365</v>
      </c>
      <c r="C90" s="330"/>
      <c r="D90" s="330"/>
      <c r="E90" s="330"/>
      <c r="F90" s="330"/>
    </row>
    <row r="91" spans="1:6">
      <c r="A91" s="1291" t="s">
        <v>67</v>
      </c>
      <c r="B91" s="1292">
        <v>2433.7499149750379</v>
      </c>
      <c r="C91" s="330"/>
      <c r="D91" s="330"/>
      <c r="E91" s="330"/>
      <c r="F91" s="330"/>
    </row>
    <row r="92" spans="1:6">
      <c r="A92" s="1286" t="s">
        <v>68</v>
      </c>
      <c r="B92" s="1287">
        <v>2219.846837924923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340</v>
      </c>
      <c r="C97" s="330"/>
      <c r="D97" s="330"/>
      <c r="E97" s="330"/>
      <c r="F97" s="330"/>
    </row>
    <row r="98" spans="1:6">
      <c r="A98" s="1291" t="s">
        <v>71</v>
      </c>
      <c r="B98" s="1292">
        <v>1</v>
      </c>
      <c r="C98" s="330"/>
      <c r="D98" s="330"/>
      <c r="E98" s="330"/>
      <c r="F98" s="330"/>
    </row>
    <row r="99" spans="1:6">
      <c r="A99" s="1291" t="s">
        <v>72</v>
      </c>
      <c r="B99" s="1292">
        <v>29</v>
      </c>
      <c r="C99" s="330"/>
      <c r="D99" s="330"/>
      <c r="E99" s="330"/>
      <c r="F99" s="330"/>
    </row>
    <row r="100" spans="1:6">
      <c r="A100" s="1291" t="s">
        <v>73</v>
      </c>
      <c r="B100" s="1292">
        <v>159</v>
      </c>
      <c r="C100" s="330"/>
      <c r="D100" s="330"/>
      <c r="E100" s="330"/>
      <c r="F100" s="330"/>
    </row>
    <row r="101" spans="1:6">
      <c r="A101" s="1291" t="s">
        <v>74</v>
      </c>
      <c r="B101" s="1292">
        <v>41</v>
      </c>
      <c r="C101" s="330"/>
      <c r="D101" s="330"/>
      <c r="E101" s="330"/>
      <c r="F101" s="330"/>
    </row>
    <row r="102" spans="1:6">
      <c r="A102" s="1291" t="s">
        <v>75</v>
      </c>
      <c r="B102" s="1292">
        <v>44</v>
      </c>
      <c r="C102" s="330"/>
      <c r="D102" s="330"/>
      <c r="E102" s="330"/>
      <c r="F102" s="330"/>
    </row>
    <row r="103" spans="1:6">
      <c r="A103" s="1291" t="s">
        <v>76</v>
      </c>
      <c r="B103" s="1292">
        <v>75</v>
      </c>
      <c r="C103" s="330"/>
      <c r="D103" s="330"/>
      <c r="E103" s="330"/>
      <c r="F103" s="330"/>
    </row>
    <row r="104" spans="1:6">
      <c r="A104" s="1291" t="s">
        <v>77</v>
      </c>
      <c r="B104" s="1292">
        <v>2517</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10</v>
      </c>
      <c r="D123" s="330"/>
      <c r="E123" s="330"/>
      <c r="F123" s="330"/>
    </row>
    <row r="124" spans="1:6" s="43" customFormat="1">
      <c r="A124" s="1293" t="s">
        <v>88</v>
      </c>
      <c r="B124" s="1314">
        <v>0</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78</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46869.102302004008</v>
      </c>
      <c r="C3" s="43" t="s">
        <v>169</v>
      </c>
      <c r="D3" s="43"/>
      <c r="E3" s="154"/>
      <c r="F3" s="43"/>
      <c r="G3" s="43"/>
      <c r="H3" s="43"/>
      <c r="I3" s="43"/>
      <c r="J3" s="43"/>
      <c r="K3" s="96"/>
    </row>
    <row r="4" spans="1:11">
      <c r="A4" s="358" t="s">
        <v>170</v>
      </c>
      <c r="B4" s="49">
        <f>IF(ISERROR('SEAP template'!B78+'SEAP template'!C78),0,'SEAP template'!B78+'SEAP template'!C78)</f>
        <v>20881.028667105325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0.12254052224650859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616.82799999999997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616.82799999999997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0.12254052224650859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75.586425256269393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14909.228999999999</v>
      </c>
      <c r="C5" s="17">
        <f>IF(ISERROR('Eigen informatie GS &amp; warmtenet'!B57),0,'Eigen informatie GS &amp; warmtenet'!B57)</f>
        <v>0</v>
      </c>
      <c r="D5" s="30">
        <f>(SUM(HH_hh_gas_kWh,HH_rest_gas_kWh)/1000)*0.902</f>
        <v>21831.885328</v>
      </c>
      <c r="E5" s="17">
        <f>B46*B57</f>
        <v>9253.7716037904793</v>
      </c>
      <c r="F5" s="17">
        <f>B51*B62</f>
        <v>27166.029042678223</v>
      </c>
      <c r="G5" s="18"/>
      <c r="H5" s="17"/>
      <c r="I5" s="17"/>
      <c r="J5" s="17">
        <f>B50*B61+C50*C61</f>
        <v>0</v>
      </c>
      <c r="K5" s="17"/>
      <c r="L5" s="17"/>
      <c r="M5" s="17"/>
      <c r="N5" s="17">
        <f>B48*B59+C48*C59</f>
        <v>10455.063720864389</v>
      </c>
      <c r="O5" s="17">
        <f>B69*B70*B71</f>
        <v>140.70000000000002</v>
      </c>
      <c r="P5" s="17">
        <f>B77*B78*B79/1000-B77*B78*B79/1000/B80</f>
        <v>610.13333333333333</v>
      </c>
    </row>
    <row r="6" spans="1:16">
      <c r="A6" s="16" t="s">
        <v>623</v>
      </c>
      <c r="B6" s="762">
        <f>kWh_PV_kleiner_dan_10kW</f>
        <v>2433.7499149750379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17342.978914975036</v>
      </c>
      <c r="C8" s="21">
        <f>C5</f>
        <v>0</v>
      </c>
      <c r="D8" s="21">
        <f>D5</f>
        <v>21831.885328</v>
      </c>
      <c r="E8" s="21">
        <f>E5</f>
        <v>9253.7716037904793</v>
      </c>
      <c r="F8" s="21">
        <f>F5</f>
        <v>27166.029042678223</v>
      </c>
      <c r="G8" s="21"/>
      <c r="H8" s="21"/>
      <c r="I8" s="21"/>
      <c r="J8" s="21">
        <f>J5</f>
        <v>0</v>
      </c>
      <c r="K8" s="21"/>
      <c r="L8" s="21">
        <f>L5</f>
        <v>0</v>
      </c>
      <c r="M8" s="21">
        <f>M5</f>
        <v>0</v>
      </c>
      <c r="N8" s="21">
        <f>N5</f>
        <v>10455.063720864389</v>
      </c>
      <c r="O8" s="21">
        <f>O5</f>
        <v>140.70000000000002</v>
      </c>
      <c r="P8" s="21">
        <f>P5</f>
        <v>610.13333333333333</v>
      </c>
    </row>
    <row r="9" spans="1:16">
      <c r="B9" s="19"/>
      <c r="C9" s="19"/>
      <c r="D9" s="258"/>
      <c r="E9" s="19"/>
      <c r="F9" s="19"/>
      <c r="G9" s="19"/>
      <c r="H9" s="19"/>
      <c r="I9" s="19"/>
      <c r="J9" s="19"/>
      <c r="K9" s="19"/>
      <c r="L9" s="19"/>
      <c r="M9" s="19"/>
      <c r="N9" s="19"/>
      <c r="O9" s="19"/>
      <c r="P9" s="19"/>
    </row>
    <row r="10" spans="1:16">
      <c r="A10" s="24" t="s">
        <v>213</v>
      </c>
      <c r="B10" s="25">
        <f ca="1">'EF ele_warmte'!B12</f>
        <v>0.12254052224650859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2125.217693551228</v>
      </c>
      <c r="C12" s="23">
        <f ca="1">C10*C8</f>
        <v>0</v>
      </c>
      <c r="D12" s="23">
        <f>D8*D10</f>
        <v>4410.0408362560001</v>
      </c>
      <c r="E12" s="23">
        <f>E10*E8</f>
        <v>2100.6061540604387</v>
      </c>
      <c r="F12" s="23">
        <f>F10*F8</f>
        <v>7253.3297543950857</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29</v>
      </c>
      <c r="C20" s="167">
        <f>IF(ISERROR(B20/SUM($B$20,$B$21,$B$22)*100),0,B20/SUM($B$20,$B$21,$B$22)*100)</f>
        <v>12.663755458515283</v>
      </c>
      <c r="D20" s="229"/>
      <c r="E20" s="15"/>
    </row>
    <row r="21" spans="1:7">
      <c r="A21" s="171" t="s">
        <v>73</v>
      </c>
      <c r="B21" s="37">
        <f>aantalw2001_elektriciteit</f>
        <v>159</v>
      </c>
      <c r="C21" s="167">
        <f>IF(ISERROR(B21/SUM($B$20,$B$21,$B$22)*100),0,B21/SUM($B$20,$B$21,$B$22)*100)</f>
        <v>69.432314410480345</v>
      </c>
      <c r="D21" s="229"/>
      <c r="E21" s="15"/>
    </row>
    <row r="22" spans="1:7">
      <c r="A22" s="171" t="s">
        <v>74</v>
      </c>
      <c r="B22" s="37">
        <f>aantalw2001_hout</f>
        <v>41</v>
      </c>
      <c r="C22" s="167">
        <f>IF(ISERROR(B22/SUM($B$20,$B$21,$B$22)*100),0,B22/SUM($B$20,$B$21,$B$22)*100)</f>
        <v>17.903930131004365</v>
      </c>
      <c r="D22" s="229"/>
      <c r="E22" s="15"/>
    </row>
    <row r="23" spans="1:7">
      <c r="A23" s="171" t="s">
        <v>75</v>
      </c>
      <c r="B23" s="37">
        <f>aantalw2001_niet_gespec</f>
        <v>44</v>
      </c>
      <c r="C23" s="166" t="s">
        <v>110</v>
      </c>
      <c r="D23" s="228"/>
      <c r="E23" s="15"/>
    </row>
    <row r="24" spans="1:7">
      <c r="A24" s="171" t="s">
        <v>76</v>
      </c>
      <c r="B24" s="37">
        <f>aantalw2001_steenkool</f>
        <v>75</v>
      </c>
      <c r="C24" s="166" t="s">
        <v>110</v>
      </c>
      <c r="D24" s="229"/>
      <c r="E24" s="15"/>
    </row>
    <row r="25" spans="1:7">
      <c r="A25" s="171" t="s">
        <v>77</v>
      </c>
      <c r="B25" s="37">
        <f>aantalw2001_stookolie</f>
        <v>2517</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3916</v>
      </c>
      <c r="C28" s="36"/>
      <c r="D28" s="228"/>
    </row>
    <row r="29" spans="1:7" s="15" customFormat="1">
      <c r="A29" s="230" t="s">
        <v>696</v>
      </c>
      <c r="B29" s="37">
        <f>SUM(HH_hh_gas_aantal,HH_rest_gas_aantal)</f>
        <v>1656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1656</v>
      </c>
      <c r="C32" s="167">
        <f>IF(ISERROR(B32/SUM($B$32,$B$34,$B$35,$B$36,$B$38,$B$39)*100),0,B32/SUM($B$32,$B$34,$B$35,$B$36,$B$38,$B$39)*100)</f>
        <v>42.636457260556121</v>
      </c>
      <c r="D32" s="233"/>
      <c r="G32" s="15"/>
    </row>
    <row r="33" spans="1:7">
      <c r="A33" s="171" t="s">
        <v>71</v>
      </c>
      <c r="B33" s="34" t="s">
        <v>110</v>
      </c>
      <c r="C33" s="167"/>
      <c r="D33" s="233"/>
      <c r="G33" s="15"/>
    </row>
    <row r="34" spans="1:7">
      <c r="A34" s="171" t="s">
        <v>72</v>
      </c>
      <c r="B34" s="33">
        <f>IF((($B$28-$B$32-$B$39-$B$77-$B$38)*C20/100)&lt;0,0,($B$28-$B$32-$B$39-$B$77-$B$38)*C20/100)</f>
        <v>113.39126637554585</v>
      </c>
      <c r="C34" s="167">
        <f>IF(ISERROR(B34/SUM($B$32,$B$34,$B$35,$B$36,$B$38,$B$39)*100),0,B34/SUM($B$32,$B$34,$B$35,$B$36,$B$38,$B$39)*100)</f>
        <v>2.9194455812447435</v>
      </c>
      <c r="D34" s="233"/>
      <c r="G34" s="15"/>
    </row>
    <row r="35" spans="1:7">
      <c r="A35" s="171" t="s">
        <v>73</v>
      </c>
      <c r="B35" s="33">
        <f>IF((($B$28-$B$32-$B$39-$B$77-$B$38)*C21/100)&lt;0,0,($B$28-$B$32-$B$39-$B$77-$B$38)*C21/100)</f>
        <v>621.69694323144108</v>
      </c>
      <c r="C35" s="167">
        <f>IF(ISERROR(B35/SUM($B$32,$B$34,$B$35,$B$36,$B$38,$B$39)*100),0,B35/SUM($B$32,$B$34,$B$35,$B$36,$B$38,$B$39)*100)</f>
        <v>16.00661542820394</v>
      </c>
      <c r="D35" s="233"/>
      <c r="G35" s="15"/>
    </row>
    <row r="36" spans="1:7">
      <c r="A36" s="171" t="s">
        <v>74</v>
      </c>
      <c r="B36" s="33">
        <f>IF((($B$28-$B$32-$B$39-$B$77-$B$38)*C22/100)&lt;0,0,($B$28-$B$32-$B$39-$B$77-$B$38)*C22/100)</f>
        <v>160.3117903930131</v>
      </c>
      <c r="C36" s="167">
        <f>IF(ISERROR(B36/SUM($B$32,$B$34,$B$35,$B$36,$B$38,$B$39)*100),0,B36/SUM($B$32,$B$34,$B$35,$B$36,$B$38,$B$39)*100)</f>
        <v>4.127492028656361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1332.6</v>
      </c>
      <c r="C39" s="167">
        <f>IF(ISERROR(B39/SUM($B$32,$B$34,$B$35,$B$36,$B$38,$B$39)*100),0,B39/SUM($B$32,$B$34,$B$35,$B$36,$B$38,$B$39)*100)</f>
        <v>34.309989701338822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1656</v>
      </c>
      <c r="C44" s="34" t="s">
        <v>110</v>
      </c>
      <c r="D44" s="174"/>
    </row>
    <row r="45" spans="1:7">
      <c r="A45" s="171" t="s">
        <v>71</v>
      </c>
      <c r="B45" s="33" t="str">
        <f t="shared" si="0"/>
        <v>-</v>
      </c>
      <c r="C45" s="34" t="s">
        <v>110</v>
      </c>
      <c r="D45" s="174"/>
    </row>
    <row r="46" spans="1:7">
      <c r="A46" s="171" t="s">
        <v>72</v>
      </c>
      <c r="B46" s="33">
        <f t="shared" si="0"/>
        <v>113.39126637554585</v>
      </c>
      <c r="C46" s="34" t="s">
        <v>110</v>
      </c>
      <c r="D46" s="174"/>
    </row>
    <row r="47" spans="1:7">
      <c r="A47" s="171" t="s">
        <v>73</v>
      </c>
      <c r="B47" s="33">
        <f t="shared" si="0"/>
        <v>621.69694323144108</v>
      </c>
      <c r="C47" s="34" t="s">
        <v>110</v>
      </c>
      <c r="D47" s="174"/>
    </row>
    <row r="48" spans="1:7">
      <c r="A48" s="171" t="s">
        <v>74</v>
      </c>
      <c r="B48" s="33">
        <f t="shared" si="0"/>
        <v>160.3117903930131</v>
      </c>
      <c r="C48" s="33">
        <f>B48*10</f>
        <v>1603.117903930131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1332.6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9456.8009999999995</v>
      </c>
      <c r="C5" s="17">
        <f>IF(ISERROR('Eigen informatie GS &amp; warmtenet'!B58),0,'Eigen informatie GS &amp; warmtenet'!B58)</f>
        <v>0</v>
      </c>
      <c r="D5" s="30">
        <f>SUM(D6:D12)</f>
        <v>6149.4436299999998</v>
      </c>
      <c r="E5" s="17">
        <f>SUM(E6:E12)</f>
        <v>168.45878222108755</v>
      </c>
      <c r="F5" s="17">
        <f>SUM(F6:F12)</f>
        <v>2191.1952526594355</v>
      </c>
      <c r="G5" s="18"/>
      <c r="H5" s="17"/>
      <c r="I5" s="17"/>
      <c r="J5" s="17">
        <f>SUM(J6:J12)</f>
        <v>0</v>
      </c>
      <c r="K5" s="17"/>
      <c r="L5" s="17"/>
      <c r="M5" s="17"/>
      <c r="N5" s="17">
        <f>SUM(N6:N12)</f>
        <v>1796.1864656041148</v>
      </c>
      <c r="O5" s="17">
        <f>B38*B39*B40</f>
        <v>1.5633333333333335</v>
      </c>
      <c r="P5" s="17">
        <f>B46*B47*B48/1000-B46*B47*B48/1000/B49</f>
        <v>0</v>
      </c>
      <c r="R5" s="32"/>
    </row>
    <row r="6" spans="1:18">
      <c r="A6" s="32" t="s">
        <v>53</v>
      </c>
      <c r="B6" s="37">
        <f>B26</f>
        <v>2095.1610000000001</v>
      </c>
      <c r="C6" s="33"/>
      <c r="D6" s="37">
        <f>IF(ISERROR(TER_kantoor_gas_kWh/1000),0,TER_kantoor_gas_kWh/1000)*0.902</f>
        <v>1575.249192</v>
      </c>
      <c r="E6" s="33">
        <f>$C$26*'E Balans VL '!I12/100/3.6*1000000</f>
        <v>27.428238354116317</v>
      </c>
      <c r="F6" s="33">
        <f>$C$26*('E Balans VL '!L12+'E Balans VL '!N12)/100/3.6*1000000</f>
        <v>534.24440441498143</v>
      </c>
      <c r="G6" s="34"/>
      <c r="H6" s="33"/>
      <c r="I6" s="33"/>
      <c r="J6" s="33">
        <f>$C$26*('E Balans VL '!D12+'E Balans VL '!E12)/100/3.6*1000000</f>
        <v>0</v>
      </c>
      <c r="K6" s="33"/>
      <c r="L6" s="33"/>
      <c r="M6" s="33"/>
      <c r="N6" s="33">
        <f>$C$26*'E Balans VL '!Y12/100/3.6*1000000</f>
        <v>2.1022163424447906</v>
      </c>
      <c r="O6" s="33"/>
      <c r="P6" s="33"/>
      <c r="R6" s="32"/>
    </row>
    <row r="7" spans="1:18">
      <c r="A7" s="32" t="s">
        <v>52</v>
      </c>
      <c r="B7" s="37">
        <f t="shared" ref="B7:B12" si="0">B27</f>
        <v>594.49099999999999</v>
      </c>
      <c r="C7" s="33"/>
      <c r="D7" s="37">
        <f>IF(ISERROR(TER_horeca_gas_kWh/1000),0,TER_horeca_gas_kWh/1000)*0.902</f>
        <v>385.05477999999999</v>
      </c>
      <c r="E7" s="33">
        <f>$C$27*'E Balans VL '!I9/100/3.6*1000000</f>
        <v>19.674035932554748</v>
      </c>
      <c r="F7" s="33">
        <f>$C$27*('E Balans VL '!L9+'E Balans VL '!N9)/100/3.6*1000000</f>
        <v>255.62885163451367</v>
      </c>
      <c r="G7" s="34"/>
      <c r="H7" s="33"/>
      <c r="I7" s="33"/>
      <c r="J7" s="33">
        <f>$C$27*('E Balans VL '!D9+'E Balans VL '!E9)/100/3.6*1000000</f>
        <v>0</v>
      </c>
      <c r="K7" s="33"/>
      <c r="L7" s="33"/>
      <c r="M7" s="33"/>
      <c r="N7" s="33">
        <f>$C$27*'E Balans VL '!Y9/100/3.6*1000000</f>
        <v>0.14310261665670831</v>
      </c>
      <c r="O7" s="33"/>
      <c r="P7" s="33"/>
      <c r="R7" s="32"/>
    </row>
    <row r="8" spans="1:18">
      <c r="A8" s="6" t="s">
        <v>51</v>
      </c>
      <c r="B8" s="37">
        <f t="shared" si="0"/>
        <v>3732.4349999999999</v>
      </c>
      <c r="C8" s="33"/>
      <c r="D8" s="37">
        <f>IF(ISERROR(TER_handel_gas_kWh/1000),0,TER_handel_gas_kWh/1000)*0.902</f>
        <v>1774.3602800000001</v>
      </c>
      <c r="E8" s="33">
        <f>$C$28*'E Balans VL '!I13/100/3.6*1000000</f>
        <v>117.80135159092143</v>
      </c>
      <c r="F8" s="33">
        <f>$C$28*('E Balans VL '!L13+'E Balans VL '!N13)/100/3.6*1000000</f>
        <v>731.99622759983606</v>
      </c>
      <c r="G8" s="34"/>
      <c r="H8" s="33"/>
      <c r="I8" s="33"/>
      <c r="J8" s="33">
        <f>$C$28*('E Balans VL '!D13+'E Balans VL '!E13)/100/3.6*1000000</f>
        <v>0</v>
      </c>
      <c r="K8" s="33"/>
      <c r="L8" s="33"/>
      <c r="M8" s="33"/>
      <c r="N8" s="33">
        <f>$C$28*'E Balans VL '!Y13/100/3.6*1000000</f>
        <v>4.429675701640809</v>
      </c>
      <c r="O8" s="33"/>
      <c r="P8" s="33"/>
      <c r="R8" s="32"/>
    </row>
    <row r="9" spans="1:18">
      <c r="A9" s="32" t="s">
        <v>50</v>
      </c>
      <c r="B9" s="37">
        <f t="shared" si="0"/>
        <v>739.58199999999999</v>
      </c>
      <c r="C9" s="33"/>
      <c r="D9" s="37">
        <f>IF(ISERROR(TER_gezond_gas_kWh/1000),0,TER_gezond_gas_kWh/1000)*0.902</f>
        <v>1346.6418020000001</v>
      </c>
      <c r="E9" s="33">
        <f>$C$29*'E Balans VL '!I10/100/3.6*1000000</f>
        <v>9.4688131991347915E-2</v>
      </c>
      <c r="F9" s="33">
        <f>$C$29*('E Balans VL '!L10+'E Balans VL '!N10)/100/3.6*1000000</f>
        <v>154.08592932244775</v>
      </c>
      <c r="G9" s="34"/>
      <c r="H9" s="33"/>
      <c r="I9" s="33"/>
      <c r="J9" s="33">
        <f>$C$29*('E Balans VL '!D10+'E Balans VL '!E10)/100/3.6*1000000</f>
        <v>0</v>
      </c>
      <c r="K9" s="33"/>
      <c r="L9" s="33"/>
      <c r="M9" s="33"/>
      <c r="N9" s="33">
        <f>$C$29*'E Balans VL '!Y10/100/3.6*1000000</f>
        <v>8.6867401624100253</v>
      </c>
      <c r="O9" s="33"/>
      <c r="P9" s="33"/>
      <c r="R9" s="32"/>
    </row>
    <row r="10" spans="1:18">
      <c r="A10" s="32" t="s">
        <v>49</v>
      </c>
      <c r="B10" s="37">
        <f t="shared" si="0"/>
        <v>2259.6529999999998</v>
      </c>
      <c r="C10" s="33"/>
      <c r="D10" s="37">
        <f>IF(ISERROR(TER_ander_gas_kWh/1000),0,TER_ander_gas_kWh/1000)*0.902</f>
        <v>893.384998</v>
      </c>
      <c r="E10" s="33">
        <f>$C$30*'E Balans VL '!I14/100/3.6*1000000</f>
        <v>3.3979867193737583</v>
      </c>
      <c r="F10" s="33">
        <f>$C$30*('E Balans VL '!L14+'E Balans VL '!N14)/100/3.6*1000000</f>
        <v>498.85854339621335</v>
      </c>
      <c r="G10" s="34"/>
      <c r="H10" s="33"/>
      <c r="I10" s="33"/>
      <c r="J10" s="33">
        <f>$C$30*('E Balans VL '!D14+'E Balans VL '!E14)/100/3.6*1000000</f>
        <v>0</v>
      </c>
      <c r="K10" s="33"/>
      <c r="L10" s="33"/>
      <c r="M10" s="33"/>
      <c r="N10" s="33">
        <f>$C$30*'E Balans VL '!Y14/100/3.6*1000000</f>
        <v>1780.7586329133312</v>
      </c>
      <c r="O10" s="33"/>
      <c r="P10" s="33"/>
      <c r="R10" s="32"/>
    </row>
    <row r="11" spans="1:18">
      <c r="A11" s="32" t="s">
        <v>54</v>
      </c>
      <c r="B11" s="37">
        <f t="shared" si="0"/>
        <v>35.478999999999999</v>
      </c>
      <c r="C11" s="33"/>
      <c r="D11" s="37">
        <f>IF(ISERROR(TER_onderwijs_gas_kWh/1000),0,TER_onderwijs_gas_kWh/1000)*0.902</f>
        <v>174.752578</v>
      </c>
      <c r="E11" s="33">
        <f>$C$31*'E Balans VL '!I11/100/3.6*1000000</f>
        <v>6.2481492129922968E-2</v>
      </c>
      <c r="F11" s="33">
        <f>$C$31*('E Balans VL '!L11+'E Balans VL '!N11)/100/3.6*1000000</f>
        <v>16.381296291443196</v>
      </c>
      <c r="G11" s="34"/>
      <c r="H11" s="33"/>
      <c r="I11" s="33"/>
      <c r="J11" s="33">
        <f>$C$31*('E Balans VL '!D11+'E Balans VL '!E11)/100/3.6*1000000</f>
        <v>0</v>
      </c>
      <c r="K11" s="33"/>
      <c r="L11" s="33"/>
      <c r="M11" s="33"/>
      <c r="N11" s="33">
        <f>$C$31*'E Balans VL '!Y11/100/3.6*1000000</f>
        <v>6.6097867631239884E-2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9456.8009999999995</v>
      </c>
      <c r="C16" s="21">
        <f t="shared" ca="1" si="1"/>
        <v>0</v>
      </c>
      <c r="D16" s="21">
        <f t="shared" ca="1" si="1"/>
        <v>6149.4436299999998</v>
      </c>
      <c r="E16" s="21">
        <f t="shared" si="1"/>
        <v>168.45878222108755</v>
      </c>
      <c r="F16" s="21">
        <f t="shared" ca="1" si="1"/>
        <v>2191.1952526594355</v>
      </c>
      <c r="G16" s="21">
        <f t="shared" si="1"/>
        <v>0</v>
      </c>
      <c r="H16" s="21">
        <f t="shared" si="1"/>
        <v>0</v>
      </c>
      <c r="I16" s="21">
        <f t="shared" si="1"/>
        <v>0</v>
      </c>
      <c r="J16" s="21">
        <f t="shared" si="1"/>
        <v>0</v>
      </c>
      <c r="K16" s="21">
        <f t="shared" si="1"/>
        <v>0</v>
      </c>
      <c r="L16" s="21">
        <f t="shared" ca="1" si="1"/>
        <v>0</v>
      </c>
      <c r="M16" s="21">
        <f t="shared" si="1"/>
        <v>0</v>
      </c>
      <c r="N16" s="21">
        <f t="shared" ca="1" si="1"/>
        <v>1796.1864656041148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0.12254052224650859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1158.8413333213045</v>
      </c>
      <c r="C20" s="23">
        <f t="shared" ref="C20:P20" ca="1" si="2">C16*C18</f>
        <v>0</v>
      </c>
      <c r="D20" s="23">
        <f t="shared" ca="1" si="2"/>
        <v>1242.18761326</v>
      </c>
      <c r="E20" s="23">
        <f t="shared" si="2"/>
        <v>38.240143564186873</v>
      </c>
      <c r="F20" s="23">
        <f t="shared" ca="1" si="2"/>
        <v>585.04913246006936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2095.1610000000001</v>
      </c>
      <c r="C26" s="39">
        <f>IF(ISERROR(B26*3.6/1000000/'E Balans VL '!Z12*100),0,B26*3.6/1000000/'E Balans VL '!Z12*100)</f>
        <v>4.48799762872003E-2</v>
      </c>
      <c r="D26" s="237" t="s">
        <v>659</v>
      </c>
      <c r="F26" s="6"/>
    </row>
    <row r="27" spans="1:18">
      <c r="A27" s="231" t="s">
        <v>52</v>
      </c>
      <c r="B27" s="33">
        <f>IF(ISERROR(TER_horeca_ele_kWh/1000),0,TER_horeca_ele_kWh/1000)</f>
        <v>594.49099999999999</v>
      </c>
      <c r="C27" s="39">
        <f>IF(ISERROR(B27*3.6/1000000/'E Balans VL '!Z9*100),0,B27*3.6/1000000/'E Balans VL '!Z9*100)</f>
        <v>4.77058363203764E-2</v>
      </c>
      <c r="D27" s="237" t="s">
        <v>659</v>
      </c>
      <c r="F27" s="6"/>
    </row>
    <row r="28" spans="1:18">
      <c r="A28" s="171" t="s">
        <v>51</v>
      </c>
      <c r="B28" s="33">
        <f>IF(ISERROR(TER_handel_ele_kWh/1000),0,TER_handel_ele_kWh/1000)</f>
        <v>3732.4349999999999</v>
      </c>
      <c r="C28" s="39">
        <f>IF(ISERROR(B28*3.6/1000000/'E Balans VL '!Z13*100),0,B28*3.6/1000000/'E Balans VL '!Z13*100)</f>
        <v>0.11008542410675143</v>
      </c>
      <c r="D28" s="237" t="s">
        <v>659</v>
      </c>
      <c r="F28" s="6"/>
    </row>
    <row r="29" spans="1:18">
      <c r="A29" s="231" t="s">
        <v>50</v>
      </c>
      <c r="B29" s="33">
        <f>IF(ISERROR(TER_gezond_ele_kWh/1000),0,TER_gezond_ele_kWh/1000)</f>
        <v>739.58199999999999</v>
      </c>
      <c r="C29" s="39">
        <f>IF(ISERROR(B29*3.6/1000000/'E Balans VL '!Z10*100),0,B29*3.6/1000000/'E Balans VL '!Z10*100)</f>
        <v>7.8967528663000983E-2</v>
      </c>
      <c r="D29" s="237" t="s">
        <v>659</v>
      </c>
      <c r="F29" s="6"/>
    </row>
    <row r="30" spans="1:18">
      <c r="A30" s="231" t="s">
        <v>49</v>
      </c>
      <c r="B30" s="33">
        <f>IF(ISERROR(TER_ander_ele_kWh/1000),0,TER_ander_ele_kWh/1000)</f>
        <v>2259.6529999999998</v>
      </c>
      <c r="C30" s="39">
        <f>IF(ISERROR(B30*3.6/1000000/'E Balans VL '!Z14*100),0,B30*3.6/1000000/'E Balans VL '!Z14*100)</f>
        <v>0.17068046438941162</v>
      </c>
      <c r="D30" s="237" t="s">
        <v>659</v>
      </c>
      <c r="F30" s="6"/>
    </row>
    <row r="31" spans="1:18">
      <c r="A31" s="231" t="s">
        <v>54</v>
      </c>
      <c r="B31" s="33">
        <f>IF(ISERROR(TER_onderwijs_ele_kWh/1000),0,TER_onderwijs_ele_kWh/1000)</f>
        <v>35.478999999999999</v>
      </c>
      <c r="C31" s="39">
        <f>IF(ISERROR(B31*3.6/1000000/'E Balans VL '!Z11*100),0,B31*3.6/1000000/'E Balans VL '!Z11*100)</f>
        <v>7.1643944805183839E-3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17581.252</v>
      </c>
      <c r="C5" s="17">
        <f>IF(ISERROR('Eigen informatie GS &amp; warmtenet'!B59),0,'Eigen informatie GS &amp; warmtenet'!B59)</f>
        <v>0</v>
      </c>
      <c r="D5" s="30">
        <f>SUM(D6:D15)</f>
        <v>19062.469316000002</v>
      </c>
      <c r="E5" s="17">
        <f>SUM(E6:E15)</f>
        <v>3108.5926572765507</v>
      </c>
      <c r="F5" s="17">
        <f>SUM(F6:F15)</f>
        <v>11142.984804456293</v>
      </c>
      <c r="G5" s="18"/>
      <c r="H5" s="17"/>
      <c r="I5" s="17"/>
      <c r="J5" s="17">
        <f>SUM(J6:J15)</f>
        <v>4.110293812793123</v>
      </c>
      <c r="K5" s="17"/>
      <c r="L5" s="17"/>
      <c r="M5" s="17"/>
      <c r="N5" s="17">
        <f>SUM(N6:N15)</f>
        <v>2387.0208909567154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413.41800000000001</v>
      </c>
      <c r="C8" s="33"/>
      <c r="D8" s="37">
        <f>IF( ISERROR(IND_metaal_Gas_kWH/1000),0,IND_metaal_Gas_kWH/1000)*0.902</f>
        <v>168.71278600000002</v>
      </c>
      <c r="E8" s="33">
        <f>C30*'E Balans VL '!I18/100/3.6*1000000</f>
        <v>14.876030314230713</v>
      </c>
      <c r="F8" s="33">
        <f>C30*'E Balans VL '!L18/100/3.6*1000000+C30*'E Balans VL '!N18/100/3.6*1000000</f>
        <v>180.52623903031315</v>
      </c>
      <c r="G8" s="34"/>
      <c r="H8" s="33"/>
      <c r="I8" s="33"/>
      <c r="J8" s="40">
        <f>C30*'E Balans VL '!D18/100/3.6*1000000+C30*'E Balans VL '!E18/100/3.6*1000000</f>
        <v>0</v>
      </c>
      <c r="K8" s="33"/>
      <c r="L8" s="33"/>
      <c r="M8" s="33"/>
      <c r="N8" s="33">
        <f>C30*'E Balans VL '!Y18/100/3.6*1000000</f>
        <v>20.720229212699934</v>
      </c>
      <c r="O8" s="33"/>
      <c r="P8" s="33"/>
      <c r="R8" s="32"/>
    </row>
    <row r="9" spans="1:18">
      <c r="A9" s="6" t="s">
        <v>32</v>
      </c>
      <c r="B9" s="37">
        <f t="shared" si="0"/>
        <v>11719.907999999999</v>
      </c>
      <c r="C9" s="33"/>
      <c r="D9" s="37">
        <f>IF( ISERROR(IND_andere_gas_kWh/1000),0,IND_andere_gas_kWh/1000)*0.902</f>
        <v>12225.755806000001</v>
      </c>
      <c r="E9" s="33">
        <f>C31*'E Balans VL '!I19/100/3.6*1000000</f>
        <v>2990.6553512543537</v>
      </c>
      <c r="F9" s="33">
        <f>C31*'E Balans VL '!L19/100/3.6*1000000+C31*'E Balans VL '!N19/100/3.6*1000000</f>
        <v>10089.95988546817</v>
      </c>
      <c r="G9" s="34"/>
      <c r="H9" s="33"/>
      <c r="I9" s="33"/>
      <c r="J9" s="40">
        <f>C31*'E Balans VL '!D19/100/3.6*1000000+C31*'E Balans VL '!E19/100/3.6*1000000</f>
        <v>0</v>
      </c>
      <c r="K9" s="33"/>
      <c r="L9" s="33"/>
      <c r="M9" s="33"/>
      <c r="N9" s="33">
        <f>C31*'E Balans VL '!Y19/100/3.6*1000000</f>
        <v>924.56359816151985</v>
      </c>
      <c r="O9" s="33"/>
      <c r="P9" s="33"/>
      <c r="R9" s="32"/>
    </row>
    <row r="10" spans="1:18">
      <c r="A10" s="6" t="s">
        <v>40</v>
      </c>
      <c r="B10" s="37">
        <f t="shared" si="0"/>
        <v>3710.096</v>
      </c>
      <c r="C10" s="33"/>
      <c r="D10" s="37">
        <f>IF( ISERROR(IND_voed_gas_kWh/1000),0,IND_voed_gas_kWh/1000)*0.902</f>
        <v>4763.4403519999996</v>
      </c>
      <c r="E10" s="33">
        <f>C32*'E Balans VL '!I20/100/3.6*1000000</f>
        <v>94.315734699283766</v>
      </c>
      <c r="F10" s="33">
        <f>C32*'E Balans VL '!L20/100/3.6*1000000+C32*'E Balans VL '!N20/100/3.6*1000000</f>
        <v>839.53903145604272</v>
      </c>
      <c r="G10" s="34"/>
      <c r="H10" s="33"/>
      <c r="I10" s="33"/>
      <c r="J10" s="40">
        <f>C32*'E Balans VL '!D20/100/3.6*1000000+C32*'E Balans VL '!E20/100/3.6*1000000</f>
        <v>0</v>
      </c>
      <c r="K10" s="33"/>
      <c r="L10" s="33"/>
      <c r="M10" s="33"/>
      <c r="N10" s="33">
        <f>C32*'E Balans VL '!Y20/100/3.6*1000000</f>
        <v>1391.386566107713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50.933</v>
      </c>
      <c r="C13" s="33"/>
      <c r="D13" s="37">
        <f>IF( ISERROR(IND_papier_gas_kWh/1000),0,IND_papier_gas_kWh/1000)*0.902</f>
        <v>0</v>
      </c>
      <c r="E13" s="33">
        <f>C35*'E Balans VL '!I23/100/3.6*1000000</f>
        <v>0.21843681968452935</v>
      </c>
      <c r="F13" s="33">
        <f>C35*'E Balans VL '!L23/100/3.6*1000000+C35*'E Balans VL '!N23/100/3.6*1000000</f>
        <v>1.2801043759682404</v>
      </c>
      <c r="G13" s="34"/>
      <c r="H13" s="33"/>
      <c r="I13" s="33"/>
      <c r="J13" s="40">
        <f>C35*'E Balans VL '!D23/100/3.6*1000000+C35*'E Balans VL '!E23/100/3.6*1000000</f>
        <v>3.4096849939865774</v>
      </c>
      <c r="K13" s="33"/>
      <c r="L13" s="33"/>
      <c r="M13" s="33"/>
      <c r="N13" s="33">
        <f>C35*'E Balans VL '!Y23/100/3.6*1000000</f>
        <v>12.42070732881376</v>
      </c>
      <c r="O13" s="33"/>
      <c r="P13" s="33"/>
      <c r="R13" s="32"/>
    </row>
    <row r="14" spans="1:18">
      <c r="A14" s="6" t="s">
        <v>33</v>
      </c>
      <c r="B14" s="37">
        <f t="shared" si="0"/>
        <v>1600.4780000000001</v>
      </c>
      <c r="C14" s="33"/>
      <c r="D14" s="37">
        <f>IF( ISERROR(IND_chemie_gas_kWh/1000),0,IND_chemie_gas_kWh/1000)*0.902</f>
        <v>1811.934894</v>
      </c>
      <c r="E14" s="33">
        <f>C36*'E Balans VL '!I24/100/3.6*1000000</f>
        <v>3.8368953112136421</v>
      </c>
      <c r="F14" s="33">
        <f>C36*'E Balans VL '!L24/100/3.6*1000000+C36*'E Balans VL '!N24/100/3.6*1000000</f>
        <v>12.844197984892038</v>
      </c>
      <c r="G14" s="34"/>
      <c r="H14" s="33"/>
      <c r="I14" s="33"/>
      <c r="J14" s="40">
        <f>C36*'E Balans VL '!D24/100/3.6*1000000+C36*'E Balans VL '!E24/100/3.6*1000000</f>
        <v>0</v>
      </c>
      <c r="K14" s="33"/>
      <c r="L14" s="33"/>
      <c r="M14" s="33"/>
      <c r="N14" s="33">
        <f>C36*'E Balans VL '!Y24/100/3.6*1000000</f>
        <v>33.08063947218109</v>
      </c>
      <c r="O14" s="33"/>
      <c r="P14" s="33"/>
      <c r="R14" s="32"/>
    </row>
    <row r="15" spans="1:18">
      <c r="A15" s="6" t="s">
        <v>269</v>
      </c>
      <c r="B15" s="37">
        <f t="shared" si="0"/>
        <v>86.418999999999997</v>
      </c>
      <c r="C15" s="33"/>
      <c r="D15" s="37">
        <f>IF( ISERROR(IND_rest_gas_kWh/1000),0,IND_rest_gas_kWh/1000)*0.902</f>
        <v>92.625478000000001</v>
      </c>
      <c r="E15" s="33">
        <f>C37*'E Balans VL '!I15/100/3.6*1000000</f>
        <v>4.6902088777842428</v>
      </c>
      <c r="F15" s="33">
        <f>C37*'E Balans VL '!L15/100/3.6*1000000+C37*'E Balans VL '!N15/100/3.6*1000000</f>
        <v>18.835346140907717</v>
      </c>
      <c r="G15" s="34"/>
      <c r="H15" s="33"/>
      <c r="I15" s="33"/>
      <c r="J15" s="40">
        <f>C37*'E Balans VL '!D15/100/3.6*1000000+C37*'E Balans VL '!E15/100/3.6*1000000</f>
        <v>0.70060881880654524</v>
      </c>
      <c r="K15" s="33"/>
      <c r="L15" s="33"/>
      <c r="M15" s="33"/>
      <c r="N15" s="33">
        <f>C37*'E Balans VL '!Y15/100/3.6*1000000</f>
        <v>4.8491506737876513</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17581.252</v>
      </c>
      <c r="C18" s="21">
        <f>C5+C16</f>
        <v>0</v>
      </c>
      <c r="D18" s="21">
        <f>MAX((D5+D16),0)</f>
        <v>19062.469316000002</v>
      </c>
      <c r="E18" s="21">
        <f>MAX((E5+E16),0)</f>
        <v>3108.5926572765507</v>
      </c>
      <c r="F18" s="21">
        <f>MAX((F5+F16),0)</f>
        <v>11142.984804456293</v>
      </c>
      <c r="G18" s="21"/>
      <c r="H18" s="21"/>
      <c r="I18" s="21"/>
      <c r="J18" s="21">
        <f>MAX((J5+J16),0)</f>
        <v>4.110293812793123</v>
      </c>
      <c r="K18" s="21"/>
      <c r="L18" s="21">
        <f>MAX((L5+L16),0)</f>
        <v>0</v>
      </c>
      <c r="M18" s="21"/>
      <c r="N18" s="21">
        <f>MAX((N5+N16),0)</f>
        <v>2387.0208909567154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0.12254052224650859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2154.4158018274738</v>
      </c>
      <c r="C22" s="23">
        <f ca="1">C18*C20</f>
        <v>0</v>
      </c>
      <c r="D22" s="23">
        <f>D18*D20</f>
        <v>3850.6188018320008</v>
      </c>
      <c r="E22" s="23">
        <f>E18*E20</f>
        <v>705.65053320177697</v>
      </c>
      <c r="F22" s="23">
        <f>F18*F20</f>
        <v>2975.1769427898303</v>
      </c>
      <c r="G22" s="23"/>
      <c r="H22" s="23"/>
      <c r="I22" s="23"/>
      <c r="J22" s="23">
        <f>J18*J20</f>
        <v>1.4550440097287656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413.41800000000001</v>
      </c>
      <c r="C30" s="39">
        <f>IF(ISERROR(B30*3.6/1000000/'E Balans VL '!Z18*100),0,B30*3.6/1000000/'E Balans VL '!Z18*100)</f>
        <v>8.7594410751680979E-2</v>
      </c>
      <c r="D30" s="237" t="s">
        <v>659</v>
      </c>
    </row>
    <row r="31" spans="1:18">
      <c r="A31" s="6" t="s">
        <v>32</v>
      </c>
      <c r="B31" s="37">
        <f>IF( ISERROR(IND_ander_ele_kWh/1000),0,IND_ander_ele_kWh/1000)</f>
        <v>11719.907999999999</v>
      </c>
      <c r="C31" s="39">
        <f>IF(ISERROR(B31*3.6/1000000/'E Balans VL '!Z19*100),0,B31*3.6/1000000/'E Balans VL '!Z19*100)</f>
        <v>0.493317539706495</v>
      </c>
      <c r="D31" s="237" t="s">
        <v>659</v>
      </c>
    </row>
    <row r="32" spans="1:18">
      <c r="A32" s="171" t="s">
        <v>40</v>
      </c>
      <c r="B32" s="37">
        <f>IF( ISERROR(IND_voed_ele_kWh/1000),0,IND_voed_ele_kWh/1000)</f>
        <v>3710.096</v>
      </c>
      <c r="C32" s="39">
        <f>IF(ISERROR(B32*3.6/1000000/'E Balans VL '!Z20*100),0,B32*3.6/1000000/'E Balans VL '!Z20*100)</f>
        <v>0.61981351364921189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50.933</v>
      </c>
      <c r="C35" s="39">
        <f>IF(ISERROR(B35*3.6/1000000/'E Balans VL '!Z22*100),0,B35*3.6/1000000/'E Balans VL '!Z22*100)</f>
        <v>6.4560324308577405E-3</v>
      </c>
      <c r="D35" s="237" t="s">
        <v>659</v>
      </c>
    </row>
    <row r="36" spans="1:5">
      <c r="A36" s="171" t="s">
        <v>33</v>
      </c>
      <c r="B36" s="37">
        <f>IF( ISERROR(IND_chemie_ele_kWh/1000),0,IND_chemie_ele_kWh/1000)</f>
        <v>1600.4780000000001</v>
      </c>
      <c r="C36" s="39">
        <f>IF(ISERROR(B36*3.6/1000000/'E Balans VL '!Z24*100),0,B36*3.6/1000000/'E Balans VL '!Z24*100)</f>
        <v>5.1983577051763423E-2</v>
      </c>
      <c r="D36" s="237" t="s">
        <v>659</v>
      </c>
    </row>
    <row r="37" spans="1:5">
      <c r="A37" s="171" t="s">
        <v>269</v>
      </c>
      <c r="B37" s="37">
        <f>IF( ISERROR(IND_rest_ele_kWh/1000),0,IND_rest_ele_kWh/1000)</f>
        <v>86.418999999999997</v>
      </c>
      <c r="C37" s="39">
        <f>IF(ISERROR(B37*3.6/1000000/'E Balans VL '!Z15*100),0,B37*3.6/1000000/'E Balans VL '!Z15*100)</f>
        <v>6.9769404997053325E-4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1410.81</v>
      </c>
      <c r="C5" s="17">
        <f>'Eigen informatie GS &amp; warmtenet'!B60</f>
        <v>0</v>
      </c>
      <c r="D5" s="30">
        <f>IF(ISERROR(SUM(LB_lb_gas_kWh,LB_rest_gas_kWh)/1000),0,SUM(LB_lb_gas_kWh,LB_rest_gas_kWh)/1000)*0.902</f>
        <v>163.56958200000003</v>
      </c>
      <c r="E5" s="17">
        <f>B17*'E Balans VL '!I25/3.6*1000000/100</f>
        <v>36.379373015871735</v>
      </c>
      <c r="F5" s="17">
        <f>B17*('E Balans VL '!L25/3.6*1000000+'E Balans VL '!N25/3.6*1000000)/100</f>
        <v>5156.7792257130022</v>
      </c>
      <c r="G5" s="18"/>
      <c r="H5" s="17"/>
      <c r="I5" s="17"/>
      <c r="J5" s="17">
        <f>('E Balans VL '!D25+'E Balans VL '!E25)/3.6*1000000*landbouw!B17/100</f>
        <v>203.10474101633329</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1410.81</v>
      </c>
      <c r="C8" s="21">
        <f>C5+C6</f>
        <v>0</v>
      </c>
      <c r="D8" s="21">
        <f>MAX((D5+D6),0)</f>
        <v>163.56958200000003</v>
      </c>
      <c r="E8" s="21">
        <f>MAX((E5+E6),0)</f>
        <v>36.379373015871735</v>
      </c>
      <c r="F8" s="21">
        <f>MAX((F5+F6),0)</f>
        <v>5156.7792257130022</v>
      </c>
      <c r="G8" s="21"/>
      <c r="H8" s="21"/>
      <c r="I8" s="21"/>
      <c r="J8" s="21">
        <f>MAX((J5+J6),0)</f>
        <v>203.10474101633329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0.12254052224650859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172.88139419059678</v>
      </c>
      <c r="C12" s="23">
        <f ca="1">C8*C10</f>
        <v>0</v>
      </c>
      <c r="D12" s="23">
        <f>D8*D10</f>
        <v>33.041055564000004</v>
      </c>
      <c r="E12" s="23">
        <f>E8*E10</f>
        <v>8.2581176746028842</v>
      </c>
      <c r="F12" s="23">
        <f>F8*F10</f>
        <v>1376.8600532653716</v>
      </c>
      <c r="G12" s="23"/>
      <c r="H12" s="23"/>
      <c r="I12" s="23"/>
      <c r="J12" s="23">
        <f>J8*J10</f>
        <v>71.899078319781978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0.19893355499589835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140.89249148968102</v>
      </c>
      <c r="C26" s="247">
        <f>B26*'GWP N2O_CH4'!B5</f>
        <v>2958.7423212833014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45.249993293059902</v>
      </c>
      <c r="C27" s="247">
        <f>B27*'GWP N2O_CH4'!B5</f>
        <v>950.24985915425793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2.6251597665344293</v>
      </c>
      <c r="C28" s="247">
        <f>B28*'GWP N2O_CH4'!B4</f>
        <v>813.79952762567302</v>
      </c>
      <c r="D28" s="50"/>
    </row>
    <row r="29" spans="1:4">
      <c r="A29" s="41" t="s">
        <v>276</v>
      </c>
      <c r="B29" s="247">
        <f>B34*'ha_N2O bodem landbouw'!B4</f>
        <v>13.118228833848837</v>
      </c>
      <c r="C29" s="247">
        <f>B29*'GWP N2O_CH4'!B4</f>
        <v>4066.6509384931396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2.9523143529076399E-3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1.0089139330431764E-4</v>
      </c>
      <c r="C5" s="437" t="s">
        <v>210</v>
      </c>
      <c r="D5" s="422">
        <f>SUM(D6:D11)</f>
        <v>2.102581416139055E-4</v>
      </c>
      <c r="E5" s="422">
        <f>SUM(E6:E11)</f>
        <v>1.0648683638832407E-3</v>
      </c>
      <c r="F5" s="435" t="s">
        <v>210</v>
      </c>
      <c r="G5" s="422">
        <f>SUM(G6:G11)</f>
        <v>0.38680220052527281</v>
      </c>
      <c r="H5" s="422">
        <f>SUM(H6:H11)</f>
        <v>7.3364140020522758E-2</v>
      </c>
      <c r="I5" s="437" t="s">
        <v>210</v>
      </c>
      <c r="J5" s="437" t="s">
        <v>210</v>
      </c>
      <c r="K5" s="437" t="s">
        <v>210</v>
      </c>
      <c r="L5" s="437" t="s">
        <v>210</v>
      </c>
      <c r="M5" s="422">
        <f>SUM(M6:M11)</f>
        <v>1.4367493711211427E-2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1.3977561555986101E-5</v>
      </c>
      <c r="C6" s="423"/>
      <c r="D6" s="865">
        <f>vkm_GW_PW*SUMIFS(TableVerdeelsleutelVkm[CNG],TableVerdeelsleutelVkm[Voertuigtype],"Lichte voertuigen")*SUMIFS(TableECFTransport[EnergieConsumptieFactor (PJ per km)],TableECFTransport[Index],CONCATENATE($A6,"_CNG_CNG"))</f>
        <v>2.5197024141567874E-5</v>
      </c>
      <c r="E6" s="865">
        <f>vkm_GW_PW*SUMIFS(TableVerdeelsleutelVkm[LPG],TableVerdeelsleutelVkm[Voertuigtype],"Lichte voertuigen")*SUMIFS(TableECFTransport[EnergieConsumptieFactor (PJ per km)],TableECFTransport[Index],CONCATENATE($A6,"_LPG_LPG"))</f>
        <v>1.1382569907733471E-4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3.1097025623561529E-2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8.651519545581127E-3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1.2376023448203101E-3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1.0287766526978643E-2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1.8564084588120237E-7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3.2365371163669491E-4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2.1966543846485349E-5</v>
      </c>
      <c r="C8" s="423"/>
      <c r="D8" s="425">
        <f>vkm_NGW_PW*SUMIFS(TableVerdeelsleutelVkm[CNG],TableVerdeelsleutelVkm[Voertuigtype],"Lichte voertuigen")*SUMIFS(TableECFTransport[EnergieConsumptieFactor (PJ per km)],TableECFTransport[Index],CONCATENATE($A8,"_CNG_CNG"))</f>
        <v>6.7306186599810008E-5</v>
      </c>
      <c r="E8" s="425">
        <f>vkm_NGW_PW*SUMIFS(TableVerdeelsleutelVkm[LPG],TableVerdeelsleutelVkm[Voertuigtype],"Lichte voertuigen")*SUMIFS(TableECFTransport[EnergieConsumptieFactor (PJ per km)],TableECFTransport[Index],CONCATENATE($A8,"_LPG_LPG"))</f>
        <v>2.8860917106698594E-4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7.4034796685563967E-2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2.2457475871996188E-2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3.0021985633150328E-3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1.3280677493263685E-2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2.9583496407957258E-7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4.1781254247390032E-4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6.4947287901846189E-5</v>
      </c>
      <c r="C10" s="423"/>
      <c r="D10" s="425">
        <f>vkm_SW_PW*SUMIFS(TableVerdeelsleutelVkm[CNG],TableVerdeelsleutelVkm[Voertuigtype],"Lichte voertuigen")*SUMIFS(TableECFTransport[EnergieConsumptieFactor (PJ per km)],TableECFTransport[Index],CONCATENATE($A10,"_CNG_CNG"))</f>
        <v>1.1775493087252762E-4</v>
      </c>
      <c r="E10" s="425">
        <f>vkm_SW_PW*SUMIFS(TableVerdeelsleutelVkm[LPG],TableVerdeelsleutelVkm[Voertuigtype],"Lichte voertuigen")*SUMIFS(TableECFTransport[EnergieConsumptieFactor (PJ per km)],TableECFTransport[Index],CONCATENATE($A10,"_LPG_LPG"))</f>
        <v>6.6243349373892001E-4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0.16242240007905265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4.2252818853359415E-2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6.3761395128198624E-3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9.5679534116852399E-2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1.8442737760776048E-6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3.010087036145628E-3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28.025387028977121</v>
      </c>
      <c r="C14" s="21"/>
      <c r="D14" s="21">
        <f t="shared" ref="D14:M14" si="0">((D5)*10^9/3600)+D12</f>
        <v>58.405039337195973</v>
      </c>
      <c r="E14" s="21">
        <f t="shared" si="0"/>
        <v>295.7967677453446</v>
      </c>
      <c r="F14" s="21"/>
      <c r="G14" s="21">
        <f t="shared" si="0"/>
        <v>107445.05570146466</v>
      </c>
      <c r="H14" s="21">
        <f t="shared" si="0"/>
        <v>20378.927783478543</v>
      </c>
      <c r="I14" s="21"/>
      <c r="J14" s="21"/>
      <c r="K14" s="21"/>
      <c r="L14" s="21"/>
      <c r="M14" s="21">
        <f t="shared" si="0"/>
        <v>3990.9704753365072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0.12254052224650859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3.4342455626913844</v>
      </c>
      <c r="C18" s="23"/>
      <c r="D18" s="23">
        <f t="shared" ref="D18:M18" si="1">D14*D16</f>
        <v>11.797817946113588</v>
      </c>
      <c r="E18" s="23">
        <f t="shared" si="1"/>
        <v>67.145866278193225</v>
      </c>
      <c r="F18" s="23"/>
      <c r="G18" s="23">
        <f t="shared" si="1"/>
        <v>28687.829872291066</v>
      </c>
      <c r="H18" s="23">
        <f t="shared" si="1"/>
        <v>5074.3530180861571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4.6296067824799191E-3</v>
      </c>
      <c r="H50" s="319">
        <f t="shared" si="2"/>
        <v>0</v>
      </c>
      <c r="I50" s="319">
        <f t="shared" si="2"/>
        <v>0</v>
      </c>
      <c r="J50" s="319">
        <f t="shared" si="2"/>
        <v>0</v>
      </c>
      <c r="K50" s="319">
        <f t="shared" si="2"/>
        <v>0</v>
      </c>
      <c r="L50" s="319">
        <f t="shared" si="2"/>
        <v>0</v>
      </c>
      <c r="M50" s="319">
        <f t="shared" si="2"/>
        <v>1.4341876919494247E-4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4.6296067824799191E-3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1.4341876919494247E-4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1286.0018840221999</v>
      </c>
      <c r="H54" s="21">
        <f t="shared" si="3"/>
        <v>0</v>
      </c>
      <c r="I54" s="21">
        <f t="shared" si="3"/>
        <v>0</v>
      </c>
      <c r="J54" s="21">
        <f t="shared" si="3"/>
        <v>0</v>
      </c>
      <c r="K54" s="21">
        <f t="shared" si="3"/>
        <v>0</v>
      </c>
      <c r="L54" s="21">
        <f t="shared" si="3"/>
        <v>0</v>
      </c>
      <c r="M54" s="21">
        <f t="shared" si="3"/>
        <v>39.838546998595127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0.12254052224650859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343.3625030339274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16227.431914205365</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4653.5967528999608</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20881.028667105325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2020-06-20T15:59:26Z</dcterms:modified>
</cp:coreProperties>
</file>