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6" i="18"/>
  <c r="H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50" i="18"/>
  <c r="H17" i="18" s="1"/>
  <c r="E50" i="18"/>
  <c r="E17" i="18" s="1"/>
  <c r="B50"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9" i="18" l="1"/>
  <c r="F50" i="18"/>
  <c r="B49" i="18"/>
  <c r="C8" i="18" s="1"/>
  <c r="D76" i="14" s="1"/>
  <c r="D8" i="59" s="1"/>
  <c r="D10" i="59" s="1"/>
  <c r="C50" i="18"/>
  <c r="G50" i="18"/>
  <c r="I17" i="18" s="1"/>
  <c r="D50" i="18"/>
  <c r="J17" i="18" s="1"/>
  <c r="Q77" i="14"/>
  <c r="P9" i="59" s="1"/>
  <c r="O9" i="18"/>
  <c r="G78" i="14"/>
  <c r="C77" i="14"/>
  <c r="C9" i="59" s="1"/>
  <c r="F49" i="18"/>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C10" i="18"/>
  <c r="J8" i="18"/>
  <c r="F87" i="14"/>
  <c r="E20" i="18"/>
  <c r="E10"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15" i="48" l="1"/>
  <c r="E23" i="48"/>
  <c r="J33" i="48"/>
  <c r="E8" i="48"/>
  <c r="E26" i="48" s="1"/>
  <c r="F13" i="14"/>
  <c r="F16" i="14" s="1"/>
  <c r="F27" i="14" s="1"/>
  <c r="F63" i="14" s="1"/>
  <c r="J22" i="16"/>
  <c r="K43" i="14" s="1"/>
  <c r="K46" i="14" s="1"/>
  <c r="K61" i="14" s="1"/>
  <c r="J8" i="48"/>
  <c r="J26" i="48" s="1"/>
  <c r="K13" i="14"/>
  <c r="K16" i="14" s="1"/>
  <c r="K27" i="14" s="1"/>
  <c r="N8" i="48"/>
  <c r="N26" i="48" s="1"/>
  <c r="O13" i="14"/>
  <c r="N22" i="16"/>
  <c r="O43" i="14" s="1"/>
  <c r="G13" i="14"/>
  <c r="F8" i="48"/>
  <c r="R13" i="14" l="1"/>
  <c r="E15" i="48"/>
  <c r="E33"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<sst xmlns="http://schemas.openxmlformats.org/spreadsheetml/2006/main" count="2434" uniqueCount="912">
  <si>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</si>
  <si>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</si>
  <si>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</si>
  <si>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</si>
  <si>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</si>
  <si>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</si>
  <si>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</si>
  <si>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</si>
  <si>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</si>
  <si>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</si>
  <si>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</si>
  <si>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</si>
  <si>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</si>
  <si>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</si>
  <si>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</si>
  <si>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</si>
  <si>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</si>
  <si>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</si>
  <si>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</si>
  <si>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</si>
  <si>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</si>
  <si>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</si>
  <si>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</si>
  <si>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</si>
  <si>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</si>
  <si>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</si>
  <si>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</si>
  <si>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</si>
  <si>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</si>
  <si>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</si>
  <si>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</si>
  <si>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</si>
  <si>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</si>
  <si>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</si>
  <si>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</si>
  <si>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</si>
  <si>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</si>
  <si>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</si>
  <si>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</si>
  <si>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</si>
  <si>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</si>
  <si>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</si>
  <si>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</si>
  <si>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</si>
  <si>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</si>
  <si>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</si>
  <si>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</si>
  <si>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</si>
  <si>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</si>
  <si>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</si>
  <si>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</si>
  <si>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</si>
  <si>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</si>
  <si>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</si>
  <si>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</si>
  <si>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</si>
  <si>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</si>
  <si>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</si>
  <si>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</si>
  <si>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</si>
  <si>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</si>
  <si>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</si>
  <si>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</si>
  <si>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</si>
  <si>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</si>
  <si>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</si>
  <si>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</si>
  <si>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</si>
  <si>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</si>
  <si>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</si>
  <si>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</si>
  <si>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</si>
  <si>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</si>
  <si>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</si>
  <si>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</si>
  <si>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</si>
  <si>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</si>
  <si>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</si>
  <si>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</si>
  <si>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</si>
  <si>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</si>
  <si>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</si>
  <si>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</si>
  <si>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</si>
  <si>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</si>
  <si>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</si>
  <si>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</si>
  <si>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</si>
  <si>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</si>
  <si>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</si>
  <si>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</si>
  <si>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</si>
  <si>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</si>
  <si>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</si>
  <si>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</si>
  <si>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</si>
  <si>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</si>
  <si>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</si>
  <si>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</si>
  <si>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</si>
  <si>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</si>
  <si>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</si>
  <si>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</si>
  <si>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</si>
  <si>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</si>
  <si>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</si>
  <si>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</si>
  <si>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</si>
  <si>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</si>
  <si>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</si>
  <si>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</si>
  <si>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</si>
  <si>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</si>
  <si>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</si>
  <si>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</si>
  <si>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</si>
  <si>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</si>
  <si>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</si>
  <si>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</si>
  <si>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</si>
  <si>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</si>
  <si>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</si>
  <si>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</si>
  <si>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</si>
  <si>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</si>
  <si>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</si>
  <si>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</si>
  <si>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</si>
  <si>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</si>
  <si>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</si>
  <si>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</si>
  <si>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</si>
  <si>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</si>
  <si>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</si>
  <si>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</si>
  <si>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</si>
  <si>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</si>
  <si>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</si>
  <si>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</si>
  <si>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</si>
  <si>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</si>
  <si>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</si>
  <si>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</si>
  <si>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</si>
  <si>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</si>
  <si>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</si>
  <si>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</si>
  <si>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</si>
  <si>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</si>
  <si>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</si>
  <si>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</si>
  <si>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</si>
  <si>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</si>
  <si>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</si>
  <si>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</si>
  <si>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</si>
  <si>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</si>
  <si>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</si>
  <si>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</si>
  <si>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</si>
  <si>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</si>
  <si>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</si>
  <si>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</si>
  <si>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</si>
  <si>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</si>
  <si>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</si>
  <si>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</si>
  <si>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</si>
  <si>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</si>
  <si>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</si>
  <si>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</si>
  <si>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</si>
  <si>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</si>
  <si>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</si>
  <si>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</si>
  <si>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</si>
  <si>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</si>
  <si>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</si>
  <si>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</si>
  <si>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</si>
  <si>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</si>
  <si>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</si>
  <si>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</si>
  <si>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</si>
  <si>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</si>
  <si>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</si>
  <si>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</si>
  <si>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</si>
  <si>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</si>
  <si>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</si>
  <si>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</si>
  <si>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</si>
  <si>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</si>
  <si>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</si>
  <si>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</si>
  <si>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</si>
  <si>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</si>
  <si>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</si>
  <si>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</si>
  <si>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</si>
  <si>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</si>
  <si>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</si>
  <si>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</si>
  <si>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</si>
  <si>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</si>
  <si>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</si>
  <si>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</si>
  <si>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</si>
  <si>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</si>
  <si>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</si>
  <si>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</si>
  <si>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</si>
  <si>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</si>
  <si>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</si>
  <si>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</si>
  <si>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</si>
  <si>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</si>
  <si>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</si>
  <si>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</si>
  <si>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</si>
  <si>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</si>
  <si>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</si>
  <si>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</si>
  <si>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</si>
  <si>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</si>
  <si>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</si>
  <si>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</si>
  <si>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</si>
  <si>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</si>
  <si>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</si>
  <si>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</si>
  <si>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</si>
  <si>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</si>
  <si>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</si>
  <si>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</si>
  <si>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</si>
  <si>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</si>
  <si>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</si>
  <si>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</si>
  <si>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</si>
  <si>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</si>
  <si>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</si>
  <si>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</si>
  <si>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</si>
  <si>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</si>
  <si>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</si>
  <si>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</si>
  <si>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</si>
  <si>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</si>
  <si>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</si>
  <si>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</si>
  <si>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</si>
  <si>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</si>
  <si>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</si>
  <si>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</si>
  <si>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</si>
  <si>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</si>
  <si>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</si>
  <si>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</si>
  <si>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</si>
  <si>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</si>
  <si>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</si>
  <si>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</si>
  <si>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</si>
  <si>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</si>
  <si>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</si>
  <si>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</si>
  <si>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</si>
  <si>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</si>
  <si>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</si>
  <si>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</si>
  <si>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</si>
  <si>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</si>
  <si>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</si>
  <si>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</si>
  <si>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</si>
  <si>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</si>
  <si>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</si>
  <si>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</si>
  <si>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</si>
  <si>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</si>
  <si>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</si>
  <si>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</si>
  <si>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</si>
  <si>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</si>
  <si>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</si>
  <si>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</si>
  <si>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</si>
  <si>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</si>
  <si>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</si>
  <si>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</si>
  <si>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</si>
  <si>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</si>
  <si>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</si>
  <si>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</si>
  <si>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</si>
  <si>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</si>
  <si>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</si>
  <si>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</si>
  <si>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</si>
  <si>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</si>
  <si>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</si>
  <si>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</si>
  <si>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</si>
  <si>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</si>
  <si>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</si>
  <si>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</si>
  <si>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</si>
  <si>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</si>
  <si>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</si>
  <si>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</si>
  <si>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</si>
  <si>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</si>
  <si>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</si>
  <si>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</si>
  <si>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</si>
  <si>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</si>
  <si>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</si>
  <si>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</si>
  <si>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</si>
  <si>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</si>
  <si>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</si>
  <si>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</si>
  <si>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</si>
  <si>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</si>
  <si>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</si>
  <si>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</si>
  <si>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</si>
  <si>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</si>
  <si>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</si>
  <si>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</si>
  <si>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</si>
  <si>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</si>
  <si>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</si>
  <si>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</si>
  <si>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</si>
  <si>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</si>
  <si>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</si>
  <si>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</si>
  <si>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</si>
  <si>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</si>
  <si>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</si>
  <si>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</si>
  <si>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</si>
  <si>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</si>
  <si>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</si>
  <si>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</si>
  <si>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</si>
  <si>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</si>
  <si>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</si>
  <si>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</si>
  <si>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</si>
  <si>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</si>
  <si>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</si>
  <si>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</si>
  <si>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</si>
  <si>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</si>
  <si>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</si>
  <si>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</si>
  <si>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</si>
  <si>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</si>
  <si>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</si>
  <si>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</si>
  <si>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</si>
  <si>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</si>
  <si>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</si>
  <si>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</si>
  <si>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</si>
  <si>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</si>
  <si>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</si>
  <si>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</si>
  <si>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</si>
  <si>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</si>
  <si>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</si>
  <si>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</si>
  <si>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</si>
  <si>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</si>
  <si>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</si>
  <si>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</si>
  <si>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</si>
  <si>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</si>
  <si>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</si>
  <si>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</si>
  <si>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</si>
  <si>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</si>
  <si>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</si>
  <si>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</si>
  <si>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</si>
  <si>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</si>
  <si>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</si>
  <si>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</si>
  <si>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</si>
  <si>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</si>
  <si>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</si>
  <si>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</si>
  <si>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</si>
  <si>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</si>
  <si>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</si>
  <si>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</si>
  <si>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</si>
  <si>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</si>
  <si>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</si>
  <si>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</si>
  <si>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</si>
  <si>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</si>
  <si>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</si>
  <si>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</si>
  <si>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</si>
  <si>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</si>
  <si>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</si>
  <si>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</si>
  <si>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</si>
  <si>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</si>
  <si>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</si>
  <si>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</si>
  <si>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</si>
  <si>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</si>
  <si>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</si>
  <si>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</si>
  <si>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</si>
  <si>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</si>
  <si>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</si>
  <si>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</si>
  <si>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</si>
  <si>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</si>
  <si>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</si>
  <si>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</si>
  <si>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</si>
  <si>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</si>
  <si>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</si>
  <si>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</si>
  <si>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</si>
  <si>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</si>
  <si>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</si>
  <si>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</si>
  <si>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</si>
  <si>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</si>
  <si>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</si>
  <si>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</si>
  <si>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</si>
  <si>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</si>
  <si>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</si>
  <si>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</si>
  <si>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</si>
  <si>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</si>
  <si>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</si>
  <si>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</si>
  <si>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</si>
  <si>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</si>
  <si>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</si>
  <si>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</si>
  <si>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</si>
  <si>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</si>
  <si>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</si>
  <si>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</si>
  <si>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</si>
  <si>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</si>
  <si>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</si>
  <si>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</si>
  <si>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</si>
  <si>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</si>
  <si>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</si>
  <si>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</si>
  <si>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</si>
  <si>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</si>
  <si>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</si>
  <si>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</si>
  <si>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</si>
  <si>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</si>
  <si>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</si>
  <si>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</si>
  <si>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</si>
  <si>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</si>
  <si>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</si>
  <si>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</si>
  <si>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</si>
  <si>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</si>
  <si>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</si>
  <si>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</si>
  <si>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</si>
  <si>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</si>
  <si>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</si>
  <si>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</si>
  <si>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</si>
  <si>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</si>
  <si>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</si>
  <si>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</si>
  <si>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</si>
  <si>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</si>
  <si>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</si>
  <si>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</si>
  <si>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</si>
  <si>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</si>
  <si>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</si>
  <si>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</si>
  <si>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</si>
  <si>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</si>
  <si>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</si>
  <si>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</si>
  <si>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</si>
  <si>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</si>
  <si>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</si>
  <si>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</si>
  <si>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</si>
  <si>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</si>
  <si>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</si>
  <si>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</si>
  <si>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</si>
  <si>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</si>
  <si>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</si>
  <si>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</si>
  <si>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</si>
  <si>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</si>
  <si>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</si>
  <si>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</si>
  <si>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</si>
  <si>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</si>
  <si>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</si>
  <si>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</si>
  <si>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</si>
  <si>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</si>
  <si>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</si>
  <si>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</si>
  <si>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</si>
  <si>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</si>
  <si>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</si>
  <si>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</si>
  <si>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</si>
  <si>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</si>
  <si>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</si>
  <si>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</si>
  <si>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</si>
  <si>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</si>
  <si>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</si>
  <si>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</si>
  <si>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</si>
  <si>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</si>
  <si>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</si>
  <si>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</si>
  <si>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</si>
  <si>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</si>
  <si>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</si>
  <si>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</si>
  <si>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</si>
  <si>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</si>
  <si>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</si>
  <si>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</si>
  <si>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</si>
  <si>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</si>
  <si>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</si>
  <si>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</si>
  <si>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</si>
  <si>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</si>
  <si>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</si>
  <si>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</si>
  <si>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</si>
  <si>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</si>
  <si>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</si>
  <si>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</si>
  <si>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</si>
  <si>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</si>
  <si>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</si>
  <si>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</si>
  <si>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</si>
  <si>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</si>
  <si>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</si>
  <si>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</si>
  <si>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</si>
  <si>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</si>
  <si>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</si>
  <si>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</si>
  <si>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</si>
  <si>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</si>
  <si>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</si>
  <si>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</si>
  <si>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</si>
  <si>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</si>
  <si>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</si>
  <si>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</si>
  <si>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</si>
  <si>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</si>
  <si>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</si>
  <si>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</si>
  <si>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</si>
  <si>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</si>
  <si>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</si>
  <si>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</si>
  <si>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</si>
  <si>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</si>
  <si>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</si>
  <si>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</si>
  <si>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</si>
  <si>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</si>
  <si>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</si>
  <si>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</si>
  <si>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</si>
  <si>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</si>
  <si>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</si>
  <si>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</si>
  <si>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</si>
  <si>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</si>
  <si>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</si>
  <si>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</si>
  <si>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</si>
  <si>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</si>
  <si>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</si>
  <si>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</si>
  <si>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</si>
  <si>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</si>
  <si>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</si>
  <si>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</si>
  <si>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</si>
  <si>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</si>
  <si>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</si>
  <si>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</si>
  <si>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</si>
  <si>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</si>
  <si>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</si>
  <si>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</si>
  <si>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</si>
  <si>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</si>
  <si>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</si>
  <si>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</si>
  <si>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</si>
  <si>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</si>
  <si>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</si>
  <si>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</si>
  <si>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</si>
  <si>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</si>
  <si>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</si>
  <si>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</si>
  <si>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</si>
  <si>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</si>
  <si>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</si>
  <si>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</si>
  <si>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</si>
  <si>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</si>
  <si>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</si>
  <si>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</si>
  <si>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</si>
  <si>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</si>
  <si>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</si>
  <si>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</si>
  <si>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</si>
  <si>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</si>
  <si>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</si>
  <si>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</si>
  <si>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</si>
  <si>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</si>
  <si>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</si>
  <si>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</si>
  <si>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</si>
  <si>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</si>
  <si>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</si>
  <si>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</si>
  <si>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</si>
  <si>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</si>
  <si>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</si>
  <si>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</si>
  <si>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</si>
  <si>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</si>
  <si>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</si>
  <si>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</si>
  <si>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</si>
  <si>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</si>
  <si>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</si>
  <si>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</si>
  <si>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</si>
  <si>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</si>
  <si>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</si>
  <si>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</si>
  <si>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</si>
  <si>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</si>
  <si>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</si>
  <si>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</si>
  <si>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</si>
  <si>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</si>
  <si>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</si>
  <si>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</si>
  <si>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</si>
  <si>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</si>
  <si>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</si>
  <si>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</si>
  <si>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</si>
  <si>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</si>
  <si>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</si>
  <si>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</si>
  <si>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</si>
  <si>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</si>
  <si>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</si>
  <si>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</si>
  <si>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</si>
  <si>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</si>
  <si>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</si>
  <si>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</si>
  <si>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</si>
  <si>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</si>
  <si>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</si>
  <si>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</si>
  <si>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</si>
  <si>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</si>
  <si>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</si>
  <si>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</si>
  <si>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</si>
  <si>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</si>
  <si>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</si>
  <si>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</si>
  <si>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</si>
  <si>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</si>
  <si>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</si>
  <si>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</si>
  <si>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</si>
  <si>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</si>
  <si>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</si>
  <si>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</si>
  <si>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</si>
  <si>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</si>
  <si>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</si>
  <si>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</si>
  <si>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</si>
  <si>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</si>
  <si>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</si>
  <si>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</si>
  <si>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</si>
  <si>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</si>
  <si>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</si>
  <si>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</si>
  <si>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</si>
  <si>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</si>
  <si>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</si>
  <si>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</si>
  <si>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</si>
  <si>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</si>
  <si>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</si>
  <si>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</si>
  <si>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</si>
  <si>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</si>
  <si>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</si>
  <si>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</si>
  <si>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</si>
  <si>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</si>
  <si>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</si>
  <si>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</si>
  <si>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</si>
  <si>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</si>
  <si>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</si>
  <si>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</si>
  <si>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</si>
  <si>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</si>
  <si>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</si>
  <si>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</si>
  <si>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</si>
  <si>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</si>
  <si>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</si>
  <si>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</si>
  <si>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</si>
  <si>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</si>
  <si>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</si>
  <si>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</si>
  <si>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</si>
  <si>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</si>
  <si>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</si>
  <si>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</si>
  <si>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</si>
  <si>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</si>
  <si>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</si>
  <si>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</si>
  <si>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</si>
  <si>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</si>
  <si>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</si>
  <si>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</si>
  <si>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</si>
  <si>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</si>
  <si>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</si>
  <si>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</si>
  <si>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</si>
  <si>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</si>
  <si>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</si>
  <si>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</si>
  <si>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</si>
  <si>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</si>
  <si>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</si>
  <si>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</si>
  <si>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</si>
  <si>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</si>
  <si>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</si>
  <si>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</si>
  <si>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</si>
  <si>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</si>
  <si>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</si>
  <si>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</si>
  <si>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</si>
  <si>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</si>
  <si>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</si>
  <si>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</si>
  <si>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</si>
  <si>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</si>
  <si>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</si>
  <si>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</si>
  <si>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</si>
  <si>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</si>
  <si>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</si>
  <si>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</si>
  <si>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</si>
  <si>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</si>
  <si>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</si>
  <si>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</si>
  <si>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</si>
  <si>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</si>
  <si>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</si>
  <si>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</si>
  <si>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</si>
  <si>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</si>
  <si>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</si>
  <si>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</si>
  <si>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</si>
  <si>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</si>
  <si>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</si>
  <si>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</si>
  <si>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</si>
  <si>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</si>
  <si>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</si>
  <si>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</si>
  <si>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</si>
  <si>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</si>
  <si>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</si>
  <si>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</si>
  <si>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</si>
  <si>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</si>
  <si>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</si>
  <si>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</si>
  <si>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</si>
  <si>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</si>
  <si>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</si>
  <si>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</si>
  <si>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</si>
  <si>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</si>
  <si>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</si>
  <si>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</si>
  <si>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</si>
  <si>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</si>
  <si>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</si>
  <si>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</si>
  <si>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</si>
  <si>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</si>
  <si>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</si>
  <si>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</si>
  <si>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</si>
  <si>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</si>
  <si>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</si>
  <si>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</si>
  <si>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</si>
  <si>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</si>
  <si>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</si>
  <si>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</si>
  <si>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</si>
  <si>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</si>
  <si>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</si>
  <si>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</si>
  <si>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</si>
  <si>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</si>
  <si>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</si>
  <si>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</si>
  <si>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</si>
  <si>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</si>
  <si>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</si>
  <si>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</si>
  <si>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</si>
  <si>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</si>
  <si>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</si>
  <si>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</si>
  <si>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</si>
  <si>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</si>
  <si>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</si>
  <si>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</si>
  <si>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</si>
  <si>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</si>
  <si>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</si>
  <si>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</si>
  <si>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</si>
  <si>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</si>
  <si>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</si>
  <si>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</si>
  <si>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</si>
  <si>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</si>
  <si>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</si>
  <si>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</si>
  <si>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</si>
  <si>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</si>
  <si>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</si>
  <si>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71016</t>
  </si>
  <si>
    <t>GENK</t>
  </si>
  <si>
    <t>Paarden&amp;pony's 200 - 600 kg</t>
  </si>
  <si>
    <t>Paarden&amp;pony's &lt; 200 kg</t>
  </si>
  <si>
    <t>Fluvius</t>
  </si>
  <si>
    <t>referentietaak LNE (2017); Jaarverslag De Lijn</t>
  </si>
  <si>
    <t>ASOTEP</t>
  </si>
  <si>
    <t>Woudstraat 3a, 3600 Genk</t>
  </si>
  <si>
    <t>WKK-0080 Asotep</t>
  </si>
  <si>
    <t>interne verbrandingsmotor</t>
  </si>
  <si>
    <t>WKK interne verbrandinsgmotor (gas)</t>
  </si>
  <si>
    <t>Inter-Energa</t>
  </si>
  <si>
    <t>AFI Winterslag vzw</t>
  </si>
  <si>
    <t>Vennestraat 98/1 , 3600 Genk</t>
  </si>
  <si>
    <t>WKK-0436 AFI Winterslag</t>
  </si>
  <si>
    <t>Vennestraat 98 , 3600 Genk</t>
  </si>
  <si>
    <t>Aquafin NV</t>
  </si>
  <si>
    <t>Dijkstraat 8 , 2630 Aartselaar</t>
  </si>
  <si>
    <t>BGS-0006 RWZI Genk (GSC rest)</t>
  </si>
  <si>
    <t>biogas - RWZI</t>
  </si>
  <si>
    <t>niet WKK interne verbrandingsmotor (gas)</t>
  </si>
  <si>
    <t>Diepenbekerbos 12 , 3600 Genk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</si>
</sst>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420575.37244967313</c:v>
                </c:pt>
                <c:pt idx="1">
                  <c:v>321740.70590492891</c:v>
                </c:pt>
                <c:pt idx="2">
                  <c:v>4007.2539999999999</c:v>
                </c:pt>
                <c:pt idx="3">
                  <c:v>3388.0837151249971</c:v>
                </c:pt>
                <c:pt idx="4">
                  <c:v>496856.15118277958</c:v>
                </c:pt>
                <c:pt idx="5">
                  <c:v>509662.04214072734</c:v>
                </c:pt>
                <c:pt idx="6">
                  <c:v>15413.327046690556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420575.37244967313</c:v>
                </c:pt>
                <c:pt idx="1">
                  <c:v>321740.70590492891</c:v>
                </c:pt>
                <c:pt idx="2">
                  <c:v>4007.2539999999999</c:v>
                </c:pt>
                <c:pt idx="3">
                  <c:v>3388.0837151249971</c:v>
                </c:pt>
                <c:pt idx="4">
                  <c:v>496856.15118277958</c:v>
                </c:pt>
                <c:pt idx="5">
                  <c:v>509662.04214072734</c:v>
                </c:pt>
                <c:pt idx="6">
                  <c:v>15413.327046690556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87999.529747812659</c:v>
                </c:pt>
                <c:pt idx="2">
                  <c:v>63209.455694086282</c:v>
                </c:pt>
                <c:pt idx="3">
                  <c:v>744.23262028198735</c:v>
                </c:pt>
                <c:pt idx="4">
                  <c:v>830.03237057881984</c:v>
                </c:pt>
                <c:pt idx="5">
                  <c:v>101182.92607448628</c:v>
                </c:pt>
                <c:pt idx="6">
                  <c:v>130561.30656523793</c:v>
                </c:pt>
                <c:pt idx="7">
                  <c:v>3991.7009852818355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87999.529747812659</c:v>
                </c:pt>
                <c:pt idx="2">
                  <c:v>63209.455694086282</c:v>
                </c:pt>
                <c:pt idx="3">
                  <c:v>744.23262028198735</c:v>
                </c:pt>
                <c:pt idx="4">
                  <c:v>830.03237057881984</c:v>
                </c:pt>
                <c:pt idx="5">
                  <c:v>101182.92607448628</c:v>
                </c:pt>
                <c:pt idx="6">
                  <c:v>130561.30656523793</c:v>
                </c:pt>
                <c:pt idx="7">
                  <c:v>3991.7009852818355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71016</v>
      </c>
      <c r="B6" s="390"/>
      <c r="C6" s="391"/>
    </row>
    <row r="7" spans="1:7" s="388" customFormat="1" ht="15.75" customHeight="1">
      <c r="A7" s="392" t="str">
        <f>txtMunicipality</f>
        <v>GENK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0.18572134940335386</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0.18572134940335386</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25461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385.04</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8</v>
      </c>
      <c r="C17" s="330"/>
      <c r="D17" s="330"/>
      <c r="E17" s="330"/>
      <c r="F17" s="330"/>
    </row>
    <row r="18" spans="1:6">
      <c r="A18" s="1291" t="s">
        <v>8</v>
      </c>
      <c r="B18" s="1292">
        <v>5</v>
      </c>
      <c r="C18" s="330"/>
      <c r="D18" s="330"/>
      <c r="E18" s="330"/>
      <c r="F18" s="330"/>
    </row>
    <row r="19" spans="1:6">
      <c r="A19" s="1291" t="s">
        <v>9</v>
      </c>
      <c r="B19" s="1292">
        <v>4</v>
      </c>
      <c r="C19" s="330"/>
      <c r="D19" s="330"/>
      <c r="E19" s="330"/>
      <c r="F19" s="330"/>
    </row>
    <row r="20" spans="1:6">
      <c r="A20" s="1291" t="s">
        <v>10</v>
      </c>
      <c r="B20" s="1292">
        <v>22</v>
      </c>
      <c r="C20" s="330"/>
      <c r="D20" s="330"/>
      <c r="E20" s="330"/>
      <c r="F20" s="330"/>
    </row>
    <row r="21" spans="1:6">
      <c r="A21" s="1291" t="s">
        <v>11</v>
      </c>
      <c r="B21" s="1292">
        <v>0</v>
      </c>
      <c r="C21" s="330"/>
      <c r="D21" s="330"/>
      <c r="E21" s="330"/>
      <c r="F21" s="330"/>
    </row>
    <row r="22" spans="1:6">
      <c r="A22" s="1291" t="s">
        <v>12</v>
      </c>
      <c r="B22" s="1292">
        <v>22</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2</v>
      </c>
      <c r="C25" s="330"/>
      <c r="D25" s="330"/>
      <c r="E25" s="330"/>
      <c r="F25" s="330"/>
    </row>
    <row r="26" spans="1:6">
      <c r="A26" s="1291" t="s">
        <v>16</v>
      </c>
      <c r="B26" s="1292">
        <v>90</v>
      </c>
      <c r="C26" s="330"/>
      <c r="D26" s="330"/>
      <c r="E26" s="330"/>
      <c r="F26" s="330"/>
    </row>
    <row r="27" spans="1:6">
      <c r="A27" s="1291" t="s">
        <v>17</v>
      </c>
      <c r="B27" s="1292">
        <v>4</v>
      </c>
      <c r="C27" s="330"/>
      <c r="D27" s="330"/>
      <c r="E27" s="330"/>
      <c r="F27" s="330"/>
    </row>
    <row r="28" spans="1:6" s="43" customFormat="1">
      <c r="A28" s="1293" t="s">
        <v>18</v>
      </c>
      <c r="B28" s="1294">
        <v>29</v>
      </c>
      <c r="C28" s="336"/>
      <c r="D28" s="336"/>
      <c r="E28" s="336"/>
      <c r="F28" s="336"/>
    </row>
    <row r="29" spans="1:6">
      <c r="A29" s="1293" t="s">
        <v>892</v>
      </c>
      <c r="B29" s="1294">
        <v>74</v>
      </c>
      <c r="C29" s="336"/>
      <c r="D29" s="336"/>
      <c r="E29" s="336"/>
      <c r="F29" s="336"/>
    </row>
    <row r="30" spans="1:6">
      <c r="A30" s="1286" t="s">
        <v>893</v>
      </c>
      <c r="B30" s="1295">
        <v>10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4</v>
      </c>
      <c r="F35" s="1292">
        <v>82880</v>
      </c>
    </row>
    <row r="36" spans="1:6">
      <c r="A36" s="1291" t="s">
        <v>24</v>
      </c>
      <c r="B36" s="1291" t="s">
        <v>26</v>
      </c>
      <c r="C36" s="1292">
        <v>0</v>
      </c>
      <c r="D36" s="1292">
        <v>0</v>
      </c>
      <c r="E36" s="1292">
        <v>35</v>
      </c>
      <c r="F36" s="1292">
        <v>413613</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58410</v>
      </c>
    </row>
    <row r="39" spans="1:6">
      <c r="A39" s="1291" t="s">
        <v>29</v>
      </c>
      <c r="B39" s="1291" t="s">
        <v>30</v>
      </c>
      <c r="C39" s="1292">
        <v>11862</v>
      </c>
      <c r="D39" s="1292">
        <v>174967591</v>
      </c>
      <c r="E39" s="1292">
        <v>25953</v>
      </c>
      <c r="F39" s="1292">
        <v>111330318</v>
      </c>
    </row>
    <row r="40" spans="1:6">
      <c r="A40" s="1291" t="s">
        <v>29</v>
      </c>
      <c r="B40" s="1291" t="s">
        <v>28</v>
      </c>
      <c r="C40" s="1292">
        <v>0</v>
      </c>
      <c r="D40" s="1292">
        <v>0</v>
      </c>
      <c r="E40" s="1292">
        <v>0</v>
      </c>
      <c r="F40" s="1292">
        <v>0</v>
      </c>
    </row>
    <row r="41" spans="1:6">
      <c r="A41" s="1291" t="s">
        <v>31</v>
      </c>
      <c r="B41" s="1291" t="s">
        <v>32</v>
      </c>
      <c r="C41" s="1292">
        <v>177</v>
      </c>
      <c r="D41" s="1292">
        <v>18244549</v>
      </c>
      <c r="E41" s="1292">
        <v>579</v>
      </c>
      <c r="F41" s="1292">
        <v>115741397</v>
      </c>
    </row>
    <row r="42" spans="1:6">
      <c r="A42" s="1291" t="s">
        <v>31</v>
      </c>
      <c r="B42" s="1291" t="s">
        <v>33</v>
      </c>
      <c r="C42" s="1292">
        <v>5</v>
      </c>
      <c r="D42" s="1292">
        <v>9368877</v>
      </c>
      <c r="E42" s="1292">
        <v>9</v>
      </c>
      <c r="F42" s="1292">
        <v>56858980</v>
      </c>
    </row>
    <row r="43" spans="1:6">
      <c r="A43" s="1291" t="s">
        <v>31</v>
      </c>
      <c r="B43" s="1291" t="s">
        <v>34</v>
      </c>
      <c r="C43" s="1292">
        <v>3</v>
      </c>
      <c r="D43" s="1292">
        <v>935047</v>
      </c>
      <c r="E43" s="1292">
        <v>3</v>
      </c>
      <c r="F43" s="1292">
        <v>1125416</v>
      </c>
    </row>
    <row r="44" spans="1:6">
      <c r="A44" s="1291" t="s">
        <v>31</v>
      </c>
      <c r="B44" s="1291" t="s">
        <v>35</v>
      </c>
      <c r="C44" s="1292">
        <v>45</v>
      </c>
      <c r="D44" s="1292">
        <v>42117714</v>
      </c>
      <c r="E44" s="1292">
        <v>77</v>
      </c>
      <c r="F44" s="1292">
        <v>33278015</v>
      </c>
    </row>
    <row r="45" spans="1:6">
      <c r="A45" s="1291" t="s">
        <v>31</v>
      </c>
      <c r="B45" s="1291" t="s">
        <v>36</v>
      </c>
      <c r="C45" s="1292">
        <v>8</v>
      </c>
      <c r="D45" s="1292">
        <v>669926</v>
      </c>
      <c r="E45" s="1292">
        <v>15</v>
      </c>
      <c r="F45" s="1292">
        <v>744686</v>
      </c>
    </row>
    <row r="46" spans="1:6">
      <c r="A46" s="1291" t="s">
        <v>31</v>
      </c>
      <c r="B46" s="1291" t="s">
        <v>37</v>
      </c>
      <c r="C46" s="1292">
        <v>0</v>
      </c>
      <c r="D46" s="1292">
        <v>0</v>
      </c>
      <c r="E46" s="1292">
        <v>0</v>
      </c>
      <c r="F46" s="1292">
        <v>0</v>
      </c>
    </row>
    <row r="47" spans="1:6">
      <c r="A47" s="1291" t="s">
        <v>31</v>
      </c>
      <c r="B47" s="1291" t="s">
        <v>38</v>
      </c>
      <c r="C47" s="1292">
        <v>9</v>
      </c>
      <c r="D47" s="1292">
        <v>7129716</v>
      </c>
      <c r="E47" s="1292">
        <v>14</v>
      </c>
      <c r="F47" s="1292">
        <v>15743008</v>
      </c>
    </row>
    <row r="48" spans="1:6">
      <c r="A48" s="1291" t="s">
        <v>31</v>
      </c>
      <c r="B48" s="1291" t="s">
        <v>28</v>
      </c>
      <c r="C48" s="1292">
        <v>0</v>
      </c>
      <c r="D48" s="1292">
        <v>0</v>
      </c>
      <c r="E48" s="1292">
        <v>0</v>
      </c>
      <c r="F48" s="1292">
        <v>65302</v>
      </c>
    </row>
    <row r="49" spans="1:6">
      <c r="A49" s="1291" t="s">
        <v>31</v>
      </c>
      <c r="B49" s="1291" t="s">
        <v>39</v>
      </c>
      <c r="C49" s="1292">
        <v>9</v>
      </c>
      <c r="D49" s="1292">
        <v>8709054</v>
      </c>
      <c r="E49" s="1292">
        <v>11</v>
      </c>
      <c r="F49" s="1292">
        <v>12452286</v>
      </c>
    </row>
    <row r="50" spans="1:6">
      <c r="A50" s="1291" t="s">
        <v>31</v>
      </c>
      <c r="B50" s="1291" t="s">
        <v>40</v>
      </c>
      <c r="C50" s="1292">
        <v>13</v>
      </c>
      <c r="D50" s="1292">
        <v>6316260</v>
      </c>
      <c r="E50" s="1292">
        <v>35</v>
      </c>
      <c r="F50" s="1292">
        <v>7873324</v>
      </c>
    </row>
    <row r="51" spans="1:6">
      <c r="A51" s="1291" t="s">
        <v>41</v>
      </c>
      <c r="B51" s="1291" t="s">
        <v>42</v>
      </c>
      <c r="C51" s="1292">
        <v>18</v>
      </c>
      <c r="D51" s="1292">
        <v>561219</v>
      </c>
      <c r="E51" s="1292">
        <v>46</v>
      </c>
      <c r="F51" s="1292">
        <v>597285</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366</v>
      </c>
      <c r="F54" s="1292">
        <v>4007254</v>
      </c>
    </row>
    <row r="55" spans="1:6">
      <c r="A55" s="1291" t="s">
        <v>45</v>
      </c>
      <c r="B55" s="1291" t="s">
        <v>28</v>
      </c>
      <c r="C55" s="1292">
        <v>0</v>
      </c>
      <c r="D55" s="1292">
        <v>0</v>
      </c>
      <c r="E55" s="1292">
        <v>0</v>
      </c>
      <c r="F55" s="1292">
        <v>0</v>
      </c>
    </row>
    <row r="56" spans="1:6">
      <c r="A56" s="1291" t="s">
        <v>47</v>
      </c>
      <c r="B56" s="1291" t="s">
        <v>28</v>
      </c>
      <c r="C56" s="1292">
        <v>203</v>
      </c>
      <c r="D56" s="1292">
        <v>5275748</v>
      </c>
      <c r="E56" s="1292">
        <v>614</v>
      </c>
      <c r="F56" s="1292">
        <v>4257996</v>
      </c>
    </row>
    <row r="57" spans="1:6">
      <c r="A57" s="1291" t="s">
        <v>48</v>
      </c>
      <c r="B57" s="1291" t="s">
        <v>49</v>
      </c>
      <c r="C57" s="1292">
        <v>189</v>
      </c>
      <c r="D57" s="1292">
        <v>12044165</v>
      </c>
      <c r="E57" s="1292">
        <v>341</v>
      </c>
      <c r="F57" s="1292">
        <v>16273042</v>
      </c>
    </row>
    <row r="58" spans="1:6">
      <c r="A58" s="1291" t="s">
        <v>48</v>
      </c>
      <c r="B58" s="1291" t="s">
        <v>50</v>
      </c>
      <c r="C58" s="1292">
        <v>92</v>
      </c>
      <c r="D58" s="1292">
        <v>8978817</v>
      </c>
      <c r="E58" s="1292">
        <v>180</v>
      </c>
      <c r="F58" s="1292">
        <v>28467203</v>
      </c>
    </row>
    <row r="59" spans="1:6">
      <c r="A59" s="1291" t="s">
        <v>48</v>
      </c>
      <c r="B59" s="1291" t="s">
        <v>51</v>
      </c>
      <c r="C59" s="1292">
        <v>365</v>
      </c>
      <c r="D59" s="1292">
        <v>27215223</v>
      </c>
      <c r="E59" s="1292">
        <v>970</v>
      </c>
      <c r="F59" s="1292">
        <v>45883638</v>
      </c>
    </row>
    <row r="60" spans="1:6">
      <c r="A60" s="1291" t="s">
        <v>48</v>
      </c>
      <c r="B60" s="1291" t="s">
        <v>52</v>
      </c>
      <c r="C60" s="1292">
        <v>178</v>
      </c>
      <c r="D60" s="1292">
        <v>10748556</v>
      </c>
      <c r="E60" s="1292">
        <v>322</v>
      </c>
      <c r="F60" s="1292">
        <v>11386826</v>
      </c>
    </row>
    <row r="61" spans="1:6">
      <c r="A61" s="1291" t="s">
        <v>48</v>
      </c>
      <c r="B61" s="1291" t="s">
        <v>53</v>
      </c>
      <c r="C61" s="1292">
        <v>435</v>
      </c>
      <c r="D61" s="1292">
        <v>65767435</v>
      </c>
      <c r="E61" s="1292">
        <v>1326</v>
      </c>
      <c r="F61" s="1292">
        <v>42305579</v>
      </c>
    </row>
    <row r="62" spans="1:6">
      <c r="A62" s="1291" t="s">
        <v>48</v>
      </c>
      <c r="B62" s="1291" t="s">
        <v>54</v>
      </c>
      <c r="C62" s="1292">
        <v>46</v>
      </c>
      <c r="D62" s="1292">
        <v>11666005</v>
      </c>
      <c r="E62" s="1292">
        <v>79</v>
      </c>
      <c r="F62" s="1292">
        <v>5099574</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7282</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12</v>
      </c>
      <c r="D68" s="1295">
        <v>1287461</v>
      </c>
      <c r="E68" s="1295">
        <v>35</v>
      </c>
      <c r="F68" s="1295">
        <v>3043809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295651732</v>
      </c>
      <c r="E73" s="449"/>
      <c r="F73" s="330"/>
    </row>
    <row r="74" spans="1:6">
      <c r="A74" s="1291" t="s">
        <v>63</v>
      </c>
      <c r="B74" s="1291" t="s">
        <v>664</v>
      </c>
      <c r="C74" s="1305" t="s">
        <v>666</v>
      </c>
      <c r="D74" s="1306">
        <v>25218651.702734333</v>
      </c>
      <c r="E74" s="449"/>
      <c r="F74" s="330"/>
    </row>
    <row r="75" spans="1:6">
      <c r="A75" s="1291" t="s">
        <v>64</v>
      </c>
      <c r="B75" s="1291" t="s">
        <v>663</v>
      </c>
      <c r="C75" s="1305" t="s">
        <v>667</v>
      </c>
      <c r="D75" s="1306">
        <v>72780407</v>
      </c>
      <c r="E75" s="449"/>
      <c r="F75" s="330"/>
    </row>
    <row r="76" spans="1:6">
      <c r="A76" s="1291" t="s">
        <v>64</v>
      </c>
      <c r="B76" s="1291" t="s">
        <v>664</v>
      </c>
      <c r="C76" s="1305" t="s">
        <v>668</v>
      </c>
      <c r="D76" s="1306">
        <v>970221.7027343337</v>
      </c>
      <c r="E76" s="449"/>
      <c r="F76" s="330"/>
    </row>
    <row r="77" spans="1:6">
      <c r="A77" s="1291" t="s">
        <v>65</v>
      </c>
      <c r="B77" s="1291" t="s">
        <v>663</v>
      </c>
      <c r="C77" s="1305" t="s">
        <v>669</v>
      </c>
      <c r="D77" s="1306">
        <v>161978981</v>
      </c>
      <c r="E77" s="449"/>
      <c r="F77" s="330"/>
    </row>
    <row r="78" spans="1:6">
      <c r="A78" s="1286" t="s">
        <v>65</v>
      </c>
      <c r="B78" s="1286" t="s">
        <v>664</v>
      </c>
      <c r="C78" s="1286" t="s">
        <v>670</v>
      </c>
      <c r="D78" s="1307">
        <v>30654029</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4182154.5945313326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46477.481623838197</v>
      </c>
      <c r="C90" s="330"/>
      <c r="D90" s="330"/>
      <c r="E90" s="330"/>
      <c r="F90" s="330"/>
    </row>
    <row r="91" spans="1:6">
      <c r="A91" s="1291" t="s">
        <v>67</v>
      </c>
      <c r="B91" s="1292">
        <v>10668.672537690611</v>
      </c>
      <c r="C91" s="330"/>
      <c r="D91" s="330"/>
      <c r="E91" s="330"/>
      <c r="F91" s="330"/>
    </row>
    <row r="92" spans="1:6">
      <c r="A92" s="1286" t="s">
        <v>68</v>
      </c>
      <c r="B92" s="1287">
        <v>25216.331290873604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3815</v>
      </c>
      <c r="C97" s="330"/>
      <c r="D97" s="330"/>
      <c r="E97" s="330"/>
      <c r="F97" s="330"/>
    </row>
    <row r="98" spans="1:6">
      <c r="A98" s="1291" t="s">
        <v>71</v>
      </c>
      <c r="B98" s="1292">
        <v>9</v>
      </c>
      <c r="C98" s="330"/>
      <c r="D98" s="330"/>
      <c r="E98" s="330"/>
      <c r="F98" s="330"/>
    </row>
    <row r="99" spans="1:6">
      <c r="A99" s="1291" t="s">
        <v>72</v>
      </c>
      <c r="B99" s="1292">
        <v>73</v>
      </c>
      <c r="C99" s="330"/>
      <c r="D99" s="330"/>
      <c r="E99" s="330"/>
      <c r="F99" s="330"/>
    </row>
    <row r="100" spans="1:6">
      <c r="A100" s="1291" t="s">
        <v>73</v>
      </c>
      <c r="B100" s="1292">
        <v>4328</v>
      </c>
      <c r="C100" s="330"/>
      <c r="D100" s="330"/>
      <c r="E100" s="330"/>
      <c r="F100" s="330"/>
    </row>
    <row r="101" spans="1:6">
      <c r="A101" s="1291" t="s">
        <v>74</v>
      </c>
      <c r="B101" s="1292">
        <v>91</v>
      </c>
      <c r="C101" s="330"/>
      <c r="D101" s="330"/>
      <c r="E101" s="330"/>
      <c r="F101" s="330"/>
    </row>
    <row r="102" spans="1:6">
      <c r="A102" s="1291" t="s">
        <v>75</v>
      </c>
      <c r="B102" s="1292">
        <v>353</v>
      </c>
      <c r="C102" s="330"/>
      <c r="D102" s="330"/>
      <c r="E102" s="330"/>
      <c r="F102" s="330"/>
    </row>
    <row r="103" spans="1:6">
      <c r="A103" s="1291" t="s">
        <v>76</v>
      </c>
      <c r="B103" s="1292">
        <v>446</v>
      </c>
      <c r="C103" s="330"/>
      <c r="D103" s="330"/>
      <c r="E103" s="330"/>
      <c r="F103" s="330"/>
    </row>
    <row r="104" spans="1:6">
      <c r="A104" s="1291" t="s">
        <v>77</v>
      </c>
      <c r="B104" s="1292">
        <v>12961</v>
      </c>
      <c r="C104" s="330"/>
      <c r="D104" s="330"/>
      <c r="E104" s="330"/>
      <c r="F104" s="330"/>
    </row>
    <row r="105" spans="1:6">
      <c r="A105" s="1286" t="s">
        <v>78</v>
      </c>
      <c r="B105" s="1295">
        <v>14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1</v>
      </c>
      <c r="C122" s="1292">
        <v>0</v>
      </c>
      <c r="D122" s="330"/>
      <c r="E122" s="330"/>
      <c r="F122" s="330"/>
    </row>
    <row r="123" spans="1:6">
      <c r="A123" s="1291" t="s">
        <v>87</v>
      </c>
      <c r="B123" s="1292">
        <v>45</v>
      </c>
      <c r="C123" s="1292">
        <v>64</v>
      </c>
      <c r="D123" s="330"/>
      <c r="E123" s="330"/>
      <c r="F123" s="330"/>
    </row>
    <row r="124" spans="1:6" s="43" customFormat="1">
      <c r="A124" s="1293" t="s">
        <v>88</v>
      </c>
      <c r="B124" s="1314">
        <v>2</v>
      </c>
      <c r="C124" s="1314">
        <v>3</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750</v>
      </c>
      <c r="C129" s="330"/>
      <c r="D129" s="330"/>
      <c r="E129" s="330"/>
      <c r="F129" s="330"/>
    </row>
    <row r="130" spans="1:6">
      <c r="A130" s="1291" t="s">
        <v>294</v>
      </c>
      <c r="B130" s="1292">
        <v>3</v>
      </c>
      <c r="C130" s="330"/>
      <c r="D130" s="330"/>
      <c r="E130" s="330"/>
      <c r="F130" s="330"/>
    </row>
    <row r="131" spans="1:6">
      <c r="A131" s="1291" t="s">
        <v>295</v>
      </c>
      <c r="B131" s="1292">
        <v>4</v>
      </c>
      <c r="C131" s="330"/>
      <c r="D131" s="330"/>
      <c r="E131" s="330"/>
      <c r="F131" s="330"/>
    </row>
    <row r="132" spans="1:6">
      <c r="A132" s="1286" t="s">
        <v>296</v>
      </c>
      <c r="B132" s="1287">
        <v>77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526032.93478222156</v>
      </c>
      <c r="C3" s="43" t="s">
        <v>169</v>
      </c>
      <c r="D3" s="43"/>
      <c r="E3" s="154"/>
      <c r="F3" s="43"/>
      <c r="G3" s="43"/>
      <c r="H3" s="43"/>
      <c r="I3" s="43"/>
      <c r="J3" s="43"/>
      <c r="K3" s="96"/>
    </row>
    <row r="4" spans="1:11">
      <c r="A4" s="358" t="s">
        <v>170</v>
      </c>
      <c r="B4" s="49">
        <f>IF(ISERROR('SEAP template'!B78+'SEAP template'!C78),0,'SEAP template'!B78+'SEAP template'!C78)</f>
        <v>84126.485452402412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34.221176470588233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0.18572134940335386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48.887394957983197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205.71428571428572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4007.2539999999999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4007.2539999999999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0.18572134940335386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744.23262028198735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111330.318</v>
      </c>
      <c r="C5" s="17">
        <f>IF(ISERROR('Eigen informatie GS &amp; warmtenet'!B57),0,'Eigen informatie GS &amp; warmtenet'!B57)</f>
        <v>0</v>
      </c>
      <c r="D5" s="30">
        <f>(SUM(HH_hh_gas_kWh,HH_rest_gas_kWh)/1000)*0.902</f>
        <v>157820.76708200001</v>
      </c>
      <c r="E5" s="17">
        <f>B46*B57</f>
        <v>10286.719123670229</v>
      </c>
      <c r="F5" s="17">
        <f>B51*B62</f>
        <v>116579.89665793483</v>
      </c>
      <c r="G5" s="18"/>
      <c r="H5" s="17"/>
      <c r="I5" s="17"/>
      <c r="J5" s="17">
        <f>B50*B61+C50*C61</f>
        <v>0</v>
      </c>
      <c r="K5" s="17"/>
      <c r="L5" s="17"/>
      <c r="M5" s="17"/>
      <c r="N5" s="17">
        <f>B48*B59+C48*C59</f>
        <v>10247.489048377429</v>
      </c>
      <c r="O5" s="17">
        <f>B69*B70*B71</f>
        <v>1277.2433333333333</v>
      </c>
      <c r="P5" s="17">
        <f>B77*B78*B79/1000-B77*B78*B79/1000/B80</f>
        <v>2364.2666666666664</v>
      </c>
    </row>
    <row r="6" spans="1:16">
      <c r="A6" s="16" t="s">
        <v>623</v>
      </c>
      <c r="B6" s="762">
        <f>kWh_PV_kleiner_dan_10kW</f>
        <v>10668.672537690611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121998.99053769061</v>
      </c>
      <c r="C8" s="21">
        <f>C5</f>
        <v>0</v>
      </c>
      <c r="D8" s="21">
        <f>D5</f>
        <v>157820.76708200001</v>
      </c>
      <c r="E8" s="21">
        <f>E5</f>
        <v>10286.719123670229</v>
      </c>
      <c r="F8" s="21">
        <f>F5</f>
        <v>116579.89665793483</v>
      </c>
      <c r="G8" s="21"/>
      <c r="H8" s="21"/>
      <c r="I8" s="21"/>
      <c r="J8" s="21">
        <f>J5</f>
        <v>0</v>
      </c>
      <c r="K8" s="21"/>
      <c r="L8" s="21">
        <f>L5</f>
        <v>0</v>
      </c>
      <c r="M8" s="21">
        <f>M5</f>
        <v>0</v>
      </c>
      <c r="N8" s="21">
        <f>N5</f>
        <v>10247.489048377429</v>
      </c>
      <c r="O8" s="21">
        <f>O5</f>
        <v>1277.2433333333333</v>
      </c>
      <c r="P8" s="21">
        <f>P5</f>
        <v>2364.2666666666664</v>
      </c>
    </row>
    <row r="9" spans="1:16">
      <c r="B9" s="19"/>
      <c r="C9" s="19"/>
      <c r="D9" s="258"/>
      <c r="E9" s="19"/>
      <c r="F9" s="19"/>
      <c r="G9" s="19"/>
      <c r="H9" s="19"/>
      <c r="I9" s="19"/>
      <c r="J9" s="19"/>
      <c r="K9" s="19"/>
      <c r="L9" s="19"/>
      <c r="M9" s="19"/>
      <c r="N9" s="19"/>
      <c r="O9" s="19"/>
      <c r="P9" s="19"/>
    </row>
    <row r="10" spans="1:16">
      <c r="A10" s="24" t="s">
        <v>213</v>
      </c>
      <c r="B10" s="25">
        <f ca="1">'EF ele_warmte'!B12</f>
        <v>0.18572134940335386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22657.8171485069</v>
      </c>
      <c r="C12" s="23">
        <f ca="1">C10*C8</f>
        <v>0</v>
      </c>
      <c r="D12" s="23">
        <f>D8*D10</f>
        <v>31879.794950564003</v>
      </c>
      <c r="E12" s="23">
        <f>E10*E8</f>
        <v>2335.0852410731422</v>
      </c>
      <c r="F12" s="23">
        <f>F10*F8</f>
        <v>31126.832407668604</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3815</v>
      </c>
      <c r="C18" s="166" t="s">
        <v>110</v>
      </c>
      <c r="D18" s="228"/>
      <c r="E18" s="15"/>
    </row>
    <row r="19" spans="1:7">
      <c r="A19" s="171" t="s">
        <v>71</v>
      </c>
      <c r="B19" s="37">
        <f>aantalw2001_ander</f>
        <v>9</v>
      </c>
      <c r="C19" s="166" t="s">
        <v>110</v>
      </c>
      <c r="D19" s="229"/>
      <c r="E19" s="15"/>
    </row>
    <row r="20" spans="1:7">
      <c r="A20" s="171" t="s">
        <v>72</v>
      </c>
      <c r="B20" s="37">
        <f>aantalw2001_propaan</f>
        <v>73</v>
      </c>
      <c r="C20" s="167">
        <f>IF(ISERROR(B20/SUM($B$20,$B$21,$B$22)*100),0,B20/SUM($B$20,$B$21,$B$22)*100)</f>
        <v>1.6251113089937665</v>
      </c>
      <c r="D20" s="229"/>
      <c r="E20" s="15"/>
    </row>
    <row r="21" spans="1:7">
      <c r="A21" s="171" t="s">
        <v>73</v>
      </c>
      <c r="B21" s="37">
        <f>aantalw2001_elektriciteit</f>
        <v>4328</v>
      </c>
      <c r="C21" s="167">
        <f>IF(ISERROR(B21/SUM($B$20,$B$21,$B$22)*100),0,B21/SUM($B$20,$B$21,$B$22)*100)</f>
        <v>96.349065004452356</v>
      </c>
      <c r="D21" s="229"/>
      <c r="E21" s="15"/>
    </row>
    <row r="22" spans="1:7">
      <c r="A22" s="171" t="s">
        <v>74</v>
      </c>
      <c r="B22" s="37">
        <f>aantalw2001_hout</f>
        <v>91</v>
      </c>
      <c r="C22" s="167">
        <f>IF(ISERROR(B22/SUM($B$20,$B$21,$B$22)*100),0,B22/SUM($B$20,$B$21,$B$22)*100)</f>
        <v>2.0258236865538737</v>
      </c>
      <c r="D22" s="229"/>
      <c r="E22" s="15"/>
    </row>
    <row r="23" spans="1:7">
      <c r="A23" s="171" t="s">
        <v>75</v>
      </c>
      <c r="B23" s="37">
        <f>aantalw2001_niet_gespec</f>
        <v>353</v>
      </c>
      <c r="C23" s="166" t="s">
        <v>110</v>
      </c>
      <c r="D23" s="228"/>
      <c r="E23" s="15"/>
    </row>
    <row r="24" spans="1:7">
      <c r="A24" s="171" t="s">
        <v>76</v>
      </c>
      <c r="B24" s="37">
        <f>aantalw2001_steenkool</f>
        <v>446</v>
      </c>
      <c r="C24" s="166" t="s">
        <v>110</v>
      </c>
      <c r="D24" s="229"/>
      <c r="E24" s="15"/>
    </row>
    <row r="25" spans="1:7">
      <c r="A25" s="171" t="s">
        <v>77</v>
      </c>
      <c r="B25" s="37">
        <f>aantalw2001_stookolie</f>
        <v>12961</v>
      </c>
      <c r="C25" s="166" t="s">
        <v>110</v>
      </c>
      <c r="D25" s="228"/>
      <c r="E25" s="52"/>
    </row>
    <row r="26" spans="1:7">
      <c r="A26" s="171" t="s">
        <v>78</v>
      </c>
      <c r="B26" s="37">
        <f>aantalw2001_WP</f>
        <v>14</v>
      </c>
      <c r="C26" s="166" t="s">
        <v>110</v>
      </c>
      <c r="D26" s="228"/>
      <c r="E26" s="15"/>
    </row>
    <row r="27" spans="1:7" s="15" customFormat="1">
      <c r="A27" s="171"/>
      <c r="B27" s="29"/>
      <c r="C27" s="36"/>
      <c r="D27" s="228"/>
    </row>
    <row r="28" spans="1:7" s="15" customFormat="1">
      <c r="A28" s="230" t="s">
        <v>695</v>
      </c>
      <c r="B28" s="37">
        <f>aantalHuishoudens</f>
        <v>25461</v>
      </c>
      <c r="C28" s="36"/>
      <c r="D28" s="228"/>
    </row>
    <row r="29" spans="1:7" s="15" customFormat="1">
      <c r="A29" s="230" t="s">
        <v>696</v>
      </c>
      <c r="B29" s="37">
        <f>SUM(HH_hh_gas_aantal,HH_rest_gas_aantal)</f>
        <v>11862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11862</v>
      </c>
      <c r="C32" s="167">
        <f>IF(ISERROR(B32/SUM($B$32,$B$34,$B$35,$B$36,$B$38,$B$39)*100),0,B32/SUM($B$32,$B$34,$B$35,$B$36,$B$38,$B$39)*100)</f>
        <v>46.816908079093814</v>
      </c>
      <c r="D32" s="233"/>
      <c r="G32" s="15"/>
    </row>
    <row r="33" spans="1:7">
      <c r="A33" s="171" t="s">
        <v>71</v>
      </c>
      <c r="B33" s="34" t="s">
        <v>110</v>
      </c>
      <c r="C33" s="167"/>
      <c r="D33" s="233"/>
      <c r="G33" s="15"/>
    </row>
    <row r="34" spans="1:7">
      <c r="A34" s="171" t="s">
        <v>72</v>
      </c>
      <c r="B34" s="33">
        <f>IF((($B$28-$B$32-$B$39-$B$77-$B$38)*C20/100)&lt;0,0,($B$28-$B$32-$B$39-$B$77-$B$38)*C20/100)</f>
        <v>126.04850845948351</v>
      </c>
      <c r="C34" s="167">
        <f>IF(ISERROR(B34/SUM($B$32,$B$34,$B$35,$B$36,$B$38,$B$39)*100),0,B34/SUM($B$32,$B$34,$B$35,$B$36,$B$38,$B$39)*100)</f>
        <v>0.49748789698655527</v>
      </c>
      <c r="D34" s="233"/>
      <c r="G34" s="15"/>
    </row>
    <row r="35" spans="1:7">
      <c r="A35" s="171" t="s">
        <v>73</v>
      </c>
      <c r="B35" s="33">
        <f>IF((($B$28-$B$32-$B$39-$B$77-$B$38)*C21/100)&lt;0,0,($B$28-$B$32-$B$39-$B$77-$B$38)*C21/100)</f>
        <v>7473.1225289403383</v>
      </c>
      <c r="C35" s="167">
        <f>IF(ISERROR(B35/SUM($B$32,$B$34,$B$35,$B$36,$B$38,$B$39)*100),0,B35/SUM($B$32,$B$34,$B$35,$B$36,$B$38,$B$39)*100)</f>
        <v>29.494898878874132</v>
      </c>
      <c r="D35" s="233"/>
      <c r="G35" s="15"/>
    </row>
    <row r="36" spans="1:7">
      <c r="A36" s="171" t="s">
        <v>74</v>
      </c>
      <c r="B36" s="33">
        <f>IF((($B$28-$B$32-$B$39-$B$77-$B$38)*C22/100)&lt;0,0,($B$28-$B$32-$B$39-$B$77-$B$38)*C22/100)</f>
        <v>157.12896260017811</v>
      </c>
      <c r="C36" s="167">
        <f>IF(ISERROR(B36/SUM($B$32,$B$34,$B$35,$B$36,$B$38,$B$39)*100),0,B36/SUM($B$32,$B$34,$B$35,$B$36,$B$38,$B$39)*100)</f>
        <v>0.62015614555858267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5718.7</v>
      </c>
      <c r="C39" s="167">
        <f>IF(ISERROR(B39/SUM($B$32,$B$34,$B$35,$B$36,$B$38,$B$39)*100),0,B39/SUM($B$32,$B$34,$B$35,$B$36,$B$38,$B$39)*100)</f>
        <v>22.570548999486917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11862</v>
      </c>
      <c r="C44" s="34" t="s">
        <v>110</v>
      </c>
      <c r="D44" s="174"/>
    </row>
    <row r="45" spans="1:7">
      <c r="A45" s="171" t="s">
        <v>71</v>
      </c>
      <c r="B45" s="33" t="str">
        <f t="shared" si="0"/>
        <v>-</v>
      </c>
      <c r="C45" s="34" t="s">
        <v>110</v>
      </c>
      <c r="D45" s="174"/>
    </row>
    <row r="46" spans="1:7">
      <c r="A46" s="171" t="s">
        <v>72</v>
      </c>
      <c r="B46" s="33">
        <f t="shared" si="0"/>
        <v>126.04850845948351</v>
      </c>
      <c r="C46" s="34" t="s">
        <v>110</v>
      </c>
      <c r="D46" s="174"/>
    </row>
    <row r="47" spans="1:7">
      <c r="A47" s="171" t="s">
        <v>73</v>
      </c>
      <c r="B47" s="33">
        <f t="shared" si="0"/>
        <v>7473.1225289403383</v>
      </c>
      <c r="C47" s="34" t="s">
        <v>110</v>
      </c>
      <c r="D47" s="174"/>
    </row>
    <row r="48" spans="1:7">
      <c r="A48" s="171" t="s">
        <v>74</v>
      </c>
      <c r="B48" s="33">
        <f t="shared" si="0"/>
        <v>157.12896260017811</v>
      </c>
      <c r="C48" s="33">
        <f>B48*10</f>
        <v>1571.289626001781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5718.7</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817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149415.86199999999</v>
      </c>
      <c r="C5" s="17">
        <f>IF(ISERROR('Eigen informatie GS &amp; warmtenet'!B58),0,'Eigen informatie GS &amp; warmtenet'!B58)</f>
        <v>0</v>
      </c>
      <c r="D5" s="30">
        <f>SUM(D6:D12)</f>
        <v>123051.02130200001</v>
      </c>
      <c r="E5" s="17">
        <f>SUM(E6:E12)</f>
        <v>2415.9207825185695</v>
      </c>
      <c r="F5" s="17">
        <f>SUM(F6:F12)</f>
        <v>36560.406654188482</v>
      </c>
      <c r="G5" s="18"/>
      <c r="H5" s="17"/>
      <c r="I5" s="17"/>
      <c r="J5" s="17">
        <f>SUM(J6:J12)</f>
        <v>0</v>
      </c>
      <c r="K5" s="17"/>
      <c r="L5" s="17"/>
      <c r="M5" s="17"/>
      <c r="N5" s="17">
        <f>SUM(N6:N12)</f>
        <v>13267.75754717424</v>
      </c>
      <c r="O5" s="17">
        <f>B38*B39*B40</f>
        <v>4.6900000000000004</v>
      </c>
      <c r="P5" s="17">
        <f>B46*B47*B48/1000-B46*B47*B48/1000/B49</f>
        <v>95.333333333333343</v>
      </c>
      <c r="R5" s="32"/>
    </row>
    <row r="6" spans="1:18">
      <c r="A6" s="32" t="s">
        <v>53</v>
      </c>
      <c r="B6" s="37">
        <f>B26</f>
        <v>42305.578999999998</v>
      </c>
      <c r="C6" s="33"/>
      <c r="D6" s="37">
        <f>IF(ISERROR(TER_kantoor_gas_kWh/1000),0,TER_kantoor_gas_kWh/1000)*0.902</f>
        <v>59322.226369999997</v>
      </c>
      <c r="E6" s="33">
        <f>$C$26*'E Balans VL '!I12/100/3.6*1000000</f>
        <v>553.83214202674515</v>
      </c>
      <c r="F6" s="33">
        <f>$C$26*('E Balans VL '!L12+'E Balans VL '!N12)/100/3.6*1000000</f>
        <v>10787.485475477037</v>
      </c>
      <c r="G6" s="34"/>
      <c r="H6" s="33"/>
      <c r="I6" s="33"/>
      <c r="J6" s="33">
        <f>$C$26*('E Balans VL '!D12+'E Balans VL '!E12)/100/3.6*1000000</f>
        <v>0</v>
      </c>
      <c r="K6" s="33"/>
      <c r="L6" s="33"/>
      <c r="M6" s="33"/>
      <c r="N6" s="33">
        <f>$C$26*'E Balans VL '!Y12/100/3.6*1000000</f>
        <v>42.44804077127683</v>
      </c>
      <c r="O6" s="33"/>
      <c r="P6" s="33"/>
      <c r="R6" s="32"/>
    </row>
    <row r="7" spans="1:18">
      <c r="A7" s="32" t="s">
        <v>52</v>
      </c>
      <c r="B7" s="37">
        <f t="shared" ref="B7:B12" si="0">B27</f>
        <v>11386.825999999999</v>
      </c>
      <c r="C7" s="33"/>
      <c r="D7" s="37">
        <f>IF(ISERROR(TER_horeca_gas_kWh/1000),0,TER_horeca_gas_kWh/1000)*0.902</f>
        <v>9695.1975120000006</v>
      </c>
      <c r="E7" s="33">
        <f>$C$27*'E Balans VL '!I9/100/3.6*1000000</f>
        <v>376.83467686095918</v>
      </c>
      <c r="F7" s="33">
        <f>$C$27*('E Balans VL '!L9+'E Balans VL '!N9)/100/3.6*1000000</f>
        <v>4896.2915403967791</v>
      </c>
      <c r="G7" s="34"/>
      <c r="H7" s="33"/>
      <c r="I7" s="33"/>
      <c r="J7" s="33">
        <f>$C$27*('E Balans VL '!D9+'E Balans VL '!E9)/100/3.6*1000000</f>
        <v>0</v>
      </c>
      <c r="K7" s="33"/>
      <c r="L7" s="33"/>
      <c r="M7" s="33"/>
      <c r="N7" s="33">
        <f>$C$27*'E Balans VL '!Y9/100/3.6*1000000</f>
        <v>2.7409743730597076</v>
      </c>
      <c r="O7" s="33"/>
      <c r="P7" s="33"/>
      <c r="R7" s="32"/>
    </row>
    <row r="8" spans="1:18">
      <c r="A8" s="6" t="s">
        <v>51</v>
      </c>
      <c r="B8" s="37">
        <f t="shared" si="0"/>
        <v>45883.637999999999</v>
      </c>
      <c r="C8" s="33"/>
      <c r="D8" s="37">
        <f>IF(ISERROR(TER_handel_gas_kWh/1000),0,TER_handel_gas_kWh/1000)*0.902</f>
        <v>24548.131146000003</v>
      </c>
      <c r="E8" s="33">
        <f>$C$28*'E Balans VL '!I13/100/3.6*1000000</f>
        <v>1448.1577233919847</v>
      </c>
      <c r="F8" s="33">
        <f>$C$28*('E Balans VL '!L13+'E Balans VL '!N13)/100/3.6*1000000</f>
        <v>8998.5893725025326</v>
      </c>
      <c r="G8" s="34"/>
      <c r="H8" s="33"/>
      <c r="I8" s="33"/>
      <c r="J8" s="33">
        <f>$C$28*('E Balans VL '!D13+'E Balans VL '!E13)/100/3.6*1000000</f>
        <v>0</v>
      </c>
      <c r="K8" s="33"/>
      <c r="L8" s="33"/>
      <c r="M8" s="33"/>
      <c r="N8" s="33">
        <f>$C$28*'E Balans VL '!Y13/100/3.6*1000000</f>
        <v>54.454970107043493</v>
      </c>
      <c r="O8" s="33"/>
      <c r="P8" s="33"/>
      <c r="R8" s="32"/>
    </row>
    <row r="9" spans="1:18">
      <c r="A9" s="32" t="s">
        <v>50</v>
      </c>
      <c r="B9" s="37">
        <f t="shared" si="0"/>
        <v>28467.203000000001</v>
      </c>
      <c r="C9" s="33"/>
      <c r="D9" s="37">
        <f>IF(ISERROR(TER_gezond_gas_kWh/1000),0,TER_gezond_gas_kWh/1000)*0.902</f>
        <v>8098.8929339999995</v>
      </c>
      <c r="E9" s="33">
        <f>$C$29*'E Balans VL '!I10/100/3.6*1000000</f>
        <v>3.6446347735457265</v>
      </c>
      <c r="F9" s="33">
        <f>$C$29*('E Balans VL '!L10+'E Balans VL '!N10)/100/3.6*1000000</f>
        <v>5930.9115547238471</v>
      </c>
      <c r="G9" s="34"/>
      <c r="H9" s="33"/>
      <c r="I9" s="33"/>
      <c r="J9" s="33">
        <f>$C$29*('E Balans VL '!D10+'E Balans VL '!E10)/100/3.6*1000000</f>
        <v>0</v>
      </c>
      <c r="K9" s="33"/>
      <c r="L9" s="33"/>
      <c r="M9" s="33"/>
      <c r="N9" s="33">
        <f>$C$29*'E Balans VL '!Y10/100/3.6*1000000</f>
        <v>334.36075460405897</v>
      </c>
      <c r="O9" s="33"/>
      <c r="P9" s="33"/>
      <c r="R9" s="32"/>
    </row>
    <row r="10" spans="1:18">
      <c r="A10" s="32" t="s">
        <v>49</v>
      </c>
      <c r="B10" s="37">
        <f t="shared" si="0"/>
        <v>16273.041999999999</v>
      </c>
      <c r="C10" s="33"/>
      <c r="D10" s="37">
        <f>IF(ISERROR(TER_ander_gas_kWh/1000),0,TER_ander_gas_kWh/1000)*0.902</f>
        <v>10863.83683</v>
      </c>
      <c r="E10" s="33">
        <f>$C$30*'E Balans VL '!I14/100/3.6*1000000</f>
        <v>24.470828308510807</v>
      </c>
      <c r="F10" s="33">
        <f>$C$30*('E Balans VL '!L14+'E Balans VL '!N14)/100/3.6*1000000</f>
        <v>3592.5631186493683</v>
      </c>
      <c r="G10" s="34"/>
      <c r="H10" s="33"/>
      <c r="I10" s="33"/>
      <c r="J10" s="33">
        <f>$C$30*('E Balans VL '!D14+'E Balans VL '!E14)/100/3.6*1000000</f>
        <v>0</v>
      </c>
      <c r="K10" s="33"/>
      <c r="L10" s="33"/>
      <c r="M10" s="33"/>
      <c r="N10" s="33">
        <f>$C$30*'E Balans VL '!Y14/100/3.6*1000000</f>
        <v>12824.252230435921</v>
      </c>
      <c r="O10" s="33"/>
      <c r="P10" s="33"/>
      <c r="R10" s="32"/>
    </row>
    <row r="11" spans="1:18">
      <c r="A11" s="32" t="s">
        <v>54</v>
      </c>
      <c r="B11" s="37">
        <f t="shared" si="0"/>
        <v>5099.5739999999996</v>
      </c>
      <c r="C11" s="33"/>
      <c r="D11" s="37">
        <f>IF(ISERROR(TER_onderwijs_gas_kWh/1000),0,TER_onderwijs_gas_kWh/1000)*0.902</f>
        <v>10522.736509999999</v>
      </c>
      <c r="E11" s="33">
        <f>$C$31*'E Balans VL '!I11/100/3.6*1000000</f>
        <v>8.9807771568240291</v>
      </c>
      <c r="F11" s="33">
        <f>$C$31*('E Balans VL '!L11+'E Balans VL '!N11)/100/3.6*1000000</f>
        <v>2354.5655924389112</v>
      </c>
      <c r="G11" s="34"/>
      <c r="H11" s="33"/>
      <c r="I11" s="33"/>
      <c r="J11" s="33">
        <f>$C$31*('E Balans VL '!D11+'E Balans VL '!E11)/100/3.6*1000000</f>
        <v>0</v>
      </c>
      <c r="K11" s="33"/>
      <c r="L11" s="33"/>
      <c r="M11" s="33"/>
      <c r="N11" s="33">
        <f>$C$31*'E Balans VL '!Y11/100/3.6*1000000</f>
        <v>9.5005768828803649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energieproductie'!N39+'lokale energieproductie'!N32</f>
        <v>1764</v>
      </c>
      <c r="C13" s="247">
        <f ca="1">'lokale energieproductie'!O39+'lokale energieproductie'!O32</f>
        <v>205.71428571428572</v>
      </c>
      <c r="D13" s="308">
        <f ca="1">('lokale energieproductie'!P32+'lokale energieproductie'!P39)*(-1)</f>
        <v>-411.42857142857144</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-4628.5714285714284</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151179.86199999999</v>
      </c>
      <c r="C16" s="21">
        <f t="shared" ca="1" si="1"/>
        <v>205.71428571428572</v>
      </c>
      <c r="D16" s="21">
        <f t="shared" ca="1" si="1"/>
        <v>122639.59273057144</v>
      </c>
      <c r="E16" s="21">
        <f t="shared" si="1"/>
        <v>2415.9207825185695</v>
      </c>
      <c r="F16" s="21">
        <f t="shared" ca="1" si="1"/>
        <v>36560.406654188482</v>
      </c>
      <c r="G16" s="21">
        <f t="shared" si="1"/>
        <v>0</v>
      </c>
      <c r="H16" s="21">
        <f t="shared" si="1"/>
        <v>0</v>
      </c>
      <c r="I16" s="21">
        <f t="shared" si="1"/>
        <v>0</v>
      </c>
      <c r="J16" s="21">
        <f t="shared" si="1"/>
        <v>0</v>
      </c>
      <c r="K16" s="21">
        <f t="shared" si="1"/>
        <v>0</v>
      </c>
      <c r="L16" s="21">
        <f t="shared" ca="1" si="1"/>
        <v>0</v>
      </c>
      <c r="M16" s="21">
        <f t="shared" si="1"/>
        <v>0</v>
      </c>
      <c r="N16" s="21">
        <f t="shared" ca="1" si="1"/>
        <v>8639.1861186028109</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0.18572134940335386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28077.327973252817</v>
      </c>
      <c r="C20" s="23">
        <f t="shared" ref="C20:P20" ca="1" si="2">C16*C18</f>
        <v>48.887394957983197</v>
      </c>
      <c r="D20" s="23">
        <f t="shared" ca="1" si="2"/>
        <v>24773.197731575434</v>
      </c>
      <c r="E20" s="23">
        <f t="shared" si="2"/>
        <v>548.4140176317153</v>
      </c>
      <c r="F20" s="23">
        <f t="shared" ca="1" si="2"/>
        <v>9761.628576668325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42305.578999999998</v>
      </c>
      <c r="C26" s="39">
        <f>IF(ISERROR(B26*3.6/1000000/'E Balans VL '!Z12*100),0,B26*3.6/1000000/'E Balans VL '!Z12*100)</f>
        <v>0.90621836810454126</v>
      </c>
      <c r="D26" s="237" t="s">
        <v>659</v>
      </c>
      <c r="F26" s="6"/>
    </row>
    <row r="27" spans="1:18">
      <c r="A27" s="231" t="s">
        <v>52</v>
      </c>
      <c r="B27" s="33">
        <f>IF(ISERROR(TER_horeca_ele_kWh/1000),0,TER_horeca_ele_kWh/1000)</f>
        <v>11386.825999999999</v>
      </c>
      <c r="C27" s="39">
        <f>IF(ISERROR(B27*3.6/1000000/'E Balans VL '!Z9*100),0,B27*3.6/1000000/'E Balans VL '!Z9*100)</f>
        <v>0.91375320629682555</v>
      </c>
      <c r="D27" s="237" t="s">
        <v>659</v>
      </c>
      <c r="F27" s="6"/>
    </row>
    <row r="28" spans="1:18">
      <c r="A28" s="171" t="s">
        <v>51</v>
      </c>
      <c r="B28" s="33">
        <f>IF(ISERROR(TER_handel_ele_kWh/1000),0,TER_handel_ele_kWh/1000)</f>
        <v>45883.637999999999</v>
      </c>
      <c r="C28" s="39">
        <f>IF(ISERROR(B28*3.6/1000000/'E Balans VL '!Z13*100),0,B28*3.6/1000000/'E Balans VL '!Z13*100)</f>
        <v>1.3533041429497517</v>
      </c>
      <c r="D28" s="237" t="s">
        <v>659</v>
      </c>
      <c r="F28" s="6"/>
    </row>
    <row r="29" spans="1:18">
      <c r="A29" s="231" t="s">
        <v>50</v>
      </c>
      <c r="B29" s="33">
        <f>IF(ISERROR(TER_gezond_ele_kWh/1000),0,TER_gezond_ele_kWh/1000)</f>
        <v>28467.203000000001</v>
      </c>
      <c r="C29" s="39">
        <f>IF(ISERROR(B29*3.6/1000000/'E Balans VL '!Z10*100),0,B29*3.6/1000000/'E Balans VL '!Z10*100)</f>
        <v>3.0395340460665179</v>
      </c>
      <c r="D29" s="237" t="s">
        <v>659</v>
      </c>
      <c r="F29" s="6"/>
    </row>
    <row r="30" spans="1:18">
      <c r="A30" s="231" t="s">
        <v>49</v>
      </c>
      <c r="B30" s="33">
        <f>IF(ISERROR(TER_ander_ele_kWh/1000),0,TER_ander_ele_kWh/1000)</f>
        <v>16273.041999999999</v>
      </c>
      <c r="C30" s="39">
        <f>IF(ISERROR(B30*3.6/1000000/'E Balans VL '!Z14*100),0,B30*3.6/1000000/'E Balans VL '!Z14*100)</f>
        <v>1.2291667639183534</v>
      </c>
      <c r="D30" s="237" t="s">
        <v>659</v>
      </c>
      <c r="F30" s="6"/>
    </row>
    <row r="31" spans="1:18">
      <c r="A31" s="231" t="s">
        <v>54</v>
      </c>
      <c r="B31" s="33">
        <f>IF(ISERROR(TER_onderwijs_ele_kWh/1000),0,TER_onderwijs_ele_kWh/1000)</f>
        <v>5099.5739999999996</v>
      </c>
      <c r="C31" s="39">
        <f>IF(ISERROR(B31*3.6/1000000/'E Balans VL '!Z11*100),0,B31*3.6/1000000/'E Balans VL '!Z11*100)</f>
        <v>1.0297742275316399</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243882.41399999996</v>
      </c>
      <c r="C5" s="17">
        <f>IF(ISERROR('Eigen informatie GS &amp; warmtenet'!B59),0,'Eigen informatie GS &amp; warmtenet'!B59)</f>
        <v>0</v>
      </c>
      <c r="D5" s="30">
        <f>SUM(D6:D15)</f>
        <v>84329.010986000008</v>
      </c>
      <c r="E5" s="17">
        <f>SUM(E6:E15)</f>
        <v>31189.559544421943</v>
      </c>
      <c r="F5" s="17">
        <f>SUM(F6:F15)</f>
        <v>117605.56860369243</v>
      </c>
      <c r="G5" s="18"/>
      <c r="H5" s="17"/>
      <c r="I5" s="17"/>
      <c r="J5" s="17">
        <f>SUM(J6:J15)</f>
        <v>1055.3050782972741</v>
      </c>
      <c r="K5" s="17"/>
      <c r="L5" s="17"/>
      <c r="M5" s="17"/>
      <c r="N5" s="17">
        <f>SUM(N6:N15)</f>
        <v>18794.292970367958</v>
      </c>
      <c r="O5" s="17">
        <f>B43*B44*B45</f>
        <v>0</v>
      </c>
      <c r="P5" s="17">
        <f>B51*B52*B53/1000-B51*B52*B53/1000/B54</f>
        <v>0</v>
      </c>
      <c r="R5" s="32"/>
    </row>
    <row r="6" spans="1:18">
      <c r="A6" s="6" t="s">
        <v>34</v>
      </c>
      <c r="B6" s="37">
        <f>IF( ISERROR(IND_ijzer_ele_kWh/1000),0,IND_ijzer_ele_kWh/1000)</f>
        <v>1125.4159999999999</v>
      </c>
      <c r="C6" s="33"/>
      <c r="D6" s="37">
        <f>IF( ISERROR(IND_ijzer_gas_kWh/1000),0,IND_ijzer_gas_kWh/1000)*0.902</f>
        <v>843.41239400000006</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33278.014999999999</v>
      </c>
      <c r="C8" s="33"/>
      <c r="D8" s="37">
        <f>IF( ISERROR(IND_metaal_Gas_kWH/1000),0,IND_metaal_Gas_kWH/1000)*0.902</f>
        <v>37990.178028000002</v>
      </c>
      <c r="E8" s="33">
        <f>C30*'E Balans VL '!I18/100/3.6*1000000</f>
        <v>1197.4436525197848</v>
      </c>
      <c r="F8" s="33">
        <f>C30*'E Balans VL '!L18/100/3.6*1000000+C30*'E Balans VL '!N18/100/3.6*1000000</f>
        <v>14531.430393317049</v>
      </c>
      <c r="G8" s="34"/>
      <c r="H8" s="33"/>
      <c r="I8" s="33"/>
      <c r="J8" s="40">
        <f>C30*'E Balans VL '!D18/100/3.6*1000000+C30*'E Balans VL '!E18/100/3.6*1000000</f>
        <v>0</v>
      </c>
      <c r="K8" s="33"/>
      <c r="L8" s="33"/>
      <c r="M8" s="33"/>
      <c r="N8" s="33">
        <f>C30*'E Balans VL '!Y18/100/3.6*1000000</f>
        <v>1667.8714969925513</v>
      </c>
      <c r="O8" s="33"/>
      <c r="P8" s="33"/>
      <c r="R8" s="32"/>
    </row>
    <row r="9" spans="1:18">
      <c r="A9" s="6" t="s">
        <v>32</v>
      </c>
      <c r="B9" s="37">
        <f t="shared" si="0"/>
        <v>115741.397</v>
      </c>
      <c r="C9" s="33"/>
      <c r="D9" s="37">
        <f>IF( ISERROR(IND_andere_gas_kWh/1000),0,IND_andere_gas_kWh/1000)*0.902</f>
        <v>16456.583198</v>
      </c>
      <c r="E9" s="33">
        <f>C31*'E Balans VL '!I19/100/3.6*1000000</f>
        <v>29534.585791945181</v>
      </c>
      <c r="F9" s="33">
        <f>C31*'E Balans VL '!L19/100/3.6*1000000+C31*'E Balans VL '!N19/100/3.6*1000000</f>
        <v>99644.643355395456</v>
      </c>
      <c r="G9" s="34"/>
      <c r="H9" s="33"/>
      <c r="I9" s="33"/>
      <c r="J9" s="40">
        <f>C31*'E Balans VL '!D19/100/3.6*1000000+C31*'E Balans VL '!E19/100/3.6*1000000</f>
        <v>0</v>
      </c>
      <c r="K9" s="33"/>
      <c r="L9" s="33"/>
      <c r="M9" s="33"/>
      <c r="N9" s="33">
        <f>C31*'E Balans VL '!Y19/100/3.6*1000000</f>
        <v>9130.6418503081186</v>
      </c>
      <c r="O9" s="33"/>
      <c r="P9" s="33"/>
      <c r="R9" s="32"/>
    </row>
    <row r="10" spans="1:18">
      <c r="A10" s="6" t="s">
        <v>40</v>
      </c>
      <c r="B10" s="37">
        <f t="shared" si="0"/>
        <v>7873.3239999999996</v>
      </c>
      <c r="C10" s="33"/>
      <c r="D10" s="37">
        <f>IF( ISERROR(IND_voed_gas_kWh/1000),0,IND_voed_gas_kWh/1000)*0.902</f>
        <v>5697.2665200000001</v>
      </c>
      <c r="E10" s="33">
        <f>C32*'E Balans VL '!I20/100/3.6*1000000</f>
        <v>200.15070703979188</v>
      </c>
      <c r="F10" s="33">
        <f>C32*'E Balans VL '!L20/100/3.6*1000000+C32*'E Balans VL '!N20/100/3.6*1000000</f>
        <v>1781.6150324141527</v>
      </c>
      <c r="G10" s="34"/>
      <c r="H10" s="33"/>
      <c r="I10" s="33"/>
      <c r="J10" s="40">
        <f>C32*'E Balans VL '!D20/100/3.6*1000000+C32*'E Balans VL '!E20/100/3.6*1000000</f>
        <v>0</v>
      </c>
      <c r="K10" s="33"/>
      <c r="L10" s="33"/>
      <c r="M10" s="33"/>
      <c r="N10" s="33">
        <f>C32*'E Balans VL '!Y20/100/3.6*1000000</f>
        <v>2952.7099148414068</v>
      </c>
      <c r="O10" s="33"/>
      <c r="P10" s="33"/>
      <c r="R10" s="32"/>
    </row>
    <row r="11" spans="1:18">
      <c r="A11" s="6" t="s">
        <v>39</v>
      </c>
      <c r="B11" s="37">
        <f t="shared" si="0"/>
        <v>12452.286</v>
      </c>
      <c r="C11" s="33"/>
      <c r="D11" s="37">
        <f>IF( ISERROR(IND_textiel_gas_kWh/1000),0,IND_textiel_gas_kWh/1000)*0.902</f>
        <v>7855.5667080000003</v>
      </c>
      <c r="E11" s="33">
        <f>C33*'E Balans VL '!I21/100/3.6*1000000</f>
        <v>34.18487377424244</v>
      </c>
      <c r="F11" s="33">
        <f>C33*'E Balans VL '!L21/100/3.6*1000000+C33*'E Balans VL '!N21/100/3.6*1000000</f>
        <v>660.1683083573156</v>
      </c>
      <c r="G11" s="34"/>
      <c r="H11" s="33"/>
      <c r="I11" s="33"/>
      <c r="J11" s="40">
        <f>C33*'E Balans VL '!D21/100/3.6*1000000+C33*'E Balans VL '!E21/100/3.6*1000000</f>
        <v>0</v>
      </c>
      <c r="K11" s="33"/>
      <c r="L11" s="33"/>
      <c r="M11" s="33"/>
      <c r="N11" s="33">
        <f>C33*'E Balans VL '!Y21/100/3.6*1000000</f>
        <v>25.027034223258855</v>
      </c>
      <c r="O11" s="33"/>
      <c r="P11" s="33"/>
      <c r="R11" s="32"/>
    </row>
    <row r="12" spans="1:18">
      <c r="A12" s="6" t="s">
        <v>36</v>
      </c>
      <c r="B12" s="37">
        <f t="shared" si="0"/>
        <v>744.68600000000004</v>
      </c>
      <c r="C12" s="33"/>
      <c r="D12" s="37">
        <f>IF( ISERROR(IND_min_gas_kWh/1000),0,IND_min_gas_kWh/1000)*0.902</f>
        <v>604.27325200000007</v>
      </c>
      <c r="E12" s="33">
        <f>C34*'E Balans VL '!I22/100/3.6*1000000</f>
        <v>15.822711151403619</v>
      </c>
      <c r="F12" s="33">
        <f>C34*'E Balans VL '!L22/100/3.6*1000000+C34*'E Balans VL '!N22/100/3.6*1000000</f>
        <v>121.5018671875296</v>
      </c>
      <c r="G12" s="34"/>
      <c r="H12" s="33"/>
      <c r="I12" s="33"/>
      <c r="J12" s="40">
        <f>C34*'E Balans VL '!D22/100/3.6*1000000+C34*'E Balans VL '!E22/100/3.6*1000000</f>
        <v>0.86762868447876218</v>
      </c>
      <c r="K12" s="33"/>
      <c r="L12" s="33"/>
      <c r="M12" s="33"/>
      <c r="N12" s="33">
        <f>C34*'E Balans VL '!Y22/100/3.6*1000000</f>
        <v>0</v>
      </c>
      <c r="O12" s="33"/>
      <c r="P12" s="33"/>
      <c r="R12" s="32"/>
    </row>
    <row r="13" spans="1:18">
      <c r="A13" s="6" t="s">
        <v>38</v>
      </c>
      <c r="B13" s="37">
        <f t="shared" si="0"/>
        <v>15743.008</v>
      </c>
      <c r="C13" s="33"/>
      <c r="D13" s="37">
        <f>IF( ISERROR(IND_papier_gas_kWh/1000),0,IND_papier_gas_kWh/1000)*0.902</f>
        <v>6431.0038320000003</v>
      </c>
      <c r="E13" s="33">
        <f>C35*'E Balans VL '!I23/100/3.6*1000000</f>
        <v>67.517181391005906</v>
      </c>
      <c r="F13" s="33">
        <f>C35*'E Balans VL '!L23/100/3.6*1000000+C35*'E Balans VL '!N23/100/3.6*1000000</f>
        <v>395.67065422619947</v>
      </c>
      <c r="G13" s="34"/>
      <c r="H13" s="33"/>
      <c r="I13" s="33"/>
      <c r="J13" s="40">
        <f>C35*'E Balans VL '!D23/100/3.6*1000000+C35*'E Balans VL '!E23/100/3.6*1000000</f>
        <v>1053.9080387530803</v>
      </c>
      <c r="K13" s="33"/>
      <c r="L13" s="33"/>
      <c r="M13" s="33"/>
      <c r="N13" s="33">
        <f>C35*'E Balans VL '!Y23/100/3.6*1000000</f>
        <v>3839.1474062626125</v>
      </c>
      <c r="O13" s="33"/>
      <c r="P13" s="33"/>
      <c r="R13" s="32"/>
    </row>
    <row r="14" spans="1:18">
      <c r="A14" s="6" t="s">
        <v>33</v>
      </c>
      <c r="B14" s="37">
        <f t="shared" si="0"/>
        <v>56858.98</v>
      </c>
      <c r="C14" s="33"/>
      <c r="D14" s="37">
        <f>IF( ISERROR(IND_chemie_gas_kWh/1000),0,IND_chemie_gas_kWh/1000)*0.902</f>
        <v>8450.7270540000009</v>
      </c>
      <c r="E14" s="33">
        <f>C36*'E Balans VL '!I24/100/3.6*1000000</f>
        <v>136.31049834011483</v>
      </c>
      <c r="F14" s="33">
        <f>C36*'E Balans VL '!L24/100/3.6*1000000+C36*'E Balans VL '!N24/100/3.6*1000000</f>
        <v>456.30617624173323</v>
      </c>
      <c r="G14" s="34"/>
      <c r="H14" s="33"/>
      <c r="I14" s="33"/>
      <c r="J14" s="40">
        <f>C36*'E Balans VL '!D24/100/3.6*1000000+C36*'E Balans VL '!E24/100/3.6*1000000</f>
        <v>0</v>
      </c>
      <c r="K14" s="33"/>
      <c r="L14" s="33"/>
      <c r="M14" s="33"/>
      <c r="N14" s="33">
        <f>C36*'E Balans VL '!Y24/100/3.6*1000000</f>
        <v>1175.2310360629483</v>
      </c>
      <c r="O14" s="33"/>
      <c r="P14" s="33"/>
      <c r="R14" s="32"/>
    </row>
    <row r="15" spans="1:18">
      <c r="A15" s="6" t="s">
        <v>269</v>
      </c>
      <c r="B15" s="37">
        <f t="shared" si="0"/>
        <v>65.302000000000007</v>
      </c>
      <c r="C15" s="33"/>
      <c r="D15" s="37">
        <f>IF( ISERROR(IND_rest_gas_kWh/1000),0,IND_rest_gas_kWh/1000)*0.902</f>
        <v>0</v>
      </c>
      <c r="E15" s="33">
        <f>C37*'E Balans VL '!I15/100/3.6*1000000</f>
        <v>3.5441282604180397</v>
      </c>
      <c r="F15" s="33">
        <f>C37*'E Balans VL '!L15/100/3.6*1000000+C37*'E Balans VL '!N15/100/3.6*1000000</f>
        <v>14.232816552998246</v>
      </c>
      <c r="G15" s="34"/>
      <c r="H15" s="33"/>
      <c r="I15" s="33"/>
      <c r="J15" s="40">
        <f>C37*'E Balans VL '!D15/100/3.6*1000000+C37*'E Balans VL '!E15/100/3.6*1000000</f>
        <v>0.52941085971493562</v>
      </c>
      <c r="K15" s="33"/>
      <c r="L15" s="33"/>
      <c r="M15" s="33"/>
      <c r="N15" s="33">
        <f>C37*'E Balans VL '!Y15/100/3.6*1000000</f>
        <v>3.6642316770580674</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243882.41399999996</v>
      </c>
      <c r="C18" s="21">
        <f>C5+C16</f>
        <v>0</v>
      </c>
      <c r="D18" s="21">
        <f>MAX((D5+D16),0)</f>
        <v>84329.010986000008</v>
      </c>
      <c r="E18" s="21">
        <f>MAX((E5+E16),0)</f>
        <v>31189.559544421943</v>
      </c>
      <c r="F18" s="21">
        <f>MAX((F5+F16),0)</f>
        <v>117605.56860369243</v>
      </c>
      <c r="G18" s="21"/>
      <c r="H18" s="21"/>
      <c r="I18" s="21"/>
      <c r="J18" s="21">
        <f>MAX((J5+J16),0)</f>
        <v>1055.3050782972741</v>
      </c>
      <c r="K18" s="21"/>
      <c r="L18" s="21">
        <f>MAX((L5+L16),0)</f>
        <v>0</v>
      </c>
      <c r="M18" s="21"/>
      <c r="N18" s="21">
        <f>MAX((N5+N16),0)</f>
        <v>18794.292970367958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0.18572134940335386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45294.171023827388</v>
      </c>
      <c r="C22" s="23">
        <f ca="1">C18*C20</f>
        <v>0</v>
      </c>
      <c r="D22" s="23">
        <f>D18*D20</f>
        <v>17034.460219172004</v>
      </c>
      <c r="E22" s="23">
        <f>E18*E20</f>
        <v>7080.0300165837816</v>
      </c>
      <c r="F22" s="23">
        <f>F18*F20</f>
        <v>31400.68681718588</v>
      </c>
      <c r="G22" s="23"/>
      <c r="H22" s="23"/>
      <c r="I22" s="23"/>
      <c r="J22" s="23">
        <f>J18*J20</f>
        <v>373.57799771723501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33278.014999999999</v>
      </c>
      <c r="C30" s="39">
        <f>IF(ISERROR(B30*3.6/1000000/'E Balans VL '!Z18*100),0,B30*3.6/1000000/'E Balans VL '!Z18*100)</f>
        <v>7.0508979166620742</v>
      </c>
      <c r="D30" s="237" t="s">
        <v>659</v>
      </c>
    </row>
    <row r="31" spans="1:18">
      <c r="A31" s="6" t="s">
        <v>32</v>
      </c>
      <c r="B31" s="37">
        <f>IF( ISERROR(IND_ander_ele_kWh/1000),0,IND_ander_ele_kWh/1000)</f>
        <v>115741.397</v>
      </c>
      <c r="C31" s="39">
        <f>IF(ISERROR(B31*3.6/1000000/'E Balans VL '!Z19*100),0,B31*3.6/1000000/'E Balans VL '!Z19*100)</f>
        <v>4.8718182096849825</v>
      </c>
      <c r="D31" s="237" t="s">
        <v>659</v>
      </c>
    </row>
    <row r="32" spans="1:18">
      <c r="A32" s="171" t="s">
        <v>40</v>
      </c>
      <c r="B32" s="37">
        <f>IF( ISERROR(IND_voed_ele_kWh/1000),0,IND_voed_ele_kWh/1000)</f>
        <v>7873.3239999999996</v>
      </c>
      <c r="C32" s="39">
        <f>IF(ISERROR(B32*3.6/1000000/'E Balans VL '!Z20*100),0,B32*3.6/1000000/'E Balans VL '!Z20*100)</f>
        <v>1.3153278547343972</v>
      </c>
      <c r="D32" s="237" t="s">
        <v>659</v>
      </c>
    </row>
    <row r="33" spans="1:5">
      <c r="A33" s="171" t="s">
        <v>39</v>
      </c>
      <c r="B33" s="37">
        <f>IF( ISERROR(IND_textiel_ele_kWh/1000),0,IND_textiel_ele_kWh/1000)</f>
        <v>12452.286</v>
      </c>
      <c r="C33" s="39">
        <f>IF(ISERROR(B33*3.6/1000000/'E Balans VL '!Z21*100),0,B33*3.6/1000000/'E Balans VL '!Z21*100)</f>
        <v>0.72700172035610344</v>
      </c>
      <c r="D33" s="237" t="s">
        <v>659</v>
      </c>
    </row>
    <row r="34" spans="1:5">
      <c r="A34" s="171" t="s">
        <v>36</v>
      </c>
      <c r="B34" s="37">
        <f>IF( ISERROR(IND_min_ele_kWh/1000),0,IND_min_ele_kWh/1000)</f>
        <v>744.68600000000004</v>
      </c>
      <c r="C34" s="39">
        <f>IF(ISERROR(B34*3.6/1000000/'E Balans VL '!Z22*100),0,B34*3.6/1000000/'E Balans VL '!Z22*100)</f>
        <v>9.4392966579736656E-2</v>
      </c>
      <c r="D34" s="237" t="s">
        <v>659</v>
      </c>
    </row>
    <row r="35" spans="1:5">
      <c r="A35" s="171" t="s">
        <v>38</v>
      </c>
      <c r="B35" s="37">
        <f>IF( ISERROR(IND_papier_ele_kWh/1000),0,IND_papier_ele_kWh/1000)</f>
        <v>15743.008</v>
      </c>
      <c r="C35" s="39">
        <f>IF(ISERROR(B35*3.6/1000000/'E Balans VL '!Z22*100),0,B35*3.6/1000000/'E Balans VL '!Z22*100)</f>
        <v>1.9955111657913898</v>
      </c>
      <c r="D35" s="237" t="s">
        <v>659</v>
      </c>
    </row>
    <row r="36" spans="1:5">
      <c r="A36" s="171" t="s">
        <v>33</v>
      </c>
      <c r="B36" s="37">
        <f>IF( ISERROR(IND_chemie_ele_kWh/1000),0,IND_chemie_ele_kWh/1000)</f>
        <v>56858.98</v>
      </c>
      <c r="C36" s="39">
        <f>IF(ISERROR(B36*3.6/1000000/'E Balans VL '!Z24*100),0,B36*3.6/1000000/'E Balans VL '!Z24*100)</f>
        <v>1.8467815039723605</v>
      </c>
      <c r="D36" s="237" t="s">
        <v>659</v>
      </c>
    </row>
    <row r="37" spans="1:5">
      <c r="A37" s="171" t="s">
        <v>269</v>
      </c>
      <c r="B37" s="37">
        <f>IF( ISERROR(IND_rest_ele_kWh/1000),0,IND_rest_ele_kWh/1000)</f>
        <v>65.302000000000007</v>
      </c>
      <c r="C37" s="39">
        <f>IF(ISERROR(B37*3.6/1000000/'E Balans VL '!Z15*100),0,B37*3.6/1000000/'E Balans VL '!Z15*100)</f>
        <v>5.2720833209335633E-4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597.28499999999997</v>
      </c>
      <c r="C5" s="17">
        <f>'Eigen informatie GS &amp; warmtenet'!B60</f>
        <v>0</v>
      </c>
      <c r="D5" s="30">
        <f>IF(ISERROR(SUM(LB_lb_gas_kWh,LB_rest_gas_kWh)/1000),0,SUM(LB_lb_gas_kWh,LB_rest_gas_kWh)/1000)*0.902</f>
        <v>506.21953800000006</v>
      </c>
      <c r="E5" s="17">
        <f>B17*'E Balans VL '!I25/3.6*1000000/100</f>
        <v>15.401686840740393</v>
      </c>
      <c r="F5" s="17">
        <f>B17*('E Balans VL '!L25/3.6*1000000+'E Balans VL '!N25/3.6*1000000)/100</f>
        <v>2183.1904224027267</v>
      </c>
      <c r="G5" s="18"/>
      <c r="H5" s="17"/>
      <c r="I5" s="17"/>
      <c r="J5" s="17">
        <f>('E Balans VL '!D25+'E Balans VL '!E25)/3.6*1000000*landbouw!B17/100</f>
        <v>85.987067881529498</v>
      </c>
      <c r="K5" s="17"/>
      <c r="L5" s="17">
        <f>L6*(-1)</f>
        <v>0</v>
      </c>
      <c r="M5" s="17"/>
      <c r="N5" s="17">
        <f>N6*(-1)</f>
        <v>0</v>
      </c>
      <c r="O5" s="17"/>
      <c r="P5" s="17"/>
      <c r="R5" s="32"/>
    </row>
    <row r="6" spans="1:18">
      <c r="A6" s="16" t="s">
        <v>490</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597.28499999999997</v>
      </c>
      <c r="C8" s="21">
        <f>C5+C6</f>
        <v>0</v>
      </c>
      <c r="D8" s="21">
        <f>MAX((D5+D6),0)</f>
        <v>506.21953800000006</v>
      </c>
      <c r="E8" s="21">
        <f>MAX((E5+E6),0)</f>
        <v>15.401686840740393</v>
      </c>
      <c r="F8" s="21">
        <f>MAX((F5+F6),0)</f>
        <v>2183.1904224027267</v>
      </c>
      <c r="G8" s="21"/>
      <c r="H8" s="21"/>
      <c r="I8" s="21"/>
      <c r="J8" s="21">
        <f>MAX((J5+J6),0)</f>
        <v>85.987067881529498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0.18572134940335386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110.9285761783822</v>
      </c>
      <c r="C12" s="23">
        <f ca="1">C8*C10</f>
        <v>0</v>
      </c>
      <c r="D12" s="23">
        <f>D8*D10</f>
        <v>102.25634667600002</v>
      </c>
      <c r="E12" s="23">
        <f>E8*E10</f>
        <v>3.4961829128480693</v>
      </c>
      <c r="F12" s="23">
        <f>F8*F10</f>
        <v>582.91184278152809</v>
      </c>
      <c r="G12" s="23"/>
      <c r="H12" s="23"/>
      <c r="I12" s="23"/>
      <c r="J12" s="23">
        <f>J8*J10</f>
        <v>30.43942203006144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8.4221141327127783E-2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4.3759378692737148</v>
      </c>
      <c r="C26" s="247">
        <f>B26*'GWP N2O_CH4'!B5</f>
        <v>91.894695254748015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0.40524964345499609</v>
      </c>
      <c r="C27" s="247">
        <f>B27*'GWP N2O_CH4'!B5</f>
        <v>8.5102425125549175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4.4715448503916962E-2</v>
      </c>
      <c r="C28" s="247">
        <f>B28*'GWP N2O_CH4'!B4</f>
        <v>13.861789036214258</v>
      </c>
      <c r="D28" s="50"/>
    </row>
    <row r="29" spans="1:4">
      <c r="A29" s="41" t="s">
        <v>276</v>
      </c>
      <c r="B29" s="247">
        <f>B34*'ha_N2O bodem landbouw'!B4</f>
        <v>2.5401399203341009</v>
      </c>
      <c r="C29" s="247">
        <f>B29*'GWP N2O_CH4'!B4</f>
        <v>787.44337530357132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5.7166951729380471E-4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3.9287968031129195E-4</v>
      </c>
      <c r="C5" s="437" t="s">
        <v>210</v>
      </c>
      <c r="D5" s="422">
        <f>SUM(D6:D11)</f>
        <v>7.7748218627110013E-4</v>
      </c>
      <c r="E5" s="422">
        <f>SUM(E6:E11)</f>
        <v>3.7153702408001276E-3</v>
      </c>
      <c r="F5" s="435" t="s">
        <v>210</v>
      </c>
      <c r="G5" s="422">
        <f>SUM(G6:G11)</f>
        <v>1.5057478807415352</v>
      </c>
      <c r="H5" s="422">
        <f>SUM(H6:H11)</f>
        <v>0.26872535295661709</v>
      </c>
      <c r="I5" s="437" t="s">
        <v>210</v>
      </c>
      <c r="J5" s="437" t="s">
        <v>210</v>
      </c>
      <c r="K5" s="437" t="s">
        <v>210</v>
      </c>
      <c r="L5" s="437" t="s">
        <v>210</v>
      </c>
      <c r="M5" s="422">
        <f>SUM(M6:M11)</f>
        <v>5.5424385901083673E-2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2.1899155875849618E-4</v>
      </c>
      <c r="C6" s="423"/>
      <c r="D6" s="865">
        <f>vkm_GW_PW*SUMIFS(TableVerdeelsleutelVkm[CNG],TableVerdeelsleutelVkm[Voertuigtype],"Lichte voertuigen")*SUMIFS(TableECFTransport[EnergieConsumptieFactor (PJ per km)],TableECFTransport[Index],CONCATENATE($A6,"_CNG_CNG"))</f>
        <v>3.947709742315011E-4</v>
      </c>
      <c r="E6" s="865">
        <f>vkm_GW_PW*SUMIFS(TableVerdeelsleutelVkm[LPG],TableVerdeelsleutelVkm[Voertuigtype],"Lichte voertuigen")*SUMIFS(TableECFTransport[EnergieConsumptieFactor (PJ per km)],TableECFTransport[Index],CONCATENATE($A6,"_LPG_LPG"))</f>
        <v>1.7833487742392195E-3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0.48720845097191923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0.1355465145567549</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1.9389967665661922E-2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0.24340619352116888</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4.3922197825443746E-6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7.6575724927169606E-3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5.390901879109495E-5</v>
      </c>
      <c r="C8" s="423"/>
      <c r="D8" s="425">
        <f>vkm_NGW_PW*SUMIFS(TableVerdeelsleutelVkm[CNG],TableVerdeelsleutelVkm[Voertuigtype],"Lichte voertuigen")*SUMIFS(TableECFTransport[EnergieConsumptieFactor (PJ per km)],TableECFTransport[Index],CONCATENATE($A8,"_CNG_CNG"))</f>
        <v>1.651789422825679E-4</v>
      </c>
      <c r="E8" s="425">
        <f>vkm_NGW_PW*SUMIFS(TableVerdeelsleutelVkm[LPG],TableVerdeelsleutelVkm[Voertuigtype],"Lichte voertuigen")*SUMIFS(TableECFTransport[EnergieConsumptieFactor (PJ per km)],TableECFTransport[Index],CONCATENATE($A8,"_LPG_LPG"))</f>
        <v>7.0828790068501663E-4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0.18169190718436781</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5.5113835715112275E-2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7.3678217153966942E-3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1.2056245158625155E-2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2.6856000796988697E-7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3.7929167732360456E-4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1.1997910276170085E-4</v>
      </c>
      <c r="C10" s="423"/>
      <c r="D10" s="425">
        <f>vkm_SW_PW*SUMIFS(TableVerdeelsleutelVkm[CNG],TableVerdeelsleutelVkm[Voertuigtype],"Lichte voertuigen")*SUMIFS(TableECFTransport[EnergieConsumptieFactor (PJ per km)],TableECFTransport[Index],CONCATENATE($A10,"_CNG_CNG"))</f>
        <v>2.1753226975703113E-4</v>
      </c>
      <c r="E10" s="425">
        <f>vkm_SW_PW*SUMIFS(TableVerdeelsleutelVkm[LPG],TableVerdeelsleutelVkm[Voertuigtype],"Lichte voertuigen")*SUMIFS(TableECFTransport[EnergieConsumptieFactor (PJ per km)],TableECFTransport[Index],CONCATENATE($A10,"_LPG_LPG"))</f>
        <v>1.2237335658758916E-3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0.30004784586752226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7.8054918980452706E-2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1.177883669272985E-2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0.28133723803793192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5.4229245066534156E-6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8.8508956572546336E-3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109.13324453091442</v>
      </c>
      <c r="C14" s="21"/>
      <c r="D14" s="21">
        <f t="shared" ref="D14:M14" si="0">((D5)*10^9/3600)+D12</f>
        <v>215.96727396419448</v>
      </c>
      <c r="E14" s="21">
        <f t="shared" si="0"/>
        <v>1032.0472891111467</v>
      </c>
      <c r="F14" s="21"/>
      <c r="G14" s="21">
        <f t="shared" si="0"/>
        <v>418263.300205982</v>
      </c>
      <c r="H14" s="21">
        <f t="shared" si="0"/>
        <v>74645.931376838082</v>
      </c>
      <c r="I14" s="21"/>
      <c r="J14" s="21"/>
      <c r="K14" s="21"/>
      <c r="L14" s="21"/>
      <c r="M14" s="21">
        <f t="shared" si="0"/>
        <v>15395.66275030102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0.18572134940335386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20.268373439047615</v>
      </c>
      <c r="C18" s="23"/>
      <c r="D18" s="23">
        <f t="shared" ref="D18:M18" si="1">D14*D16</f>
        <v>43.625389340767285</v>
      </c>
      <c r="E18" s="23">
        <f t="shared" si="1"/>
        <v>234.27473462823031</v>
      </c>
      <c r="F18" s="23"/>
      <c r="G18" s="23">
        <f t="shared" si="1"/>
        <v>111676.3011549972</v>
      </c>
      <c r="H18" s="23">
        <f t="shared" si="1"/>
        <v>18586.836912832681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5.3820687442002274E-2</v>
      </c>
      <c r="H50" s="319">
        <f t="shared" si="2"/>
        <v>0</v>
      </c>
      <c r="I50" s="319">
        <f t="shared" si="2"/>
        <v>0</v>
      </c>
      <c r="J50" s="319">
        <f t="shared" si="2"/>
        <v>0</v>
      </c>
      <c r="K50" s="319">
        <f t="shared" si="2"/>
        <v>0</v>
      </c>
      <c r="L50" s="319">
        <f t="shared" si="2"/>
        <v>0</v>
      </c>
      <c r="M50" s="319">
        <f t="shared" si="2"/>
        <v>1.6672899260837262E-3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5.3820687442002274E-2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1.6672899260837262E-3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14950.190956111743</v>
      </c>
      <c r="H54" s="21">
        <f t="shared" si="3"/>
        <v>0</v>
      </c>
      <c r="I54" s="21">
        <f t="shared" si="3"/>
        <v>0</v>
      </c>
      <c r="J54" s="21">
        <f t="shared" si="3"/>
        <v>0</v>
      </c>
      <c r="K54" s="21">
        <f t="shared" si="3"/>
        <v>0</v>
      </c>
      <c r="L54" s="21">
        <f t="shared" si="3"/>
        <v>0</v>
      </c>
      <c r="M54" s="21">
        <f t="shared" si="3"/>
        <v>463.1360905788128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0.18572134940335386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3991.7009852818355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155187.11599999998</v>
      </c>
      <c r="D10" s="978">
        <f ca="1">tertiair!C16</f>
        <v>205.71428571428572</v>
      </c>
      <c r="E10" s="978">
        <f ca="1">tertiair!D16</f>
        <v>122639.59273057144</v>
      </c>
      <c r="F10" s="978">
        <f>tertiair!E16</f>
        <v>2415.9207825185695</v>
      </c>
      <c r="G10" s="978">
        <f ca="1">tertiair!F16</f>
        <v>36560.406654188482</v>
      </c>
      <c r="H10" s="978">
        <f>tertiair!G16</f>
        <v>0</v>
      </c>
      <c r="I10" s="978">
        <f>tertiair!H16</f>
        <v>0</v>
      </c>
      <c r="J10" s="978">
        <f>tertiair!I16</f>
        <v>0</v>
      </c>
      <c r="K10" s="978">
        <f>tertiair!J16</f>
        <v>0</v>
      </c>
      <c r="L10" s="978">
        <f>tertiair!K16</f>
        <v>0</v>
      </c>
      <c r="M10" s="978">
        <f ca="1">tertiair!L16</f>
        <v>0</v>
      </c>
      <c r="N10" s="978">
        <f>tertiair!M16</f>
        <v>0</v>
      </c>
      <c r="O10" s="978">
        <f ca="1">tertiair!N16</f>
        <v>8639.1861186028109</v>
      </c>
      <c r="P10" s="978">
        <f>tertiair!O16</f>
        <v>4.6900000000000004</v>
      </c>
      <c r="Q10" s="979">
        <f>tertiair!P16</f>
        <v>95.333333333333343</v>
      </c>
      <c r="R10" s="674">
        <f ca="1">SUM(C10:Q10)</f>
        <v>325747.95990492887</v>
      </c>
      <c r="S10" s="67"/>
    </row>
    <row r="11" spans="1:19" s="447" customFormat="1">
      <c r="A11" s="783" t="s">
        <v>224</v>
      </c>
      <c r="B11" s="788"/>
      <c r="C11" s="978">
        <f>huishoudens!B8</f>
        <v>121998.99053769061</v>
      </c>
      <c r="D11" s="978">
        <f>huishoudens!C8</f>
        <v>0</v>
      </c>
      <c r="E11" s="978">
        <f>huishoudens!D8</f>
        <v>157820.76708200001</v>
      </c>
      <c r="F11" s="978">
        <f>huishoudens!E8</f>
        <v>10286.719123670229</v>
      </c>
      <c r="G11" s="978">
        <f>huishoudens!F8</f>
        <v>116579.89665793483</v>
      </c>
      <c r="H11" s="978">
        <f>huishoudens!G8</f>
        <v>0</v>
      </c>
      <c r="I11" s="978">
        <f>huishoudens!H8</f>
        <v>0</v>
      </c>
      <c r="J11" s="978">
        <f>huishoudens!I8</f>
        <v>0</v>
      </c>
      <c r="K11" s="978">
        <f>huishoudens!J8</f>
        <v>0</v>
      </c>
      <c r="L11" s="978">
        <f>huishoudens!K8</f>
        <v>0</v>
      </c>
      <c r="M11" s="978">
        <f>huishoudens!L8</f>
        <v>0</v>
      </c>
      <c r="N11" s="978">
        <f>huishoudens!M8</f>
        <v>0</v>
      </c>
      <c r="O11" s="978">
        <f>huishoudens!N8</f>
        <v>10247.489048377429</v>
      </c>
      <c r="P11" s="978">
        <f>huishoudens!O8</f>
        <v>1277.2433333333333</v>
      </c>
      <c r="Q11" s="979">
        <f>huishoudens!P8</f>
        <v>2364.2666666666664</v>
      </c>
      <c r="R11" s="674">
        <f>SUM(C11:Q11)</f>
        <v>420575.37244967313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243882.41399999996</v>
      </c>
      <c r="D13" s="978">
        <f>industrie!C18</f>
        <v>0</v>
      </c>
      <c r="E13" s="978">
        <f>industrie!D18</f>
        <v>84329.010986000008</v>
      </c>
      <c r="F13" s="978">
        <f>industrie!E18</f>
        <v>31189.559544421943</v>
      </c>
      <c r="G13" s="978">
        <f>industrie!F18</f>
        <v>117605.56860369243</v>
      </c>
      <c r="H13" s="978">
        <f>industrie!G18</f>
        <v>0</v>
      </c>
      <c r="I13" s="978">
        <f>industrie!H18</f>
        <v>0</v>
      </c>
      <c r="J13" s="978">
        <f>industrie!I18</f>
        <v>0</v>
      </c>
      <c r="K13" s="978">
        <f>industrie!J18</f>
        <v>1055.3050782972741</v>
      </c>
      <c r="L13" s="978">
        <f>industrie!K18</f>
        <v>0</v>
      </c>
      <c r="M13" s="978">
        <f>industrie!L18</f>
        <v>0</v>
      </c>
      <c r="N13" s="978">
        <f>industrie!M18</f>
        <v>0</v>
      </c>
      <c r="O13" s="978">
        <f>industrie!N18</f>
        <v>18794.292970367958</v>
      </c>
      <c r="P13" s="978">
        <f>industrie!O18</f>
        <v>0</v>
      </c>
      <c r="Q13" s="979">
        <f>industrie!P18</f>
        <v>0</v>
      </c>
      <c r="R13" s="674">
        <f>SUM(C13:Q13)</f>
        <v>496856.15118277958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521068.52053769061</v>
      </c>
      <c r="D16" s="706">
        <f t="shared" ref="D16:R16" ca="1" si="0">SUM(D9:D15)</f>
        <v>205.71428571428572</v>
      </c>
      <c r="E16" s="706">
        <f t="shared" ca="1" si="0"/>
        <v>364789.37079857144</v>
      </c>
      <c r="F16" s="706">
        <f t="shared" si="0"/>
        <v>43892.199450610744</v>
      </c>
      <c r="G16" s="706">
        <f t="shared" ca="1" si="0"/>
        <v>270745.87191581575</v>
      </c>
      <c r="H16" s="706">
        <f t="shared" si="0"/>
        <v>0</v>
      </c>
      <c r="I16" s="706">
        <f t="shared" si="0"/>
        <v>0</v>
      </c>
      <c r="J16" s="706">
        <f t="shared" si="0"/>
        <v>0</v>
      </c>
      <c r="K16" s="706">
        <f t="shared" si="0"/>
        <v>1055.3050782972741</v>
      </c>
      <c r="L16" s="706">
        <f t="shared" si="0"/>
        <v>0</v>
      </c>
      <c r="M16" s="706">
        <f t="shared" ca="1" si="0"/>
        <v>0</v>
      </c>
      <c r="N16" s="706">
        <f t="shared" si="0"/>
        <v>0</v>
      </c>
      <c r="O16" s="706">
        <f t="shared" ca="1" si="0"/>
        <v>37680.968137348202</v>
      </c>
      <c r="P16" s="706">
        <f t="shared" si="0"/>
        <v>1281.9333333333334</v>
      </c>
      <c r="Q16" s="706">
        <f t="shared" si="0"/>
        <v>2459.6</v>
      </c>
      <c r="R16" s="706">
        <f t="shared" ca="1" si="0"/>
        <v>1243179.4835373815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14950.190956111743</v>
      </c>
      <c r="I19" s="978">
        <f>transport!H54</f>
        <v>0</v>
      </c>
      <c r="J19" s="978">
        <f>transport!I54</f>
        <v>0</v>
      </c>
      <c r="K19" s="978">
        <f>transport!J54</f>
        <v>0</v>
      </c>
      <c r="L19" s="978">
        <f>transport!K54</f>
        <v>0</v>
      </c>
      <c r="M19" s="978">
        <f>transport!L54</f>
        <v>0</v>
      </c>
      <c r="N19" s="978">
        <f>transport!M54</f>
        <v>463.1360905788128</v>
      </c>
      <c r="O19" s="978">
        <f>transport!N54</f>
        <v>0</v>
      </c>
      <c r="P19" s="978">
        <f>transport!O54</f>
        <v>0</v>
      </c>
      <c r="Q19" s="979">
        <f>transport!P54</f>
        <v>0</v>
      </c>
      <c r="R19" s="674">
        <f>SUM(C19:Q19)</f>
        <v>15413.327046690556</v>
      </c>
      <c r="S19" s="67"/>
    </row>
    <row r="20" spans="1:19" s="447" customFormat="1">
      <c r="A20" s="783" t="s">
        <v>306</v>
      </c>
      <c r="B20" s="788"/>
      <c r="C20" s="978">
        <f>transport!B14</f>
        <v>109.13324453091442</v>
      </c>
      <c r="D20" s="978">
        <f>transport!C14</f>
        <v>0</v>
      </c>
      <c r="E20" s="978">
        <f>transport!D14</f>
        <v>215.96727396419448</v>
      </c>
      <c r="F20" s="978">
        <f>transport!E14</f>
        <v>1032.0472891111467</v>
      </c>
      <c r="G20" s="978">
        <f>transport!F14</f>
        <v>0</v>
      </c>
      <c r="H20" s="978">
        <f>transport!G14</f>
        <v>418263.300205982</v>
      </c>
      <c r="I20" s="978">
        <f>transport!H14</f>
        <v>74645.931376838082</v>
      </c>
      <c r="J20" s="978">
        <f>transport!I14</f>
        <v>0</v>
      </c>
      <c r="K20" s="978">
        <f>transport!J14</f>
        <v>0</v>
      </c>
      <c r="L20" s="978">
        <f>transport!K14</f>
        <v>0</v>
      </c>
      <c r="M20" s="978">
        <f>transport!L14</f>
        <v>0</v>
      </c>
      <c r="N20" s="978">
        <f>transport!M14</f>
        <v>15395.66275030102</v>
      </c>
      <c r="O20" s="978">
        <f>transport!N14</f>
        <v>0</v>
      </c>
      <c r="P20" s="978">
        <f>transport!O14</f>
        <v>0</v>
      </c>
      <c r="Q20" s="979">
        <f>transport!P14</f>
        <v>0</v>
      </c>
      <c r="R20" s="674">
        <f>SUM(C20:Q20)</f>
        <v>509662.04214072734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109.13324453091442</v>
      </c>
      <c r="D22" s="786">
        <f t="shared" ref="D22:R22" si="1">SUM(D18:D21)</f>
        <v>0</v>
      </c>
      <c r="E22" s="786">
        <f t="shared" si="1"/>
        <v>215.96727396419448</v>
      </c>
      <c r="F22" s="786">
        <f t="shared" si="1"/>
        <v>1032.0472891111467</v>
      </c>
      <c r="G22" s="786">
        <f t="shared" si="1"/>
        <v>0</v>
      </c>
      <c r="H22" s="786">
        <f t="shared" si="1"/>
        <v>433213.49116209376</v>
      </c>
      <c r="I22" s="786">
        <f t="shared" si="1"/>
        <v>74645.931376838082</v>
      </c>
      <c r="J22" s="786">
        <f t="shared" si="1"/>
        <v>0</v>
      </c>
      <c r="K22" s="786">
        <f t="shared" si="1"/>
        <v>0</v>
      </c>
      <c r="L22" s="786">
        <f t="shared" si="1"/>
        <v>0</v>
      </c>
      <c r="M22" s="786">
        <f t="shared" si="1"/>
        <v>0</v>
      </c>
      <c r="N22" s="786">
        <f t="shared" si="1"/>
        <v>15858.798840879834</v>
      </c>
      <c r="O22" s="786">
        <f t="shared" si="1"/>
        <v>0</v>
      </c>
      <c r="P22" s="786">
        <f t="shared" si="1"/>
        <v>0</v>
      </c>
      <c r="Q22" s="786">
        <f t="shared" si="1"/>
        <v>0</v>
      </c>
      <c r="R22" s="786">
        <f t="shared" si="1"/>
        <v>525075.36918741791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597.28499999999997</v>
      </c>
      <c r="D24" s="978">
        <f>+landbouw!C8</f>
        <v>0</v>
      </c>
      <c r="E24" s="978">
        <f>+landbouw!D8</f>
        <v>506.21953800000006</v>
      </c>
      <c r="F24" s="978">
        <f>+landbouw!E8</f>
        <v>15.401686840740393</v>
      </c>
      <c r="G24" s="978">
        <f>+landbouw!F8</f>
        <v>2183.1904224027267</v>
      </c>
      <c r="H24" s="978">
        <f>+landbouw!G8</f>
        <v>0</v>
      </c>
      <c r="I24" s="978">
        <f>+landbouw!H8</f>
        <v>0</v>
      </c>
      <c r="J24" s="978">
        <f>+landbouw!I8</f>
        <v>0</v>
      </c>
      <c r="K24" s="978">
        <f>+landbouw!J8</f>
        <v>85.987067881529498</v>
      </c>
      <c r="L24" s="978">
        <f>+landbouw!K8</f>
        <v>0</v>
      </c>
      <c r="M24" s="978">
        <f>+landbouw!L8</f>
        <v>0</v>
      </c>
      <c r="N24" s="978">
        <f>+landbouw!M8</f>
        <v>0</v>
      </c>
      <c r="O24" s="978">
        <f>+landbouw!N8</f>
        <v>0</v>
      </c>
      <c r="P24" s="978">
        <f>+landbouw!O8</f>
        <v>0</v>
      </c>
      <c r="Q24" s="979">
        <f>+landbouw!P8</f>
        <v>0</v>
      </c>
      <c r="R24" s="674">
        <f>SUM(C24:Q24)</f>
        <v>3388.0837151249971</v>
      </c>
      <c r="S24" s="67"/>
    </row>
    <row r="25" spans="1:19" s="447" customFormat="1" ht="15" thickBot="1">
      <c r="A25" s="805" t="s">
        <v>834</v>
      </c>
      <c r="B25" s="981"/>
      <c r="C25" s="982">
        <f>IF(Onbekend_ele_kWh="---",0,Onbekend_ele_kWh)/1000+IF(REST_rest_ele_kWh="---",0,REST_rest_ele_kWh)/1000</f>
        <v>4257.9960000000001</v>
      </c>
      <c r="D25" s="982"/>
      <c r="E25" s="982">
        <f>IF(onbekend_gas_kWh="---",0,onbekend_gas_kWh)/1000+IF(REST_rest_gas_kWh="---",0,REST_rest_gas_kWh)/1000</f>
        <v>5275.7479999999996</v>
      </c>
      <c r="F25" s="982"/>
      <c r="G25" s="982"/>
      <c r="H25" s="982"/>
      <c r="I25" s="982"/>
      <c r="J25" s="982"/>
      <c r="K25" s="982"/>
      <c r="L25" s="982"/>
      <c r="M25" s="982"/>
      <c r="N25" s="982"/>
      <c r="O25" s="982"/>
      <c r="P25" s="982"/>
      <c r="Q25" s="983"/>
      <c r="R25" s="674">
        <f>SUM(C25:Q25)</f>
        <v>9533.7439999999988</v>
      </c>
      <c r="S25" s="67"/>
    </row>
    <row r="26" spans="1:19" s="447" customFormat="1" ht="15.75" thickBot="1">
      <c r="A26" s="679" t="s">
        <v>835</v>
      </c>
      <c r="B26" s="791"/>
      <c r="C26" s="786">
        <f>SUM(C24:C25)</f>
        <v>4855.2809999999999</v>
      </c>
      <c r="D26" s="786">
        <f t="shared" ref="D26:R26" si="2">SUM(D24:D25)</f>
        <v>0</v>
      </c>
      <c r="E26" s="786">
        <f t="shared" si="2"/>
        <v>5781.9675379999999</v>
      </c>
      <c r="F26" s="786">
        <f t="shared" si="2"/>
        <v>15.401686840740393</v>
      </c>
      <c r="G26" s="786">
        <f t="shared" si="2"/>
        <v>2183.1904224027267</v>
      </c>
      <c r="H26" s="786">
        <f t="shared" si="2"/>
        <v>0</v>
      </c>
      <c r="I26" s="786">
        <f t="shared" si="2"/>
        <v>0</v>
      </c>
      <c r="J26" s="786">
        <f t="shared" si="2"/>
        <v>0</v>
      </c>
      <c r="K26" s="786">
        <f t="shared" si="2"/>
        <v>85.987067881529498</v>
      </c>
      <c r="L26" s="786">
        <f t="shared" si="2"/>
        <v>0</v>
      </c>
      <c r="M26" s="786">
        <f t="shared" si="2"/>
        <v>0</v>
      </c>
      <c r="N26" s="786">
        <f t="shared" si="2"/>
        <v>0</v>
      </c>
      <c r="O26" s="786">
        <f t="shared" si="2"/>
        <v>0</v>
      </c>
      <c r="P26" s="786">
        <f t="shared" si="2"/>
        <v>0</v>
      </c>
      <c r="Q26" s="786">
        <f t="shared" si="2"/>
        <v>0</v>
      </c>
      <c r="R26" s="786">
        <f t="shared" si="2"/>
        <v>12921.827715124997</v>
      </c>
      <c r="S26" s="67"/>
    </row>
    <row r="27" spans="1:19" s="447" customFormat="1" ht="17.25" thickTop="1" thickBot="1">
      <c r="A27" s="680" t="s">
        <v>115</v>
      </c>
      <c r="B27" s="779"/>
      <c r="C27" s="681">
        <f ca="1">C22+C16+C26</f>
        <v>526032.93478222156</v>
      </c>
      <c r="D27" s="681">
        <f t="shared" ref="D27:R27" ca="1" si="3">D22+D16+D26</f>
        <v>205.71428571428572</v>
      </c>
      <c r="E27" s="681">
        <f t="shared" ca="1" si="3"/>
        <v>370787.30561053567</v>
      </c>
      <c r="F27" s="681">
        <f t="shared" si="3"/>
        <v>44939.648426562635</v>
      </c>
      <c r="G27" s="681">
        <f t="shared" ca="1" si="3"/>
        <v>272929.0623382185</v>
      </c>
      <c r="H27" s="681">
        <f t="shared" si="3"/>
        <v>433213.49116209376</v>
      </c>
      <c r="I27" s="681">
        <f t="shared" si="3"/>
        <v>74645.931376838082</v>
      </c>
      <c r="J27" s="681">
        <f t="shared" si="3"/>
        <v>0</v>
      </c>
      <c r="K27" s="681">
        <f t="shared" si="3"/>
        <v>1141.2921461788037</v>
      </c>
      <c r="L27" s="681">
        <f t="shared" si="3"/>
        <v>0</v>
      </c>
      <c r="M27" s="681">
        <f t="shared" ca="1" si="3"/>
        <v>0</v>
      </c>
      <c r="N27" s="681">
        <f t="shared" si="3"/>
        <v>15858.798840879834</v>
      </c>
      <c r="O27" s="681">
        <f t="shared" ca="1" si="3"/>
        <v>37680.968137348202</v>
      </c>
      <c r="P27" s="681">
        <f t="shared" si="3"/>
        <v>1281.9333333333334</v>
      </c>
      <c r="Q27" s="681">
        <f t="shared" si="3"/>
        <v>2459.6</v>
      </c>
      <c r="R27" s="681">
        <f t="shared" ca="1" si="3"/>
        <v>1781176.6804399244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28821.560593534803</v>
      </c>
      <c r="D40" s="978">
        <f ca="1">tertiair!C20</f>
        <v>48.887394957983197</v>
      </c>
      <c r="E40" s="978">
        <f ca="1">tertiair!D20</f>
        <v>24773.197731575434</v>
      </c>
      <c r="F40" s="978">
        <f>tertiair!E20</f>
        <v>548.4140176317153</v>
      </c>
      <c r="G40" s="978">
        <f ca="1">tertiair!F20</f>
        <v>9761.628576668325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63953.688314368264</v>
      </c>
    </row>
    <row r="41" spans="1:18">
      <c r="A41" s="796" t="s">
        <v>224</v>
      </c>
      <c r="B41" s="803"/>
      <c r="C41" s="978">
        <f ca="1">huishoudens!B12</f>
        <v>22657.8171485069</v>
      </c>
      <c r="D41" s="978">
        <f ca="1">huishoudens!C12</f>
        <v>0</v>
      </c>
      <c r="E41" s="978">
        <f>huishoudens!D12</f>
        <v>31879.794950564003</v>
      </c>
      <c r="F41" s="978">
        <f>huishoudens!E12</f>
        <v>2335.0852410731422</v>
      </c>
      <c r="G41" s="978">
        <f>huishoudens!F12</f>
        <v>31126.832407668604</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87999.529747812659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45294.171023827388</v>
      </c>
      <c r="D43" s="978">
        <f ca="1">industrie!C22</f>
        <v>0</v>
      </c>
      <c r="E43" s="978">
        <f>industrie!D22</f>
        <v>17034.460219172004</v>
      </c>
      <c r="F43" s="978">
        <f>industrie!E22</f>
        <v>7080.0300165837816</v>
      </c>
      <c r="G43" s="978">
        <f>industrie!F22</f>
        <v>31400.68681718588</v>
      </c>
      <c r="H43" s="978">
        <f>industrie!G22</f>
        <v>0</v>
      </c>
      <c r="I43" s="978">
        <f>industrie!H22</f>
        <v>0</v>
      </c>
      <c r="J43" s="978">
        <f>industrie!I22</f>
        <v>0</v>
      </c>
      <c r="K43" s="978">
        <f>industrie!J22</f>
        <v>373.57799771723501</v>
      </c>
      <c r="L43" s="978">
        <f>industrie!K22</f>
        <v>0</v>
      </c>
      <c r="M43" s="978">
        <f>industrie!L22</f>
        <v>0</v>
      </c>
      <c r="N43" s="978">
        <f>industrie!M22</f>
        <v>0</v>
      </c>
      <c r="O43" s="978">
        <f>industrie!N22</f>
        <v>0</v>
      </c>
      <c r="P43" s="978">
        <f>industrie!O22</f>
        <v>0</v>
      </c>
      <c r="Q43" s="748">
        <f>industrie!P22</f>
        <v>0</v>
      </c>
      <c r="R43" s="823">
        <f t="shared" ca="1" si="4"/>
        <v>101182.92607448628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96773.548765869084</v>
      </c>
      <c r="D46" s="706">
        <f t="shared" ref="D46:Q46" ca="1" si="5">SUM(D39:D45)</f>
        <v>48.887394957983197</v>
      </c>
      <c r="E46" s="706">
        <f t="shared" ca="1" si="5"/>
        <v>73687.452901311437</v>
      </c>
      <c r="F46" s="706">
        <f t="shared" si="5"/>
        <v>9963.529275288638</v>
      </c>
      <c r="G46" s="706">
        <f t="shared" ca="1" si="5"/>
        <v>72289.147801522806</v>
      </c>
      <c r="H46" s="706">
        <f t="shared" si="5"/>
        <v>0</v>
      </c>
      <c r="I46" s="706">
        <f t="shared" si="5"/>
        <v>0</v>
      </c>
      <c r="J46" s="706">
        <f t="shared" si="5"/>
        <v>0</v>
      </c>
      <c r="K46" s="706">
        <f t="shared" si="5"/>
        <v>373.57799771723501</v>
      </c>
      <c r="L46" s="706">
        <f t="shared" si="5"/>
        <v>0</v>
      </c>
      <c r="M46" s="706">
        <f t="shared" ca="1" si="5"/>
        <v>0</v>
      </c>
      <c r="N46" s="706">
        <f t="shared" si="5"/>
        <v>0</v>
      </c>
      <c r="O46" s="706">
        <f t="shared" ca="1" si="5"/>
        <v>0</v>
      </c>
      <c r="P46" s="706">
        <f t="shared" si="5"/>
        <v>0</v>
      </c>
      <c r="Q46" s="706">
        <f t="shared" si="5"/>
        <v>0</v>
      </c>
      <c r="R46" s="706">
        <f ca="1">SUM(R39:R45)</f>
        <v>253136.14413666719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3991.7009852818355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3991.7009852818355</v>
      </c>
    </row>
    <row r="50" spans="1:18">
      <c r="A50" s="799" t="s">
        <v>306</v>
      </c>
      <c r="B50" s="809"/>
      <c r="C50" s="677">
        <f ca="1">transport!B18</f>
        <v>20.268373439047615</v>
      </c>
      <c r="D50" s="677">
        <f>transport!C18</f>
        <v>0</v>
      </c>
      <c r="E50" s="677">
        <f>transport!D18</f>
        <v>43.625389340767285</v>
      </c>
      <c r="F50" s="677">
        <f>transport!E18</f>
        <v>234.27473462823031</v>
      </c>
      <c r="G50" s="677">
        <f>transport!F18</f>
        <v>0</v>
      </c>
      <c r="H50" s="677">
        <f>transport!G18</f>
        <v>111676.3011549972</v>
      </c>
      <c r="I50" s="677">
        <f>transport!H18</f>
        <v>18586.836912832681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130561.30656523793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20.268373439047615</v>
      </c>
      <c r="D52" s="706">
        <f t="shared" ref="D52:Q52" ca="1" si="6">SUM(D48:D51)</f>
        <v>0</v>
      </c>
      <c r="E52" s="706">
        <f t="shared" si="6"/>
        <v>43.625389340767285</v>
      </c>
      <c r="F52" s="706">
        <f t="shared" si="6"/>
        <v>234.27473462823031</v>
      </c>
      <c r="G52" s="706">
        <f t="shared" si="6"/>
        <v>0</v>
      </c>
      <c r="H52" s="706">
        <f t="shared" si="6"/>
        <v>115668.00214027903</v>
      </c>
      <c r="I52" s="706">
        <f t="shared" si="6"/>
        <v>18586.836912832681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134553.00755051977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110.9285761783822</v>
      </c>
      <c r="D54" s="677">
        <f ca="1">+landbouw!C12</f>
        <v>0</v>
      </c>
      <c r="E54" s="677">
        <f>+landbouw!D12</f>
        <v>102.25634667600002</v>
      </c>
      <c r="F54" s="677">
        <f>+landbouw!E12</f>
        <v>3.4961829128480693</v>
      </c>
      <c r="G54" s="677">
        <f>+landbouw!F12</f>
        <v>582.91184278152809</v>
      </c>
      <c r="H54" s="677">
        <f>+landbouw!G12</f>
        <v>0</v>
      </c>
      <c r="I54" s="677">
        <f>+landbouw!H12</f>
        <v>0</v>
      </c>
      <c r="J54" s="677">
        <f>+landbouw!I12</f>
        <v>0</v>
      </c>
      <c r="K54" s="677">
        <f>+landbouw!J12</f>
        <v>30.43942203006144</v>
      </c>
      <c r="L54" s="677">
        <f>+landbouw!K12</f>
        <v>0</v>
      </c>
      <c r="M54" s="677">
        <f>+landbouw!L12</f>
        <v>0</v>
      </c>
      <c r="N54" s="677">
        <f>+landbouw!M12</f>
        <v>0</v>
      </c>
      <c r="O54" s="677">
        <f>+landbouw!N12</f>
        <v>0</v>
      </c>
      <c r="P54" s="677">
        <f>+landbouw!O12</f>
        <v>0</v>
      </c>
      <c r="Q54" s="678">
        <f>+landbouw!P12</f>
        <v>0</v>
      </c>
      <c r="R54" s="705">
        <f ca="1">SUM(C54:Q54)</f>
        <v>830.03237057881984</v>
      </c>
    </row>
    <row r="55" spans="1:18" ht="15" thickBot="1">
      <c r="A55" s="799" t="s">
        <v>834</v>
      </c>
      <c r="B55" s="809"/>
      <c r="C55" s="677">
        <f ca="1">C25*'EF ele_warmte'!B12</f>
        <v>790.80076287408315</v>
      </c>
      <c r="D55" s="677"/>
      <c r="E55" s="677">
        <f>E25*EF_CO2_aardgas</f>
        <v>1065.701096</v>
      </c>
      <c r="F55" s="677"/>
      <c r="G55" s="677"/>
      <c r="H55" s="677"/>
      <c r="I55" s="677"/>
      <c r="J55" s="677"/>
      <c r="K55" s="677"/>
      <c r="L55" s="677"/>
      <c r="M55" s="677"/>
      <c r="N55" s="677"/>
      <c r="O55" s="677"/>
      <c r="P55" s="677"/>
      <c r="Q55" s="678"/>
      <c r="R55" s="705">
        <f ca="1">SUM(C55:Q55)</f>
        <v>1856.5018588740832</v>
      </c>
    </row>
    <row r="56" spans="1:18" ht="15.75" thickBot="1">
      <c r="A56" s="797" t="s">
        <v>835</v>
      </c>
      <c r="B56" s="810"/>
      <c r="C56" s="706">
        <f ca="1">SUM(C54:C55)</f>
        <v>901.72933905246532</v>
      </c>
      <c r="D56" s="706">
        <f t="shared" ref="D56:Q56" ca="1" si="7">SUM(D54:D55)</f>
        <v>0</v>
      </c>
      <c r="E56" s="706">
        <f t="shared" si="7"/>
        <v>1167.957442676</v>
      </c>
      <c r="F56" s="706">
        <f t="shared" si="7"/>
        <v>3.4961829128480693</v>
      </c>
      <c r="G56" s="706">
        <f t="shared" si="7"/>
        <v>582.91184278152809</v>
      </c>
      <c r="H56" s="706">
        <f t="shared" si="7"/>
        <v>0</v>
      </c>
      <c r="I56" s="706">
        <f t="shared" si="7"/>
        <v>0</v>
      </c>
      <c r="J56" s="706">
        <f t="shared" si="7"/>
        <v>0</v>
      </c>
      <c r="K56" s="706">
        <f t="shared" si="7"/>
        <v>30.43942203006144</v>
      </c>
      <c r="L56" s="706">
        <f t="shared" si="7"/>
        <v>0</v>
      </c>
      <c r="M56" s="706">
        <f t="shared" si="7"/>
        <v>0</v>
      </c>
      <c r="N56" s="706">
        <f t="shared" si="7"/>
        <v>0</v>
      </c>
      <c r="O56" s="706">
        <f t="shared" si="7"/>
        <v>0</v>
      </c>
      <c r="P56" s="706">
        <f t="shared" si="7"/>
        <v>0</v>
      </c>
      <c r="Q56" s="707">
        <f t="shared" si="7"/>
        <v>0</v>
      </c>
      <c r="R56" s="708">
        <f ca="1">SUM(R54:R55)</f>
        <v>2686.5342294529028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97695.5464783606</v>
      </c>
      <c r="D61" s="714">
        <f t="shared" ref="D61:Q61" ca="1" si="8">D46+D52+D56</f>
        <v>48.887394957983197</v>
      </c>
      <c r="E61" s="714">
        <f t="shared" ca="1" si="8"/>
        <v>74899.035733328201</v>
      </c>
      <c r="F61" s="714">
        <f t="shared" si="8"/>
        <v>10201.300192829716</v>
      </c>
      <c r="G61" s="714">
        <f t="shared" ca="1" si="8"/>
        <v>72872.059644304332</v>
      </c>
      <c r="H61" s="714">
        <f t="shared" si="8"/>
        <v>115668.00214027903</v>
      </c>
      <c r="I61" s="714">
        <f t="shared" si="8"/>
        <v>18586.836912832681</v>
      </c>
      <c r="J61" s="714">
        <f t="shared" si="8"/>
        <v>0</v>
      </c>
      <c r="K61" s="714">
        <f t="shared" si="8"/>
        <v>404.01741974729646</v>
      </c>
      <c r="L61" s="714">
        <f t="shared" si="8"/>
        <v>0</v>
      </c>
      <c r="M61" s="714">
        <f t="shared" ca="1" si="8"/>
        <v>0</v>
      </c>
      <c r="N61" s="714">
        <f t="shared" si="8"/>
        <v>0</v>
      </c>
      <c r="O61" s="714">
        <f t="shared" ca="1" si="8"/>
        <v>0</v>
      </c>
      <c r="P61" s="714">
        <f t="shared" si="8"/>
        <v>0</v>
      </c>
      <c r="Q61" s="714">
        <f t="shared" si="8"/>
        <v>0</v>
      </c>
      <c r="R61" s="714">
        <f ca="1">R46+R52+R56</f>
        <v>390375.68591663986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0.1857213494033538</v>
      </c>
      <c r="D63" s="755">
        <f t="shared" ca="1" si="9"/>
        <v>0.23764705882352943</v>
      </c>
      <c r="E63" s="989">
        <f t="shared" ca="1" si="9"/>
        <v>0.20199999999999999</v>
      </c>
      <c r="F63" s="755">
        <f t="shared" si="9"/>
        <v>0.22699999999999995</v>
      </c>
      <c r="G63" s="755">
        <f t="shared" ca="1" si="9"/>
        <v>0.26699999999999996</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46477.481623838197</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35885.003828564215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144</v>
      </c>
      <c r="D76" s="999">
        <f>'lokale energieproductie'!C8</f>
        <v>169.41176470588235</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34.221176470588233</v>
      </c>
      <c r="R76" s="826">
        <v>0</v>
      </c>
    </row>
    <row r="77" spans="1:18" ht="30.75" thickBot="1">
      <c r="A77" s="727" t="s">
        <v>352</v>
      </c>
      <c r="B77" s="724">
        <f>'lokale energieproductie'!B9*IFERROR(SUM(I77:O77)/SUM(D77:O77),0)</f>
        <v>1620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4628.5714285714284</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83982.485452402412</v>
      </c>
      <c r="C78" s="729">
        <f>SUM(C72:C77)</f>
        <v>144</v>
      </c>
      <c r="D78" s="730">
        <f t="shared" ref="D78:H78" si="10">SUM(D76:D77)</f>
        <v>169.41176470588235</v>
      </c>
      <c r="E78" s="730">
        <f t="shared" si="10"/>
        <v>0</v>
      </c>
      <c r="F78" s="730">
        <f t="shared" si="10"/>
        <v>0</v>
      </c>
      <c r="G78" s="730">
        <f t="shared" si="10"/>
        <v>0</v>
      </c>
      <c r="H78" s="730">
        <f t="shared" si="10"/>
        <v>0</v>
      </c>
      <c r="I78" s="730">
        <f>SUM(I76:I77)</f>
        <v>0</v>
      </c>
      <c r="J78" s="730">
        <f>SUM(J76:J77)</f>
        <v>4628.5714285714284</v>
      </c>
      <c r="K78" s="730">
        <f t="shared" ref="K78:L78" si="11">SUM(K76:K77)</f>
        <v>0</v>
      </c>
      <c r="L78" s="730">
        <f t="shared" si="11"/>
        <v>0</v>
      </c>
      <c r="M78" s="730">
        <f>SUM(M76:M77)</f>
        <v>0</v>
      </c>
      <c r="N78" s="730">
        <f>SUM(N76:N77)</f>
        <v>0</v>
      </c>
      <c r="O78" s="834">
        <f>SUM(O76:O77)</f>
        <v>0</v>
      </c>
      <c r="P78" s="731">
        <v>0</v>
      </c>
      <c r="Q78" s="731">
        <f>SUM(Q76:Q77)</f>
        <v>34.221176470588233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205.71428571428572</v>
      </c>
      <c r="D87" s="751">
        <f>'lokale energieproductie'!C17</f>
        <v>242.0168067226891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48.887394957983197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205.71428571428572</v>
      </c>
      <c r="D90" s="729">
        <f t="shared" ref="D90:H90" si="12">SUM(D87:D89)</f>
        <v>242.0168067226891</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48.887394957983197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46477.481623838197</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35885.003828564215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144</v>
      </c>
      <c r="C8" s="544">
        <f>B49</f>
        <v>169.41176470588235</v>
      </c>
      <c r="D8" s="1009"/>
      <c r="E8" s="1009">
        <f>E49</f>
        <v>0</v>
      </c>
      <c r="F8" s="1010"/>
      <c r="G8" s="545"/>
      <c r="H8" s="1009">
        <f>I49</f>
        <v>0</v>
      </c>
      <c r="I8" s="1009">
        <f>G49+F49</f>
        <v>0</v>
      </c>
      <c r="J8" s="1009">
        <f>H49+D49+C49</f>
        <v>0</v>
      </c>
      <c r="K8" s="1009"/>
      <c r="L8" s="1009"/>
      <c r="M8" s="1009"/>
      <c r="N8" s="546"/>
      <c r="O8" s="547">
        <f>C8*$C$12+D8*$D$12+E8*$E$12+F8*$F$12+G8*$G$12+H8*$H$12+I8*$I$12+J8*$J$12</f>
        <v>34.221176470588233</v>
      </c>
      <c r="P8" s="1239"/>
      <c r="Q8" s="1240"/>
      <c r="S8" s="973"/>
      <c r="T8" s="1260"/>
      <c r="U8" s="1260"/>
    </row>
    <row r="9" spans="1:21" s="533" customFormat="1" ht="17.45" customHeight="1" thickBot="1">
      <c r="A9" s="548" t="s">
        <v>247</v>
      </c>
      <c r="B9" s="549">
        <f>N37+'Eigen informatie GS &amp; warmtenet'!B12</f>
        <v>1620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4628.5714285714284</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84126.485452402412</v>
      </c>
      <c r="C10" s="557">
        <f t="shared" ref="C10:L10" si="0">SUM(C8:C9)</f>
        <v>169.41176470588235</v>
      </c>
      <c r="D10" s="557">
        <f t="shared" si="0"/>
        <v>0</v>
      </c>
      <c r="E10" s="557">
        <f t="shared" si="0"/>
        <v>0</v>
      </c>
      <c r="F10" s="557">
        <f t="shared" si="0"/>
        <v>0</v>
      </c>
      <c r="G10" s="557">
        <f t="shared" si="0"/>
        <v>0</v>
      </c>
      <c r="H10" s="557">
        <f t="shared" si="0"/>
        <v>0</v>
      </c>
      <c r="I10" s="557">
        <f t="shared" si="0"/>
        <v>0</v>
      </c>
      <c r="J10" s="557">
        <f t="shared" si="0"/>
        <v>4628.5714285714284</v>
      </c>
      <c r="K10" s="557">
        <f t="shared" si="0"/>
        <v>0</v>
      </c>
      <c r="L10" s="557">
        <f t="shared" si="0"/>
        <v>0</v>
      </c>
      <c r="M10" s="1012"/>
      <c r="N10" s="1012"/>
      <c r="O10" s="558">
        <f>SUM(O4:O9)</f>
        <v>34.221176470588233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205.71428571428572</v>
      </c>
      <c r="C17" s="569">
        <f>B50</f>
        <v>242.0168067226891</v>
      </c>
      <c r="D17" s="570"/>
      <c r="E17" s="570">
        <f>E50</f>
        <v>0</v>
      </c>
      <c r="F17" s="1015"/>
      <c r="G17" s="571"/>
      <c r="H17" s="569">
        <f>I50</f>
        <v>0</v>
      </c>
      <c r="I17" s="570">
        <f>G50+F50</f>
        <v>0</v>
      </c>
      <c r="J17" s="570">
        <f>H50+D50+C50</f>
        <v>0</v>
      </c>
      <c r="K17" s="570"/>
      <c r="L17" s="570"/>
      <c r="M17" s="570"/>
      <c r="N17" s="1016"/>
      <c r="O17" s="572">
        <f>C17*$C$22+E17*$E$22+H17*$H$22+I17*$I$22+J17*$J$22+D17*$D$22+F17*$F$22+G17*$G$22+K17*$K$22+L17*$L$22</f>
        <v>48.887394957983197</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205.71428571428572</v>
      </c>
      <c r="C20" s="556">
        <f>SUM(C17:C19)</f>
        <v>242.0168067226891</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48.887394957983197</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71016</v>
      </c>
      <c r="C28" s="770">
        <v>3600</v>
      </c>
      <c r="D28" s="627" t="s">
        <v>896</v>
      </c>
      <c r="E28" s="626" t="s">
        <v>897</v>
      </c>
      <c r="F28" s="626" t="s">
        <v>898</v>
      </c>
      <c r="G28" s="626" t="s">
        <v>899</v>
      </c>
      <c r="H28" s="626" t="s">
        <v>900</v>
      </c>
      <c r="I28" s="626" t="s">
        <v>897</v>
      </c>
      <c r="J28" s="769">
        <v>39239</v>
      </c>
      <c r="K28" s="769">
        <v>39356</v>
      </c>
      <c r="L28" s="626" t="s">
        <v>901</v>
      </c>
      <c r="M28" s="626">
        <v>17</v>
      </c>
      <c r="N28" s="626">
        <v>76.5</v>
      </c>
      <c r="O28" s="626">
        <v>109.28571428571429</v>
      </c>
      <c r="P28" s="626">
        <v>218.57142857142858</v>
      </c>
      <c r="Q28" s="626">
        <v>0</v>
      </c>
      <c r="R28" s="626">
        <v>0</v>
      </c>
      <c r="S28" s="626">
        <v>0</v>
      </c>
      <c r="T28" s="626">
        <v>0</v>
      </c>
      <c r="U28" s="626">
        <v>0</v>
      </c>
      <c r="V28" s="626">
        <v>0</v>
      </c>
      <c r="W28" s="626">
        <v>0</v>
      </c>
      <c r="X28" s="626">
        <v>1600</v>
      </c>
      <c r="Y28" s="626" t="s">
        <v>49</v>
      </c>
      <c r="Z28" s="628" t="s">
        <v>155</v>
      </c>
    </row>
    <row r="29" spans="1:26" s="580" customFormat="1" ht="25.5">
      <c r="A29" s="579"/>
      <c r="B29" s="770">
        <v>71016</v>
      </c>
      <c r="C29" s="770">
        <v>3600</v>
      </c>
      <c r="D29" s="627" t="s">
        <v>902</v>
      </c>
      <c r="E29" s="626" t="s">
        <v>903</v>
      </c>
      <c r="F29" s="626" t="s">
        <v>904</v>
      </c>
      <c r="G29" s="626" t="s">
        <v>899</v>
      </c>
      <c r="H29" s="626" t="s">
        <v>900</v>
      </c>
      <c r="I29" s="626" t="s">
        <v>905</v>
      </c>
      <c r="J29" s="769">
        <v>41099</v>
      </c>
      <c r="K29" s="769">
        <v>41244</v>
      </c>
      <c r="L29" s="626" t="s">
        <v>901</v>
      </c>
      <c r="M29" s="626">
        <v>15</v>
      </c>
      <c r="N29" s="626">
        <v>67.5</v>
      </c>
      <c r="O29" s="626">
        <v>96.428571428571431</v>
      </c>
      <c r="P29" s="626">
        <v>192.85714285714286</v>
      </c>
      <c r="Q29" s="626">
        <v>0</v>
      </c>
      <c r="R29" s="626">
        <v>0</v>
      </c>
      <c r="S29" s="626">
        <v>0</v>
      </c>
      <c r="T29" s="626">
        <v>0</v>
      </c>
      <c r="U29" s="626">
        <v>0</v>
      </c>
      <c r="V29" s="626">
        <v>0</v>
      </c>
      <c r="W29" s="626">
        <v>0</v>
      </c>
      <c r="X29" s="626">
        <v>1300</v>
      </c>
      <c r="Y29" s="626" t="s">
        <v>53</v>
      </c>
      <c r="Z29" s="628" t="s">
        <v>155</v>
      </c>
    </row>
    <row r="30" spans="1:26" s="564" customFormat="1">
      <c r="A30" s="582" t="s">
        <v>279</v>
      </c>
      <c r="B30" s="583"/>
      <c r="C30" s="583"/>
      <c r="D30" s="583"/>
      <c r="E30" s="583"/>
      <c r="F30" s="583"/>
      <c r="G30" s="583"/>
      <c r="H30" s="583"/>
      <c r="I30" s="583"/>
      <c r="J30" s="583"/>
      <c r="K30" s="583"/>
      <c r="L30" s="584"/>
      <c r="M30" s="584">
        <f>SUM(M28:M29)</f>
        <v>32</v>
      </c>
      <c r="N30" s="584">
        <f>SUM(N28:N29)</f>
        <v>144</v>
      </c>
      <c r="O30" s="584">
        <f>SUM(O28:O29)</f>
        <v>205.71428571428572</v>
      </c>
      <c r="P30" s="584">
        <f>SUM(P28:P29)</f>
        <v>411.42857142857144</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32</v>
      </c>
      <c r="N32" s="584">
        <f ca="1">SUMIF($Z$28:AD29,"tertiair",N28:N29)</f>
        <v>144</v>
      </c>
      <c r="O32" s="584">
        <f ca="1">SUMIF($Z$28:AE29,"tertiair",O28:O29)</f>
        <v>205.71428571428572</v>
      </c>
      <c r="P32" s="584">
        <f ca="1">SUMIF($Z$28:AF29,"tertiair",P28:P29)</f>
        <v>411.42857142857144</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63.75">
      <c r="A36" s="581"/>
      <c r="B36" s="770">
        <v>71016</v>
      </c>
      <c r="C36" s="770">
        <v>3600</v>
      </c>
      <c r="D36" s="629" t="s">
        <v>906</v>
      </c>
      <c r="E36" s="629" t="s">
        <v>907</v>
      </c>
      <c r="F36" s="629" t="s">
        <v>908</v>
      </c>
      <c r="G36" s="629" t="s">
        <v>909</v>
      </c>
      <c r="H36" s="629" t="s">
        <v>910</v>
      </c>
      <c r="I36" s="629" t="s">
        <v>911</v>
      </c>
      <c r="J36" s="769">
        <v>33970</v>
      </c>
      <c r="K36" s="769">
        <v>37316</v>
      </c>
      <c r="L36" s="629" t="s">
        <v>901</v>
      </c>
      <c r="M36" s="629">
        <v>360</v>
      </c>
      <c r="N36" s="629">
        <v>1620</v>
      </c>
      <c r="O36" s="629">
        <v>0</v>
      </c>
      <c r="P36" s="629">
        <v>0</v>
      </c>
      <c r="Q36" s="629">
        <v>4628.5714285714284</v>
      </c>
      <c r="R36" s="629">
        <v>0</v>
      </c>
      <c r="S36" s="629">
        <v>0</v>
      </c>
      <c r="T36" s="629">
        <v>0</v>
      </c>
      <c r="U36" s="629">
        <v>0</v>
      </c>
      <c r="V36" s="629">
        <v>0</v>
      </c>
      <c r="W36" s="629">
        <v>0</v>
      </c>
      <c r="X36" s="629">
        <v>1600</v>
      </c>
      <c r="Y36" s="629" t="s">
        <v>49</v>
      </c>
      <c r="Z36" s="630" t="s">
        <v>155</v>
      </c>
    </row>
    <row r="37" spans="1:27" s="564" customFormat="1">
      <c r="A37" s="582" t="s">
        <v>279</v>
      </c>
      <c r="B37" s="583"/>
      <c r="C37" s="583"/>
      <c r="D37" s="583"/>
      <c r="E37" s="583"/>
      <c r="F37" s="583"/>
      <c r="G37" s="583"/>
      <c r="H37" s="583"/>
      <c r="I37" s="583"/>
      <c r="J37" s="583"/>
      <c r="K37" s="583"/>
      <c r="L37" s="584"/>
      <c r="M37" s="584">
        <f>SUM(M36:M36)</f>
        <v>360</v>
      </c>
      <c r="N37" s="584">
        <f>SUM(N36:N36)</f>
        <v>1620</v>
      </c>
      <c r="O37" s="584">
        <f>SUM(O36:O36)</f>
        <v>0</v>
      </c>
      <c r="P37" s="584">
        <f>SUM(P36:P36)</f>
        <v>0</v>
      </c>
      <c r="Q37" s="584">
        <f>SUM(Q36:Q36)</f>
        <v>4628.5714285714284</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360</v>
      </c>
      <c r="N39" s="584">
        <f>SUMIF($Z$36:$Z$37,"tertiair",N36:N37)</f>
        <v>1620</v>
      </c>
      <c r="O39" s="584">
        <f>SUMIF($Z$36:$Z$37,"tertiair",O36:O37)</f>
        <v>0</v>
      </c>
      <c r="P39" s="584">
        <f>SUMIF($Z$36:$Z$37,"tertiair",P36:P37)</f>
        <v>0</v>
      </c>
      <c r="Q39" s="584">
        <f>SUMIF($Z$36:$Z$37,"tertiair",Q36:Q37)</f>
        <v>4628.5714285714284</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169.41176470588235</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242.0168067226891</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121998.99053769061</v>
      </c>
      <c r="C4" s="451">
        <f>huishoudens!C8</f>
        <v>0</v>
      </c>
      <c r="D4" s="451">
        <f>huishoudens!D8</f>
        <v>157820.76708200001</v>
      </c>
      <c r="E4" s="451">
        <f>huishoudens!E8</f>
        <v>10286.719123670229</v>
      </c>
      <c r="F4" s="451">
        <f>huishoudens!F8</f>
        <v>116579.89665793483</v>
      </c>
      <c r="G4" s="451">
        <f>huishoudens!G8</f>
        <v>0</v>
      </c>
      <c r="H4" s="451">
        <f>huishoudens!H8</f>
        <v>0</v>
      </c>
      <c r="I4" s="451">
        <f>huishoudens!I8</f>
        <v>0</v>
      </c>
      <c r="J4" s="451">
        <f>huishoudens!J8</f>
        <v>0</v>
      </c>
      <c r="K4" s="451">
        <f>huishoudens!K8</f>
        <v>0</v>
      </c>
      <c r="L4" s="451">
        <f>huishoudens!L8</f>
        <v>0</v>
      </c>
      <c r="M4" s="451">
        <f>huishoudens!M8</f>
        <v>0</v>
      </c>
      <c r="N4" s="451">
        <f>huishoudens!N8</f>
        <v>10247.489048377429</v>
      </c>
      <c r="O4" s="451">
        <f>huishoudens!O8</f>
        <v>1277.2433333333333</v>
      </c>
      <c r="P4" s="452">
        <f>huishoudens!P8</f>
        <v>2364.2666666666664</v>
      </c>
      <c r="Q4" s="453">
        <f>SUM(B4:P4)</f>
        <v>420575.37244967313</v>
      </c>
    </row>
    <row r="5" spans="1:17">
      <c r="A5" s="450" t="s">
        <v>155</v>
      </c>
      <c r="B5" s="451">
        <f ca="1">tertiair!B16</f>
        <v>151179.86199999999</v>
      </c>
      <c r="C5" s="451">
        <f ca="1">tertiair!C16</f>
        <v>205.71428571428572</v>
      </c>
      <c r="D5" s="451">
        <f ca="1">tertiair!D16</f>
        <v>122639.59273057144</v>
      </c>
      <c r="E5" s="451">
        <f>tertiair!E16</f>
        <v>2415.9207825185695</v>
      </c>
      <c r="F5" s="451">
        <f ca="1">tertiair!F16</f>
        <v>36560.406654188482</v>
      </c>
      <c r="G5" s="451">
        <f>tertiair!G16</f>
        <v>0</v>
      </c>
      <c r="H5" s="451">
        <f>tertiair!H16</f>
        <v>0</v>
      </c>
      <c r="I5" s="451">
        <f>tertiair!I16</f>
        <v>0</v>
      </c>
      <c r="J5" s="451">
        <f>tertiair!J16</f>
        <v>0</v>
      </c>
      <c r="K5" s="451">
        <f>tertiair!K16</f>
        <v>0</v>
      </c>
      <c r="L5" s="451">
        <f ca="1">tertiair!L16</f>
        <v>0</v>
      </c>
      <c r="M5" s="451">
        <f>tertiair!M16</f>
        <v>0</v>
      </c>
      <c r="N5" s="451">
        <f ca="1">tertiair!N16</f>
        <v>8639.1861186028109</v>
      </c>
      <c r="O5" s="451">
        <f>tertiair!O16</f>
        <v>4.6900000000000004</v>
      </c>
      <c r="P5" s="452">
        <f>tertiair!P16</f>
        <v>95.333333333333343</v>
      </c>
      <c r="Q5" s="450">
        <f t="shared" ref="Q5:Q14" ca="1" si="0">SUM(B5:P5)</f>
        <v>321740.70590492891</v>
      </c>
    </row>
    <row r="6" spans="1:17">
      <c r="A6" s="450" t="s">
        <v>193</v>
      </c>
      <c r="B6" s="451">
        <f>'openbare verlichting'!B8</f>
        <v>4007.2539999999999</v>
      </c>
      <c r="C6" s="451"/>
      <c r="D6" s="451"/>
      <c r="E6" s="451"/>
      <c r="F6" s="451"/>
      <c r="G6" s="451"/>
      <c r="H6" s="451"/>
      <c r="I6" s="451"/>
      <c r="J6" s="451"/>
      <c r="K6" s="451"/>
      <c r="L6" s="451"/>
      <c r="M6" s="451"/>
      <c r="N6" s="451"/>
      <c r="O6" s="451"/>
      <c r="P6" s="452"/>
      <c r="Q6" s="450">
        <f t="shared" si="0"/>
        <v>4007.2539999999999</v>
      </c>
    </row>
    <row r="7" spans="1:17">
      <c r="A7" s="450" t="s">
        <v>111</v>
      </c>
      <c r="B7" s="451">
        <f>landbouw!B8</f>
        <v>597.28499999999997</v>
      </c>
      <c r="C7" s="451">
        <f>landbouw!C8</f>
        <v>0</v>
      </c>
      <c r="D7" s="451">
        <f>landbouw!D8</f>
        <v>506.21953800000006</v>
      </c>
      <c r="E7" s="451">
        <f>landbouw!E8</f>
        <v>15.401686840740393</v>
      </c>
      <c r="F7" s="451">
        <f>landbouw!F8</f>
        <v>2183.1904224027267</v>
      </c>
      <c r="G7" s="451">
        <f>landbouw!G8</f>
        <v>0</v>
      </c>
      <c r="H7" s="451">
        <f>landbouw!H8</f>
        <v>0</v>
      </c>
      <c r="I7" s="451">
        <f>landbouw!I8</f>
        <v>0</v>
      </c>
      <c r="J7" s="451">
        <f>landbouw!J8</f>
        <v>85.987067881529498</v>
      </c>
      <c r="K7" s="451">
        <f>landbouw!K8</f>
        <v>0</v>
      </c>
      <c r="L7" s="451">
        <f>landbouw!L8</f>
        <v>0</v>
      </c>
      <c r="M7" s="451">
        <f>landbouw!M8</f>
        <v>0</v>
      </c>
      <c r="N7" s="451">
        <f>landbouw!N8</f>
        <v>0</v>
      </c>
      <c r="O7" s="451">
        <f>landbouw!O8</f>
        <v>0</v>
      </c>
      <c r="P7" s="452">
        <f>landbouw!P8</f>
        <v>0</v>
      </c>
      <c r="Q7" s="450">
        <f t="shared" si="0"/>
        <v>3388.0837151249971</v>
      </c>
    </row>
    <row r="8" spans="1:17">
      <c r="A8" s="450" t="s">
        <v>637</v>
      </c>
      <c r="B8" s="451">
        <f>industrie!B18</f>
        <v>243882.41399999996</v>
      </c>
      <c r="C8" s="451">
        <f>industrie!C18</f>
        <v>0</v>
      </c>
      <c r="D8" s="451">
        <f>industrie!D18</f>
        <v>84329.010986000008</v>
      </c>
      <c r="E8" s="451">
        <f>industrie!E18</f>
        <v>31189.559544421943</v>
      </c>
      <c r="F8" s="451">
        <f>industrie!F18</f>
        <v>117605.56860369243</v>
      </c>
      <c r="G8" s="451">
        <f>industrie!G18</f>
        <v>0</v>
      </c>
      <c r="H8" s="451">
        <f>industrie!H18</f>
        <v>0</v>
      </c>
      <c r="I8" s="451">
        <f>industrie!I18</f>
        <v>0</v>
      </c>
      <c r="J8" s="451">
        <f>industrie!J18</f>
        <v>1055.3050782972741</v>
      </c>
      <c r="K8" s="451">
        <f>industrie!K18</f>
        <v>0</v>
      </c>
      <c r="L8" s="451">
        <f>industrie!L18</f>
        <v>0</v>
      </c>
      <c r="M8" s="451">
        <f>industrie!M18</f>
        <v>0</v>
      </c>
      <c r="N8" s="451">
        <f>industrie!N18</f>
        <v>18794.292970367958</v>
      </c>
      <c r="O8" s="451">
        <f>industrie!O18</f>
        <v>0</v>
      </c>
      <c r="P8" s="452">
        <f>industrie!P18</f>
        <v>0</v>
      </c>
      <c r="Q8" s="450">
        <f t="shared" si="0"/>
        <v>496856.15118277958</v>
      </c>
    </row>
    <row r="9" spans="1:17" s="456" customFormat="1">
      <c r="A9" s="454" t="s">
        <v>563</v>
      </c>
      <c r="B9" s="455">
        <f>transport!B14</f>
        <v>109.13324453091442</v>
      </c>
      <c r="C9" s="455">
        <f>transport!C14</f>
        <v>0</v>
      </c>
      <c r="D9" s="455">
        <f>transport!D14</f>
        <v>215.96727396419448</v>
      </c>
      <c r="E9" s="455">
        <f>transport!E14</f>
        <v>1032.0472891111467</v>
      </c>
      <c r="F9" s="455">
        <f>transport!F14</f>
        <v>0</v>
      </c>
      <c r="G9" s="455">
        <f>transport!G14</f>
        <v>418263.300205982</v>
      </c>
      <c r="H9" s="455">
        <f>transport!H14</f>
        <v>74645.931376838082</v>
      </c>
      <c r="I9" s="455">
        <f>transport!I14</f>
        <v>0</v>
      </c>
      <c r="J9" s="455">
        <f>transport!J14</f>
        <v>0</v>
      </c>
      <c r="K9" s="455">
        <f>transport!K14</f>
        <v>0</v>
      </c>
      <c r="L9" s="455">
        <f>transport!L14</f>
        <v>0</v>
      </c>
      <c r="M9" s="455">
        <f>transport!M14</f>
        <v>15395.66275030102</v>
      </c>
      <c r="N9" s="455">
        <f>transport!N14</f>
        <v>0</v>
      </c>
      <c r="O9" s="455">
        <f>transport!O14</f>
        <v>0</v>
      </c>
      <c r="P9" s="455">
        <f>transport!P14</f>
        <v>0</v>
      </c>
      <c r="Q9" s="454">
        <f>SUM(B9:P9)</f>
        <v>509662.04214072734</v>
      </c>
    </row>
    <row r="10" spans="1:17">
      <c r="A10" s="450" t="s">
        <v>553</v>
      </c>
      <c r="B10" s="451">
        <f>transport!B54</f>
        <v>0</v>
      </c>
      <c r="C10" s="451">
        <f>transport!C54</f>
        <v>0</v>
      </c>
      <c r="D10" s="451">
        <f>transport!D54</f>
        <v>0</v>
      </c>
      <c r="E10" s="451">
        <f>transport!E54</f>
        <v>0</v>
      </c>
      <c r="F10" s="451">
        <f>transport!F54</f>
        <v>0</v>
      </c>
      <c r="G10" s="451">
        <f>transport!G54</f>
        <v>14950.190956111743</v>
      </c>
      <c r="H10" s="451">
        <f>transport!H54</f>
        <v>0</v>
      </c>
      <c r="I10" s="451">
        <f>transport!I54</f>
        <v>0</v>
      </c>
      <c r="J10" s="451">
        <f>transport!J54</f>
        <v>0</v>
      </c>
      <c r="K10" s="451">
        <f>transport!K54</f>
        <v>0</v>
      </c>
      <c r="L10" s="451">
        <f>transport!L54</f>
        <v>0</v>
      </c>
      <c r="M10" s="451">
        <f>transport!M54</f>
        <v>463.1360905788128</v>
      </c>
      <c r="N10" s="451">
        <f>transport!N54</f>
        <v>0</v>
      </c>
      <c r="O10" s="451">
        <f>transport!O54</f>
        <v>0</v>
      </c>
      <c r="P10" s="452">
        <f>transport!P54</f>
        <v>0</v>
      </c>
      <c r="Q10" s="450">
        <f t="shared" si="0"/>
        <v>15413.327046690556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4257.9960000000001</v>
      </c>
      <c r="C14" s="458"/>
      <c r="D14" s="458">
        <f>'SEAP template'!E25</f>
        <v>5275.7479999999996</v>
      </c>
      <c r="E14" s="458"/>
      <c r="F14" s="458"/>
      <c r="G14" s="458"/>
      <c r="H14" s="458"/>
      <c r="I14" s="458"/>
      <c r="J14" s="458"/>
      <c r="K14" s="458"/>
      <c r="L14" s="458"/>
      <c r="M14" s="458"/>
      <c r="N14" s="458"/>
      <c r="O14" s="458"/>
      <c r="P14" s="459"/>
      <c r="Q14" s="450">
        <f t="shared" si="0"/>
        <v>9533.7439999999988</v>
      </c>
    </row>
    <row r="15" spans="1:17" s="460" customFormat="1">
      <c r="A15" s="1004" t="s">
        <v>557</v>
      </c>
      <c r="B15" s="944">
        <f ca="1">SUM(B4:B14)</f>
        <v>526032.93478222145</v>
      </c>
      <c r="C15" s="944">
        <f t="shared" ref="C15:Q15" ca="1" si="1">SUM(C4:C14)</f>
        <v>205.71428571428572</v>
      </c>
      <c r="D15" s="944">
        <f t="shared" ca="1" si="1"/>
        <v>370787.30561053567</v>
      </c>
      <c r="E15" s="944">
        <f t="shared" si="1"/>
        <v>44939.648426562628</v>
      </c>
      <c r="F15" s="944">
        <f t="shared" ca="1" si="1"/>
        <v>272929.06233821844</v>
      </c>
      <c r="G15" s="944">
        <f t="shared" si="1"/>
        <v>433213.49116209376</v>
      </c>
      <c r="H15" s="944">
        <f t="shared" si="1"/>
        <v>74645.931376838082</v>
      </c>
      <c r="I15" s="944">
        <f t="shared" si="1"/>
        <v>0</v>
      </c>
      <c r="J15" s="944">
        <f t="shared" si="1"/>
        <v>1141.2921461788037</v>
      </c>
      <c r="K15" s="944">
        <f t="shared" si="1"/>
        <v>0</v>
      </c>
      <c r="L15" s="944">
        <f t="shared" ca="1" si="1"/>
        <v>0</v>
      </c>
      <c r="M15" s="944">
        <f t="shared" si="1"/>
        <v>15858.798840879834</v>
      </c>
      <c r="N15" s="944">
        <f t="shared" ca="1" si="1"/>
        <v>37680.968137348202</v>
      </c>
      <c r="O15" s="944">
        <f t="shared" si="1"/>
        <v>1281.9333333333334</v>
      </c>
      <c r="P15" s="944">
        <f t="shared" si="1"/>
        <v>2459.6</v>
      </c>
      <c r="Q15" s="944">
        <f t="shared" ca="1" si="1"/>
        <v>1781176.6804399244</v>
      </c>
    </row>
    <row r="17" spans="1:17">
      <c r="A17" s="461" t="s">
        <v>558</v>
      </c>
      <c r="B17" s="760">
        <f ca="1">huishoudens!B10</f>
        <v>0.18572134940335386</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22657.8171485069</v>
      </c>
      <c r="C22" s="451">
        <f t="shared" ref="C22:C32" ca="1" si="3">C4*$C$17</f>
        <v>0</v>
      </c>
      <c r="D22" s="451">
        <f t="shared" ref="D22:D32" si="4">D4*$D$17</f>
        <v>31879.794950564003</v>
      </c>
      <c r="E22" s="451">
        <f t="shared" ref="E22:E32" si="5">E4*$E$17</f>
        <v>2335.0852410731422</v>
      </c>
      <c r="F22" s="451">
        <f t="shared" ref="F22:F32" si="6">F4*$F$17</f>
        <v>31126.832407668604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87999.529747812659</v>
      </c>
    </row>
    <row r="23" spans="1:17">
      <c r="A23" s="450" t="s">
        <v>155</v>
      </c>
      <c r="B23" s="451">
        <f t="shared" ca="1" si="2"/>
        <v>28077.327973252817</v>
      </c>
      <c r="C23" s="451">
        <f t="shared" ca="1" si="3"/>
        <v>48.887394957983197</v>
      </c>
      <c r="D23" s="451">
        <f t="shared" ca="1" si="4"/>
        <v>24773.197731575434</v>
      </c>
      <c r="E23" s="451">
        <f t="shared" si="5"/>
        <v>548.4140176317153</v>
      </c>
      <c r="F23" s="451">
        <f t="shared" ca="1" si="6"/>
        <v>9761.628576668325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63209.455694086282</v>
      </c>
    </row>
    <row r="24" spans="1:17">
      <c r="A24" s="450" t="s">
        <v>193</v>
      </c>
      <c r="B24" s="451">
        <f t="shared" ca="1" si="2"/>
        <v>744.23262028198735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744.23262028198735</v>
      </c>
    </row>
    <row r="25" spans="1:17">
      <c r="A25" s="450" t="s">
        <v>111</v>
      </c>
      <c r="B25" s="451">
        <f t="shared" ca="1" si="2"/>
        <v>110.9285761783822</v>
      </c>
      <c r="C25" s="451">
        <f t="shared" ca="1" si="3"/>
        <v>0</v>
      </c>
      <c r="D25" s="451">
        <f t="shared" si="4"/>
        <v>102.25634667600002</v>
      </c>
      <c r="E25" s="451">
        <f t="shared" si="5"/>
        <v>3.4961829128480693</v>
      </c>
      <c r="F25" s="451">
        <f t="shared" si="6"/>
        <v>582.91184278152809</v>
      </c>
      <c r="G25" s="451">
        <f t="shared" si="7"/>
        <v>0</v>
      </c>
      <c r="H25" s="451">
        <f t="shared" si="8"/>
        <v>0</v>
      </c>
      <c r="I25" s="451">
        <f t="shared" si="9"/>
        <v>0</v>
      </c>
      <c r="J25" s="451">
        <f t="shared" si="10"/>
        <v>30.43942203006144</v>
      </c>
      <c r="K25" s="451">
        <f t="shared" si="11"/>
        <v>0</v>
      </c>
      <c r="L25" s="451">
        <f t="shared" si="12"/>
        <v>0</v>
      </c>
      <c r="M25" s="451">
        <f t="shared" si="13"/>
        <v>0</v>
      </c>
      <c r="N25" s="451">
        <f t="shared" si="14"/>
        <v>0</v>
      </c>
      <c r="O25" s="451">
        <f t="shared" si="15"/>
        <v>0</v>
      </c>
      <c r="P25" s="452">
        <f t="shared" si="16"/>
        <v>0</v>
      </c>
      <c r="Q25" s="450">
        <f t="shared" ca="1" si="17"/>
        <v>830.03237057881984</v>
      </c>
    </row>
    <row r="26" spans="1:17">
      <c r="A26" s="450" t="s">
        <v>637</v>
      </c>
      <c r="B26" s="451">
        <f t="shared" ca="1" si="2"/>
        <v>45294.171023827388</v>
      </c>
      <c r="C26" s="451">
        <f t="shared" ca="1" si="3"/>
        <v>0</v>
      </c>
      <c r="D26" s="451">
        <f t="shared" si="4"/>
        <v>17034.460219172004</v>
      </c>
      <c r="E26" s="451">
        <f t="shared" si="5"/>
        <v>7080.0300165837816</v>
      </c>
      <c r="F26" s="451">
        <f t="shared" si="6"/>
        <v>31400.68681718588</v>
      </c>
      <c r="G26" s="451">
        <f t="shared" si="7"/>
        <v>0</v>
      </c>
      <c r="H26" s="451">
        <f t="shared" si="8"/>
        <v>0</v>
      </c>
      <c r="I26" s="451">
        <f t="shared" si="9"/>
        <v>0</v>
      </c>
      <c r="J26" s="451">
        <f t="shared" si="10"/>
        <v>373.57799771723501</v>
      </c>
      <c r="K26" s="451">
        <f t="shared" si="11"/>
        <v>0</v>
      </c>
      <c r="L26" s="451">
        <f t="shared" si="12"/>
        <v>0</v>
      </c>
      <c r="M26" s="451">
        <f t="shared" si="13"/>
        <v>0</v>
      </c>
      <c r="N26" s="451">
        <f t="shared" si="14"/>
        <v>0</v>
      </c>
      <c r="O26" s="451">
        <f t="shared" si="15"/>
        <v>0</v>
      </c>
      <c r="P26" s="452">
        <f t="shared" si="16"/>
        <v>0</v>
      </c>
      <c r="Q26" s="450">
        <f t="shared" ca="1" si="17"/>
        <v>101182.92607448628</v>
      </c>
    </row>
    <row r="27" spans="1:17" s="456" customFormat="1">
      <c r="A27" s="454" t="s">
        <v>563</v>
      </c>
      <c r="B27" s="754">
        <f t="shared" ca="1" si="2"/>
        <v>20.268373439047615</v>
      </c>
      <c r="C27" s="455">
        <f t="shared" ca="1" si="3"/>
        <v>0</v>
      </c>
      <c r="D27" s="455">
        <f t="shared" si="4"/>
        <v>43.625389340767285</v>
      </c>
      <c r="E27" s="455">
        <f t="shared" si="5"/>
        <v>234.27473462823031</v>
      </c>
      <c r="F27" s="455">
        <f t="shared" si="6"/>
        <v>0</v>
      </c>
      <c r="G27" s="455">
        <f t="shared" si="7"/>
        <v>111676.3011549972</v>
      </c>
      <c r="H27" s="455">
        <f t="shared" si="8"/>
        <v>18586.836912832681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130561.30656523793</v>
      </c>
    </row>
    <row r="28" spans="1:17">
      <c r="A28" s="450" t="s">
        <v>553</v>
      </c>
      <c r="B28" s="451">
        <f t="shared" ca="1" si="2"/>
        <v>0</v>
      </c>
      <c r="C28" s="451">
        <f t="shared" ca="1" si="3"/>
        <v>0</v>
      </c>
      <c r="D28" s="451">
        <f t="shared" si="4"/>
        <v>0</v>
      </c>
      <c r="E28" s="451">
        <f t="shared" si="5"/>
        <v>0</v>
      </c>
      <c r="F28" s="451">
        <f t="shared" si="6"/>
        <v>0</v>
      </c>
      <c r="G28" s="451">
        <f t="shared" si="7"/>
        <v>3991.7009852818355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3991.7009852818355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790.80076287408315</v>
      </c>
      <c r="C32" s="451">
        <f t="shared" ca="1" si="3"/>
        <v>0</v>
      </c>
      <c r="D32" s="451">
        <f t="shared" si="4"/>
        <v>1065.701096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1856.5018588740832</v>
      </c>
    </row>
    <row r="33" spans="1:17" s="460" customFormat="1">
      <c r="A33" s="1004" t="s">
        <v>557</v>
      </c>
      <c r="B33" s="944">
        <f ca="1">SUM(B22:B32)</f>
        <v>97695.546478360615</v>
      </c>
      <c r="C33" s="944">
        <f t="shared" ref="C33:Q33" ca="1" si="18">SUM(C22:C32)</f>
        <v>48.887394957983197</v>
      </c>
      <c r="D33" s="944">
        <f t="shared" ca="1" si="18"/>
        <v>74899.035733328201</v>
      </c>
      <c r="E33" s="944">
        <f t="shared" si="18"/>
        <v>10201.300192829716</v>
      </c>
      <c r="F33" s="944">
        <f t="shared" ca="1" si="18"/>
        <v>72872.059644304332</v>
      </c>
      <c r="G33" s="944">
        <f t="shared" si="18"/>
        <v>115668.00214027903</v>
      </c>
      <c r="H33" s="944">
        <f t="shared" si="18"/>
        <v>18586.836912832681</v>
      </c>
      <c r="I33" s="944">
        <f t="shared" si="18"/>
        <v>0</v>
      </c>
      <c r="J33" s="944">
        <f t="shared" si="18"/>
        <v>404.01741974729646</v>
      </c>
      <c r="K33" s="944">
        <f t="shared" si="18"/>
        <v>0</v>
      </c>
      <c r="L33" s="944">
        <f t="shared" ca="1" si="18"/>
        <v>0</v>
      </c>
      <c r="M33" s="944">
        <f t="shared" si="18"/>
        <v>0</v>
      </c>
      <c r="N33" s="944">
        <f t="shared" ca="1" si="18"/>
        <v>0</v>
      </c>
      <c r="O33" s="944">
        <f t="shared" si="18"/>
        <v>0</v>
      </c>
      <c r="P33" s="944">
        <f t="shared" si="18"/>
        <v>0</v>
      </c>
      <c r="Q33" s="944">
        <f t="shared" ca="1" si="18"/>
        <v>390375.68591663986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46477.481623838197</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35885.003828564215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144</v>
      </c>
      <c r="D8" s="1021">
        <f>'SEAP template'!D76</f>
        <v>169.41176470588235</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34.221176470588233</v>
      </c>
    </row>
    <row r="9" spans="1:16">
      <c r="A9" s="1024" t="s">
        <v>849</v>
      </c>
      <c r="B9" s="1021">
        <f>'SEAP template'!B77</f>
        <v>1620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4628.5714285714284</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83982.485452402412</v>
      </c>
      <c r="C10" s="1025">
        <f>SUM(C4:C9)</f>
        <v>144</v>
      </c>
      <c r="D10" s="1025">
        <f t="shared" ref="D10:H10" si="0">SUM(D8:D9)</f>
        <v>169.41176470588235</v>
      </c>
      <c r="E10" s="1025">
        <f t="shared" si="0"/>
        <v>0</v>
      </c>
      <c r="F10" s="1025">
        <f t="shared" si="0"/>
        <v>0</v>
      </c>
      <c r="G10" s="1025">
        <f t="shared" si="0"/>
        <v>0</v>
      </c>
      <c r="H10" s="1025">
        <f t="shared" si="0"/>
        <v>0</v>
      </c>
      <c r="I10" s="1025">
        <f>SUM(I8:I9)</f>
        <v>0</v>
      </c>
      <c r="J10" s="1025">
        <f>SUM(J8:J9)</f>
        <v>4628.5714285714284</v>
      </c>
      <c r="K10" s="1025">
        <f t="shared" ref="K10:L10" si="1">SUM(K8:K9)</f>
        <v>0</v>
      </c>
      <c r="L10" s="1025">
        <f t="shared" si="1"/>
        <v>0</v>
      </c>
      <c r="M10" s="1025">
        <f>SUM(M8:M9)</f>
        <v>0</v>
      </c>
      <c r="N10" s="1025">
        <f>SUM(N8:N9)</f>
        <v>0</v>
      </c>
      <c r="O10" s="1025">
        <f>SUM(O8:O9)</f>
        <v>0</v>
      </c>
      <c r="P10" s="1025">
        <f>SUM(P8:P9)</f>
        <v>34.221176470588233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0.18572134940335386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205.71428571428572</v>
      </c>
      <c r="D17" s="1022">
        <f>'SEAP template'!D87</f>
        <v>242.0168067226891</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48.887394957983197</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205.71428571428572</v>
      </c>
      <c r="D20" s="1025">
        <f t="shared" ref="D20:H20" si="2">SUM(D17:D19)</f>
        <v>242.0168067226891</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48.887394957983197</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0.18572134940335386</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2020-06-20T15:59:22Z</dcterms:modified>
</cp:coreProperties>
</file>