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T38" i="18"/>
  <c r="S38" i="18"/>
  <c r="E9" i="18" s="1"/>
  <c r="F77" i="14" s="1"/>
  <c r="F9" i="59" s="1"/>
  <c r="R38" i="18"/>
  <c r="Q38" i="18"/>
  <c r="P38" i="18"/>
  <c r="C9" i="18" s="1"/>
  <c r="D77" i="14" s="1"/>
  <c r="D9" i="59" s="1"/>
  <c r="O38" i="18"/>
  <c r="N38" i="18"/>
  <c r="B9" i="18" s="1"/>
  <c r="M38" i="18"/>
  <c r="W34" i="18"/>
  <c r="V34" i="18"/>
  <c r="U34" i="18"/>
  <c r="T34" i="18"/>
  <c r="S34" i="18"/>
  <c r="R34" i="18"/>
  <c r="Q34" i="18"/>
  <c r="P34" i="18"/>
  <c r="O34" i="18"/>
  <c r="N34" i="18"/>
  <c r="M34" i="18"/>
  <c r="W33" i="18"/>
  <c r="V33" i="18"/>
  <c r="U33" i="18"/>
  <c r="T33" i="18"/>
  <c r="S33" i="18"/>
  <c r="F13" i="15" s="1"/>
  <c r="R33" i="18"/>
  <c r="Q33" i="18"/>
  <c r="P33" i="18"/>
  <c r="O33" i="18"/>
  <c r="C13" i="15" s="1"/>
  <c r="N33" i="18"/>
  <c r="B13" i="15" s="1"/>
  <c r="M33" i="18"/>
  <c r="W32" i="18"/>
  <c r="V32" i="18"/>
  <c r="U32" i="18"/>
  <c r="T32" i="18"/>
  <c r="S32" i="18"/>
  <c r="R32" i="18"/>
  <c r="Q32" i="18"/>
  <c r="P32" i="18"/>
  <c r="O32" i="18"/>
  <c r="N32" i="18"/>
  <c r="M32" i="18"/>
  <c r="W31" i="18"/>
  <c r="V31" i="18"/>
  <c r="U31" i="18"/>
  <c r="T31" i="18"/>
  <c r="S31" i="18"/>
  <c r="R31" i="18"/>
  <c r="Q31" i="18"/>
  <c r="P31" i="18"/>
  <c r="O31" i="18"/>
  <c r="N31" i="18"/>
  <c r="B8" i="18" s="1"/>
  <c r="M31"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7" i="18"/>
  <c r="D51" i="18" s="1"/>
  <c r="I9" i="18"/>
  <c r="I77" i="14" s="1"/>
  <c r="I9" i="59" s="1"/>
  <c r="B17" i="18"/>
  <c r="B20" i="18" s="1"/>
  <c r="C6" i="17"/>
  <c r="E10" i="59"/>
  <c r="G77" i="14"/>
  <c r="G9" i="59" s="1"/>
  <c r="G10" i="59" s="1"/>
  <c r="J9" i="18"/>
  <c r="J77" i="14" s="1"/>
  <c r="J9" i="59" s="1"/>
  <c r="E20" i="59"/>
  <c r="C47" i="18"/>
  <c r="I50"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51" i="18"/>
  <c r="H17" i="18" s="1"/>
  <c r="E51" i="18"/>
  <c r="E17" i="18" s="1"/>
  <c r="H51"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D50" i="18" l="1"/>
  <c r="B51" i="18"/>
  <c r="C17" i="18" s="1"/>
  <c r="B50" i="18"/>
  <c r="C8" i="18" s="1"/>
  <c r="D76" i="14" s="1"/>
  <c r="D8" i="59" s="1"/>
  <c r="D10" i="59" s="1"/>
  <c r="F51" i="18"/>
  <c r="C51" i="18"/>
  <c r="J17" i="18" s="1"/>
  <c r="G51" i="18"/>
  <c r="O9" i="18"/>
  <c r="G78" i="14"/>
  <c r="C77" i="14"/>
  <c r="C9" i="59" s="1"/>
  <c r="F50" i="18"/>
  <c r="H50" i="18"/>
  <c r="C50" i="18"/>
  <c r="E50" i="18"/>
  <c r="E8" i="18" s="1"/>
  <c r="F76" i="14" s="1"/>
  <c r="F8" i="59" s="1"/>
  <c r="F10" i="59" s="1"/>
  <c r="B77" i="14"/>
  <c r="B9" i="59" s="1"/>
  <c r="G50"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Q11" i="14"/>
  <c r="P4" i="48"/>
  <c r="P22" i="48" s="1"/>
  <c r="J15" i="16"/>
  <c r="B7" i="48"/>
  <c r="C24" i="14"/>
  <c r="C26" i="14"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Q16" i="14" s="1"/>
  <c r="Q27" i="14" s="1"/>
  <c r="P8" i="48"/>
  <c r="P26" i="48"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O15" i="48"/>
  <c r="J20" i="15"/>
  <c r="K40" i="14" s="1"/>
  <c r="N63"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23" i="48"/>
  <c r="E33" i="48" s="1"/>
  <c r="E15" i="48"/>
  <c r="J22" i="16"/>
  <c r="K43" i="14" s="1"/>
  <c r="K46" i="14" s="1"/>
  <c r="K61" i="14" s="1"/>
  <c r="K63" i="14" s="1"/>
  <c r="J8" i="48"/>
  <c r="K13" i="14"/>
  <c r="K16" i="14" s="1"/>
  <c r="K27" i="14" s="1"/>
  <c r="E22" i="16"/>
  <c r="F43" i="14" s="1"/>
  <c r="F46" i="14" s="1"/>
  <c r="F61" i="14" s="1"/>
  <c r="F63" i="14" s="1"/>
  <c r="G33" i="48"/>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<sst xmlns="http://schemas.openxmlformats.org/spreadsheetml/2006/main" count="2434" uniqueCount="908">
  <si>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</si>
  <si>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</si>
  <si>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</si>
  <si>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</si>
  <si>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</si>
  <si>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</si>
  <si>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</si>
  <si>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</si>
  <si>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</si>
  <si>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</si>
  <si>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</si>
  <si>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</si>
  <si>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</si>
  <si>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</si>
  <si>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</si>
  <si>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</si>
  <si>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</si>
  <si>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</si>
  <si>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</si>
  <si>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</si>
  <si>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</si>
  <si>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</si>
  <si>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</si>
  <si>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</si>
  <si>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</si>
  <si>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</si>
  <si>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</si>
  <si>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</si>
  <si>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</si>
  <si>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</si>
  <si>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</si>
  <si>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</si>
  <si>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</si>
  <si>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</si>
  <si>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</si>
  <si>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</si>
  <si>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</si>
  <si>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</si>
  <si>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</si>
  <si>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</si>
  <si>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</si>
  <si>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</si>
  <si>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</si>
  <si>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</si>
  <si>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</si>
  <si>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</si>
  <si>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</si>
  <si>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</si>
  <si>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</si>
  <si>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</si>
  <si>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</si>
  <si>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</si>
  <si>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</si>
  <si>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</si>
  <si>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</si>
  <si>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</si>
  <si>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</si>
  <si>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</si>
  <si>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</si>
  <si>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</si>
  <si>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</si>
  <si>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</si>
  <si>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</si>
  <si>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</si>
  <si>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</si>
  <si>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</si>
  <si>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</si>
  <si>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</si>
  <si>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</si>
  <si>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</si>
  <si>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</si>
  <si>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</si>
  <si>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</si>
  <si>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</si>
  <si>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</si>
  <si>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</si>
  <si>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</si>
  <si>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</si>
  <si>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</si>
  <si>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</si>
  <si>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</si>
  <si>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</si>
  <si>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</si>
  <si>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</si>
  <si>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</si>
  <si>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</si>
  <si>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</si>
  <si>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</si>
  <si>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</si>
  <si>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</si>
  <si>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</si>
  <si>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</si>
  <si>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</si>
  <si>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</si>
  <si>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</si>
  <si>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</si>
  <si>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</si>
  <si>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</si>
  <si>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</si>
  <si>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</si>
  <si>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</si>
  <si>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</si>
  <si>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</si>
  <si>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</si>
  <si>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</si>
  <si>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</si>
  <si>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</si>
  <si>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</si>
  <si>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</si>
  <si>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</si>
  <si>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</si>
  <si>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</si>
  <si>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</si>
  <si>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</si>
  <si>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</si>
  <si>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</si>
  <si>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</si>
  <si>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</si>
  <si>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</si>
  <si>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</si>
  <si>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</si>
  <si>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</si>
  <si>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</si>
  <si>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</si>
  <si>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</si>
  <si>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</si>
  <si>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</si>
  <si>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</si>
  <si>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</si>
  <si>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</si>
  <si>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</si>
  <si>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</si>
  <si>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</si>
  <si>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</si>
  <si>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</si>
  <si>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</si>
  <si>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</si>
  <si>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</si>
  <si>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</si>
  <si>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</si>
  <si>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</si>
  <si>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</si>
  <si>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</si>
  <si>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</si>
  <si>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</si>
  <si>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</si>
  <si>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</si>
  <si>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</si>
  <si>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</si>
  <si>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</si>
  <si>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</si>
  <si>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</si>
  <si>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</si>
  <si>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</si>
  <si>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</si>
  <si>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</si>
  <si>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</si>
  <si>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</si>
  <si>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</si>
  <si>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</si>
  <si>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</si>
  <si>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</si>
  <si>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</si>
  <si>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</si>
  <si>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</si>
  <si>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</si>
  <si>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</si>
  <si>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</si>
  <si>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</si>
  <si>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</si>
  <si>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</si>
  <si>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</si>
  <si>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</si>
  <si>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</si>
  <si>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</si>
  <si>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</si>
  <si>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</si>
  <si>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</si>
  <si>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</si>
  <si>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</si>
  <si>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</si>
  <si>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</si>
  <si>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</si>
  <si>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</si>
  <si>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</si>
  <si>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</si>
  <si>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</si>
  <si>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</si>
  <si>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</si>
  <si>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</si>
  <si>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</si>
  <si>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</si>
  <si>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</si>
  <si>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</si>
  <si>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</si>
  <si>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</si>
  <si>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</si>
  <si>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</si>
  <si>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</si>
  <si>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</si>
  <si>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</si>
  <si>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</si>
  <si>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</si>
  <si>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</si>
  <si>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</si>
  <si>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</si>
  <si>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</si>
  <si>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</si>
  <si>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</si>
  <si>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</si>
  <si>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</si>
  <si>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</si>
  <si>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</si>
  <si>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</si>
  <si>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</si>
  <si>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</si>
  <si>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</si>
  <si>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</si>
  <si>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</si>
  <si>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</si>
  <si>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</si>
  <si>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</si>
  <si>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</si>
  <si>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</si>
  <si>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</si>
  <si>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</si>
  <si>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</si>
  <si>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</si>
  <si>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</si>
  <si>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</si>
  <si>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</si>
  <si>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</si>
  <si>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</si>
  <si>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</si>
  <si>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</si>
  <si>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</si>
  <si>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</si>
  <si>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</si>
  <si>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</si>
  <si>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</si>
  <si>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</si>
  <si>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</si>
  <si>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</si>
  <si>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</si>
  <si>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</si>
  <si>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</si>
  <si>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</si>
  <si>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</si>
  <si>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</si>
  <si>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</si>
  <si>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</si>
  <si>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</si>
  <si>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</si>
  <si>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</si>
  <si>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</si>
  <si>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</si>
  <si>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</si>
  <si>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</si>
  <si>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</si>
  <si>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</si>
  <si>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</si>
  <si>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</si>
  <si>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</si>
  <si>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</si>
  <si>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</si>
  <si>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</si>
  <si>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</si>
  <si>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</si>
  <si>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</si>
  <si>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</si>
  <si>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</si>
  <si>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</si>
  <si>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</si>
  <si>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</si>
  <si>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</si>
  <si>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</si>
  <si>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</si>
  <si>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</si>
  <si>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</si>
  <si>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</si>
  <si>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</si>
  <si>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</si>
  <si>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</si>
  <si>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</si>
  <si>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</si>
  <si>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</si>
  <si>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</si>
  <si>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</si>
  <si>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</si>
  <si>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</si>
  <si>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</si>
  <si>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</si>
  <si>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</si>
  <si>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</si>
  <si>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</si>
  <si>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</si>
  <si>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</si>
  <si>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</si>
  <si>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</si>
  <si>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</si>
  <si>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</si>
  <si>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</si>
  <si>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</si>
  <si>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</si>
  <si>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</si>
  <si>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</si>
  <si>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</si>
  <si>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</si>
  <si>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</si>
  <si>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</si>
  <si>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</si>
  <si>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</si>
  <si>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</si>
  <si>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</si>
  <si>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</si>
  <si>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</si>
  <si>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</si>
  <si>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</si>
  <si>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</si>
  <si>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</si>
  <si>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</si>
  <si>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</si>
  <si>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</si>
  <si>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</si>
  <si>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</si>
  <si>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</si>
  <si>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</si>
  <si>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</si>
  <si>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</si>
  <si>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</si>
  <si>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</si>
  <si>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</si>
  <si>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</si>
  <si>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</si>
  <si>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</si>
  <si>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</si>
  <si>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</si>
  <si>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</si>
  <si>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</si>
  <si>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</si>
  <si>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</si>
  <si>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</si>
  <si>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</si>
  <si>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</si>
  <si>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</si>
  <si>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</si>
  <si>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</si>
  <si>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</si>
  <si>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</si>
  <si>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</si>
  <si>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</si>
  <si>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</si>
  <si>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</si>
  <si>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</si>
  <si>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</si>
  <si>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</si>
  <si>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</si>
  <si>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</si>
  <si>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</si>
  <si>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</si>
  <si>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</si>
  <si>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</si>
  <si>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</si>
  <si>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</si>
  <si>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</si>
  <si>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</si>
  <si>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</si>
  <si>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</si>
  <si>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</si>
  <si>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</si>
  <si>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</si>
  <si>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</si>
  <si>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</si>
  <si>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</si>
  <si>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</si>
  <si>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</si>
  <si>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</si>
  <si>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</si>
  <si>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</si>
  <si>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</si>
  <si>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</si>
  <si>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</si>
  <si>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</si>
  <si>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</si>
  <si>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</si>
  <si>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</si>
  <si>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</si>
  <si>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</si>
  <si>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</si>
  <si>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</si>
  <si>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</si>
  <si>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</si>
  <si>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</si>
  <si>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</si>
  <si>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</si>
  <si>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</si>
  <si>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</si>
  <si>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</si>
  <si>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</si>
  <si>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</si>
  <si>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</si>
  <si>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</si>
  <si>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</si>
  <si>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</si>
  <si>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</si>
  <si>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</si>
  <si>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</si>
  <si>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</si>
  <si>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</si>
  <si>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</si>
  <si>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</si>
  <si>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</si>
  <si>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</si>
  <si>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</si>
  <si>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</si>
  <si>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</si>
  <si>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</si>
  <si>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</si>
  <si>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</si>
  <si>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</si>
  <si>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</si>
  <si>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</si>
  <si>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</si>
  <si>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</si>
  <si>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</si>
  <si>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</si>
  <si>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</si>
  <si>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</si>
  <si>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</si>
  <si>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</si>
  <si>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</si>
  <si>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</si>
  <si>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</si>
  <si>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</si>
  <si>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</si>
  <si>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</si>
  <si>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</si>
  <si>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</si>
  <si>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</si>
  <si>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</si>
  <si>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</si>
  <si>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</si>
  <si>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</si>
  <si>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</si>
  <si>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</si>
  <si>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</si>
  <si>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</si>
  <si>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</si>
  <si>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</si>
  <si>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</si>
  <si>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</si>
  <si>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</si>
  <si>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</si>
  <si>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</si>
  <si>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</si>
  <si>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</si>
  <si>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</si>
  <si>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</si>
  <si>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</si>
  <si>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</si>
  <si>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</si>
  <si>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</si>
  <si>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</si>
  <si>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</si>
  <si>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</si>
  <si>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</si>
  <si>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</si>
  <si>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</si>
  <si>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</si>
  <si>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</si>
  <si>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</si>
  <si>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</si>
  <si>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</si>
  <si>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</si>
  <si>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</si>
  <si>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</si>
  <si>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</si>
  <si>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</si>
  <si>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</si>
  <si>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</si>
  <si>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</si>
  <si>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</si>
  <si>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</si>
  <si>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</si>
  <si>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</si>
  <si>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</si>
  <si>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</si>
  <si>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</si>
  <si>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</si>
  <si>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</si>
  <si>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</si>
  <si>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</si>
  <si>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</si>
  <si>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</si>
  <si>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</si>
  <si>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</si>
  <si>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</si>
  <si>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</si>
  <si>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</si>
  <si>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</si>
  <si>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</si>
  <si>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</si>
  <si>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</si>
  <si>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</si>
  <si>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</si>
  <si>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</si>
  <si>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</si>
  <si>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</si>
  <si>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</si>
  <si>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</si>
  <si>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</si>
  <si>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</si>
  <si>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</si>
  <si>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</si>
  <si>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</si>
  <si>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</si>
  <si>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</si>
  <si>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</si>
  <si>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</si>
  <si>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</si>
  <si>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</si>
  <si>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</si>
  <si>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</si>
  <si>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</si>
  <si>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</si>
  <si>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</si>
  <si>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</si>
  <si>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</si>
  <si>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</si>
  <si>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</si>
  <si>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</si>
  <si>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</si>
  <si>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</si>
  <si>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</si>
  <si>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</si>
  <si>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</si>
  <si>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</si>
  <si>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</si>
  <si>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</si>
  <si>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</si>
  <si>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</si>
  <si>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</si>
  <si>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</si>
  <si>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</si>
  <si>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</si>
  <si>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</si>
  <si>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</si>
  <si>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</si>
  <si>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</si>
  <si>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</si>
  <si>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</si>
  <si>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</si>
  <si>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</si>
  <si>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</si>
  <si>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</si>
  <si>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</si>
  <si>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</si>
  <si>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</si>
  <si>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</si>
  <si>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</si>
  <si>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</si>
  <si>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</si>
  <si>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</si>
  <si>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</si>
  <si>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</si>
  <si>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</si>
  <si>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</si>
  <si>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</si>
  <si>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</si>
  <si>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</si>
  <si>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</si>
  <si>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</si>
  <si>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</si>
  <si>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</si>
  <si>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</si>
  <si>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</si>
  <si>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</si>
  <si>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</si>
  <si>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</si>
  <si>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</si>
  <si>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</si>
  <si>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</si>
  <si>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</si>
  <si>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</si>
  <si>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</si>
  <si>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</si>
  <si>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</si>
  <si>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</si>
  <si>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</si>
  <si>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</si>
  <si>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</si>
  <si>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</si>
  <si>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</si>
  <si>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</si>
  <si>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</si>
  <si>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</si>
  <si>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</si>
  <si>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</si>
  <si>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</si>
  <si>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</si>
  <si>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</si>
  <si>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</si>
  <si>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</si>
  <si>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</si>
  <si>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</si>
  <si>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</si>
  <si>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</si>
  <si>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</si>
  <si>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</si>
  <si>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</si>
  <si>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</si>
  <si>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</si>
  <si>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</si>
  <si>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</si>
  <si>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</si>
  <si>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</si>
  <si>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</si>
  <si>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</si>
  <si>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</si>
  <si>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</si>
  <si>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</si>
  <si>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</si>
  <si>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</si>
  <si>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</si>
  <si>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</si>
  <si>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</si>
  <si>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</si>
  <si>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</si>
  <si>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</si>
  <si>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</si>
  <si>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</si>
  <si>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</si>
  <si>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</si>
  <si>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</si>
  <si>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</si>
  <si>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</si>
  <si>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</si>
  <si>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</si>
  <si>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</si>
  <si>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</si>
  <si>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</si>
  <si>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</si>
  <si>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</si>
  <si>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</si>
  <si>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</si>
  <si>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</si>
  <si>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</si>
  <si>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</si>
  <si>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</si>
  <si>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</si>
  <si>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</si>
  <si>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</si>
  <si>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</si>
  <si>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</si>
  <si>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</si>
  <si>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</si>
  <si>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</si>
  <si>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</si>
  <si>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</si>
  <si>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</si>
  <si>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</si>
  <si>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</si>
  <si>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</si>
  <si>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</si>
  <si>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</si>
  <si>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</si>
  <si>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</si>
  <si>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</si>
  <si>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</si>
  <si>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</si>
  <si>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</si>
  <si>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</si>
  <si>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</si>
  <si>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</si>
  <si>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</si>
  <si>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</si>
  <si>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</si>
  <si>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</si>
  <si>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</si>
  <si>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</si>
  <si>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</si>
  <si>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</si>
  <si>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</si>
  <si>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</si>
  <si>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</si>
  <si>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</si>
  <si>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</si>
  <si>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</si>
  <si>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</si>
  <si>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</si>
  <si>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</si>
  <si>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</si>
  <si>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</si>
  <si>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</si>
  <si>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</si>
  <si>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</si>
  <si>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</si>
  <si>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</si>
  <si>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</si>
  <si>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</si>
  <si>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</si>
  <si>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</si>
  <si>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</si>
  <si>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</si>
  <si>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</si>
  <si>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</si>
  <si>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</si>
  <si>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</si>
  <si>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</si>
  <si>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</si>
  <si>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</si>
  <si>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</si>
  <si>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</si>
  <si>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</si>
  <si>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</si>
  <si>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</si>
  <si>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</si>
  <si>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</si>
  <si>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</si>
  <si>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</si>
  <si>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</si>
  <si>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</si>
  <si>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</si>
  <si>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</si>
  <si>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</si>
  <si>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</si>
  <si>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</si>
  <si>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</si>
  <si>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</si>
  <si>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</si>
  <si>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</si>
  <si>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</si>
  <si>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</si>
  <si>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</si>
  <si>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</si>
  <si>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</si>
  <si>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</si>
  <si>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</si>
  <si>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</si>
  <si>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</si>
  <si>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</si>
  <si>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</si>
  <si>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</si>
  <si>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</si>
  <si>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</si>
  <si>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</si>
  <si>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</si>
  <si>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</si>
  <si>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</si>
  <si>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</si>
  <si>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</si>
  <si>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</si>
  <si>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</si>
  <si>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</si>
  <si>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</si>
  <si>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</si>
  <si>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</si>
  <si>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</si>
  <si>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</si>
  <si>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</si>
  <si>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</si>
  <si>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</si>
  <si>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</si>
  <si>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</si>
  <si>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</si>
  <si>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</si>
  <si>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</si>
  <si>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</si>
  <si>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</si>
  <si>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</si>
  <si>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</si>
  <si>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</si>
  <si>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</si>
  <si>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</si>
  <si>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</si>
  <si>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</si>
  <si>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</si>
  <si>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</si>
  <si>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</si>
  <si>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</si>
  <si>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</si>
  <si>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</si>
  <si>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</si>
  <si>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</si>
  <si>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</si>
  <si>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</si>
  <si>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</si>
  <si>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</si>
  <si>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</si>
  <si>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</si>
  <si>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</si>
  <si>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</si>
  <si>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</si>
  <si>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</si>
  <si>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</si>
  <si>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</si>
  <si>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</si>
  <si>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</si>
  <si>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</si>
  <si>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</si>
  <si>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</si>
  <si>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</si>
  <si>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</si>
  <si>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</si>
  <si>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</si>
  <si>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</si>
  <si>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</si>
  <si>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</si>
  <si>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</si>
  <si>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</si>
  <si>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</si>
  <si>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</si>
  <si>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</si>
  <si>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</si>
  <si>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</si>
  <si>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</si>
  <si>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</si>
  <si>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</si>
  <si>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</si>
  <si>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</si>
  <si>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</si>
  <si>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</si>
  <si>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</si>
  <si>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</si>
  <si>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</si>
  <si>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</si>
  <si>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</si>
  <si>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</si>
  <si>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</si>
  <si>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</si>
  <si>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</si>
  <si>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</si>
  <si>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</si>
  <si>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</si>
  <si>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</si>
  <si>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</si>
  <si>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</si>
  <si>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</si>
  <si>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</si>
  <si>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</si>
  <si>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</si>
  <si>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</si>
  <si>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</si>
  <si>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</si>
  <si>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</si>
  <si>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</si>
  <si>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</si>
  <si>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</si>
  <si>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</si>
  <si>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</si>
  <si>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</si>
  <si>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</si>
  <si>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</si>
  <si>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</si>
  <si>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</si>
  <si>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</si>
  <si>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</si>
  <si>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</si>
  <si>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</si>
  <si>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</si>
  <si>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</si>
  <si>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</si>
  <si>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</si>
  <si>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</si>
  <si>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</si>
  <si>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</si>
  <si>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</si>
  <si>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</si>
  <si>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</si>
  <si>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</si>
  <si>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</si>
  <si>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</si>
  <si>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</si>
  <si>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</si>
  <si>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</si>
  <si>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</si>
  <si>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</si>
  <si>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</si>
  <si>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</si>
  <si>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</si>
  <si>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</si>
  <si>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</si>
  <si>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</si>
  <si>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</si>
  <si>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</si>
  <si>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</si>
  <si>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</si>
  <si>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</si>
  <si>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</si>
  <si>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</si>
  <si>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46021</t>
  </si>
  <si>
    <t>SINT-NIKLAAS</t>
  </si>
  <si>
    <t>Paarden&amp;pony's 200 - 600 kg</t>
  </si>
  <si>
    <t>Paarden&amp;pony's &lt; 200 kg</t>
  </si>
  <si>
    <t>Fluvius</t>
  </si>
  <si>
    <t>referentietaak LNE (2017); Jaarverslag De Lijn</t>
  </si>
  <si>
    <t>Acomus bvba</t>
  </si>
  <si>
    <t>Entrepotstraat 16 , 9100 Sint-Niklaas</t>
  </si>
  <si>
    <t>WKK-0353 Acomus</t>
  </si>
  <si>
    <t>interne verbrandingsmotor</t>
  </si>
  <si>
    <t>WKK interne verbrandinsgmotor (gas)</t>
  </si>
  <si>
    <t>INTERGEM</t>
  </si>
  <si>
    <t>MNtechnics bvba</t>
  </si>
  <si>
    <t>Anthonis De Jonghestraat 96 , 9100 Nieuwkerken-Waas</t>
  </si>
  <si>
    <t>WKK-0361 ALTech</t>
  </si>
  <si>
    <t>Vleeswarenfabriek De Cock NV</t>
  </si>
  <si>
    <t>Industriepark-Noord 14 , 9100 Sint-Niklaas</t>
  </si>
  <si>
    <t>WKK-0473 Vleeswarenfabriek De Cock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</si>
</sst>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522951.50006046891</c:v>
                </c:pt>
                <c:pt idx="1">
                  <c:v>329263.74159766926</c:v>
                </c:pt>
                <c:pt idx="2">
                  <c:v>3501.7269999999999</c:v>
                </c:pt>
                <c:pt idx="3">
                  <c:v>21922.29444541367</c:v>
                </c:pt>
                <c:pt idx="4">
                  <c:v>168220.74873295677</c:v>
                </c:pt>
                <c:pt idx="5">
                  <c:v>526099.53683842847</c:v>
                </c:pt>
                <c:pt idx="6">
                  <c:v>10188.681824849875</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522951.50006046891</c:v>
                </c:pt>
                <c:pt idx="1">
                  <c:v>329263.74159766926</c:v>
                </c:pt>
                <c:pt idx="2">
                  <c:v>3501.7269999999999</c:v>
                </c:pt>
                <c:pt idx="3">
                  <c:v>21922.29444541367</c:v>
                </c:pt>
                <c:pt idx="4">
                  <c:v>168220.74873295677</c:v>
                </c:pt>
                <c:pt idx="5">
                  <c:v>526099.53683842847</c:v>
                </c:pt>
                <c:pt idx="6">
                  <c:v>10188.681824849875</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96490.151163479197</c:v>
                </c:pt>
                <c:pt idx="2">
                  <c:v>66815.922887726178</c:v>
                </c:pt>
                <c:pt idx="3">
                  <c:v>719.78326987729031</c:v>
                </c:pt>
                <c:pt idx="4">
                  <c:v>5501.9354917266219</c:v>
                </c:pt>
                <c:pt idx="5">
                  <c:v>34107.99682068135</c:v>
                </c:pt>
                <c:pt idx="6">
                  <c:v>134819.99136371486</c:v>
                </c:pt>
                <c:pt idx="7">
                  <c:v>2638.6367560862727</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96490.151163479197</c:v>
                </c:pt>
                <c:pt idx="2">
                  <c:v>66815.922887726178</c:v>
                </c:pt>
                <c:pt idx="3">
                  <c:v>719.78326987729031</c:v>
                </c:pt>
                <c:pt idx="4">
                  <c:v>5501.9354917266219</c:v>
                </c:pt>
                <c:pt idx="5">
                  <c:v>34107.99682068135</c:v>
                </c:pt>
                <c:pt idx="6">
                  <c:v>134819.99136371486</c:v>
                </c:pt>
                <c:pt idx="7">
                  <c:v>2638.6367560862727</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46021</v>
      </c>
      <c r="B6" s="390"/>
      <c r="C6" s="391"/>
    </row>
    <row r="7" spans="1:7" s="388" customFormat="1" ht="15.75" customHeight="1">
      <c r="A7" s="392" t="str">
        <f>txtMunicipality</f>
        <v>SINT-NIKLAAS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0.2055509381163324</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0.2055509381163324</v>
      </c>
      <c r="C29" s="499">
        <f ca="1">'EF ele_warmte'!B22</f>
        <v>0.23764705882352941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31436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3796.21</v>
      </c>
      <c r="C14" s="330"/>
      <c r="D14" s="330"/>
      <c r="E14" s="330"/>
      <c r="F14" s="330"/>
    </row>
    <row r="15" spans="1:6">
      <c r="A15" s="1291" t="s">
        <v>183</v>
      </c>
      <c r="B15" s="1292">
        <v>55</v>
      </c>
      <c r="C15" s="330"/>
      <c r="D15" s="330"/>
      <c r="E15" s="330"/>
      <c r="F15" s="330"/>
    </row>
    <row r="16" spans="1:6">
      <c r="A16" s="1291" t="s">
        <v>6</v>
      </c>
      <c r="B16" s="1292">
        <v>2184</v>
      </c>
      <c r="C16" s="330"/>
      <c r="D16" s="330"/>
      <c r="E16" s="330"/>
      <c r="F16" s="330"/>
    </row>
    <row r="17" spans="1:6">
      <c r="A17" s="1291" t="s">
        <v>7</v>
      </c>
      <c r="B17" s="1292">
        <v>1007</v>
      </c>
      <c r="C17" s="330"/>
      <c r="D17" s="330"/>
      <c r="E17" s="330"/>
      <c r="F17" s="330"/>
    </row>
    <row r="18" spans="1:6">
      <c r="A18" s="1291" t="s">
        <v>8</v>
      </c>
      <c r="B18" s="1292">
        <v>2004</v>
      </c>
      <c r="C18" s="330"/>
      <c r="D18" s="330"/>
      <c r="E18" s="330"/>
      <c r="F18" s="330"/>
    </row>
    <row r="19" spans="1:6">
      <c r="A19" s="1291" t="s">
        <v>9</v>
      </c>
      <c r="B19" s="1292">
        <v>1871</v>
      </c>
      <c r="C19" s="330"/>
      <c r="D19" s="330"/>
      <c r="E19" s="330"/>
      <c r="F19" s="330"/>
    </row>
    <row r="20" spans="1:6">
      <c r="A20" s="1291" t="s">
        <v>10</v>
      </c>
      <c r="B20" s="1292">
        <v>798</v>
      </c>
      <c r="C20" s="330"/>
      <c r="D20" s="330"/>
      <c r="E20" s="330"/>
      <c r="F20" s="330"/>
    </row>
    <row r="21" spans="1:6">
      <c r="A21" s="1291" t="s">
        <v>11</v>
      </c>
      <c r="B21" s="1292">
        <v>16373</v>
      </c>
      <c r="C21" s="330"/>
      <c r="D21" s="330"/>
      <c r="E21" s="330"/>
      <c r="F21" s="330"/>
    </row>
    <row r="22" spans="1:6">
      <c r="A22" s="1291" t="s">
        <v>12</v>
      </c>
      <c r="B22" s="1292">
        <v>28074</v>
      </c>
      <c r="C22" s="330"/>
      <c r="D22" s="330"/>
      <c r="E22" s="330"/>
      <c r="F22" s="330"/>
    </row>
    <row r="23" spans="1:6">
      <c r="A23" s="1291" t="s">
        <v>13</v>
      </c>
      <c r="B23" s="1292">
        <v>851</v>
      </c>
      <c r="C23" s="330"/>
      <c r="D23" s="330"/>
      <c r="E23" s="330"/>
      <c r="F23" s="330"/>
    </row>
    <row r="24" spans="1:6">
      <c r="A24" s="1291" t="s">
        <v>14</v>
      </c>
      <c r="B24" s="1292">
        <v>39</v>
      </c>
      <c r="C24" s="330"/>
      <c r="D24" s="330"/>
      <c r="E24" s="330"/>
      <c r="F24" s="330"/>
    </row>
    <row r="25" spans="1:6">
      <c r="A25" s="1291" t="s">
        <v>15</v>
      </c>
      <c r="B25" s="1292">
        <v>4262</v>
      </c>
      <c r="C25" s="330"/>
      <c r="D25" s="330"/>
      <c r="E25" s="330"/>
      <c r="F25" s="330"/>
    </row>
    <row r="26" spans="1:6">
      <c r="A26" s="1291" t="s">
        <v>16</v>
      </c>
      <c r="B26" s="1292">
        <v>297</v>
      </c>
      <c r="C26" s="330"/>
      <c r="D26" s="330"/>
      <c r="E26" s="330"/>
      <c r="F26" s="330"/>
    </row>
    <row r="27" spans="1:6">
      <c r="A27" s="1291" t="s">
        <v>17</v>
      </c>
      <c r="B27" s="1292">
        <v>823</v>
      </c>
      <c r="C27" s="330"/>
      <c r="D27" s="330"/>
      <c r="E27" s="330"/>
      <c r="F27" s="330"/>
    </row>
    <row r="28" spans="1:6" s="43" customFormat="1">
      <c r="A28" s="1293" t="s">
        <v>18</v>
      </c>
      <c r="B28" s="1294">
        <v>241449</v>
      </c>
      <c r="C28" s="336"/>
      <c r="D28" s="336"/>
      <c r="E28" s="336"/>
      <c r="F28" s="336"/>
    </row>
    <row r="29" spans="1:6">
      <c r="A29" s="1293" t="s">
        <v>892</v>
      </c>
      <c r="B29" s="1294">
        <v>449</v>
      </c>
      <c r="C29" s="336"/>
      <c r="D29" s="336"/>
      <c r="E29" s="336"/>
      <c r="F29" s="336"/>
    </row>
    <row r="30" spans="1:6">
      <c r="A30" s="1286" t="s">
        <v>893</v>
      </c>
      <c r="B30" s="1295">
        <v>134</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4</v>
      </c>
      <c r="D36" s="1292">
        <v>1055131.6895999999</v>
      </c>
      <c r="E36" s="1292">
        <v>9</v>
      </c>
      <c r="F36" s="1292">
        <v>323072.94102999999</v>
      </c>
    </row>
    <row r="37" spans="1:6">
      <c r="A37" s="1291" t="s">
        <v>24</v>
      </c>
      <c r="B37" s="1291" t="s">
        <v>27</v>
      </c>
      <c r="C37" s="1292">
        <v>0</v>
      </c>
      <c r="D37" s="1292">
        <v>0</v>
      </c>
      <c r="E37" s="1292">
        <v>0</v>
      </c>
      <c r="F37" s="1292">
        <v>0</v>
      </c>
    </row>
    <row r="38" spans="1:6">
      <c r="A38" s="1291" t="s">
        <v>24</v>
      </c>
      <c r="B38" s="1291" t="s">
        <v>28</v>
      </c>
      <c r="C38" s="1292">
        <v>2</v>
      </c>
      <c r="D38" s="1292">
        <v>324743.28999999998</v>
      </c>
      <c r="E38" s="1292">
        <v>4</v>
      </c>
      <c r="F38" s="1292">
        <v>76462.739115000004</v>
      </c>
    </row>
    <row r="39" spans="1:6">
      <c r="A39" s="1291" t="s">
        <v>29</v>
      </c>
      <c r="B39" s="1291" t="s">
        <v>30</v>
      </c>
      <c r="C39" s="1292">
        <v>23661</v>
      </c>
      <c r="D39" s="1292">
        <v>326569530.38</v>
      </c>
      <c r="E39" s="1292">
        <v>31232</v>
      </c>
      <c r="F39" s="1292">
        <v>105560305.8</v>
      </c>
    </row>
    <row r="40" spans="1:6">
      <c r="A40" s="1291" t="s">
        <v>29</v>
      </c>
      <c r="B40" s="1291" t="s">
        <v>28</v>
      </c>
      <c r="C40" s="1292">
        <v>0</v>
      </c>
      <c r="D40" s="1292">
        <v>0</v>
      </c>
      <c r="E40" s="1292">
        <v>1</v>
      </c>
      <c r="F40" s="1292">
        <v>13001.610742000001</v>
      </c>
    </row>
    <row r="41" spans="1:6">
      <c r="A41" s="1291" t="s">
        <v>31</v>
      </c>
      <c r="B41" s="1291" t="s">
        <v>32</v>
      </c>
      <c r="C41" s="1292">
        <v>277</v>
      </c>
      <c r="D41" s="1292">
        <v>6851802.7434</v>
      </c>
      <c r="E41" s="1292">
        <v>564</v>
      </c>
      <c r="F41" s="1292">
        <v>6262692.7580000004</v>
      </c>
    </row>
    <row r="42" spans="1:6">
      <c r="A42" s="1291" t="s">
        <v>31</v>
      </c>
      <c r="B42" s="1291" t="s">
        <v>33</v>
      </c>
      <c r="C42" s="1292">
        <v>4</v>
      </c>
      <c r="D42" s="1292">
        <v>3448268.1987000001</v>
      </c>
      <c r="E42" s="1292">
        <v>7</v>
      </c>
      <c r="F42" s="1292">
        <v>2321242.3269000002</v>
      </c>
    </row>
    <row r="43" spans="1:6">
      <c r="A43" s="1291" t="s">
        <v>31</v>
      </c>
      <c r="B43" s="1291" t="s">
        <v>34</v>
      </c>
      <c r="C43" s="1292">
        <v>0</v>
      </c>
      <c r="D43" s="1292">
        <v>0</v>
      </c>
      <c r="E43" s="1292">
        <v>6</v>
      </c>
      <c r="F43" s="1292">
        <v>28435.063153999999</v>
      </c>
    </row>
    <row r="44" spans="1:6">
      <c r="A44" s="1291" t="s">
        <v>31</v>
      </c>
      <c r="B44" s="1291" t="s">
        <v>35</v>
      </c>
      <c r="C44" s="1292">
        <v>25</v>
      </c>
      <c r="D44" s="1292">
        <v>9427676.8905999996</v>
      </c>
      <c r="E44" s="1292">
        <v>65</v>
      </c>
      <c r="F44" s="1292">
        <v>11947536.967</v>
      </c>
    </row>
    <row r="45" spans="1:6">
      <c r="A45" s="1291" t="s">
        <v>31</v>
      </c>
      <c r="B45" s="1291" t="s">
        <v>36</v>
      </c>
      <c r="C45" s="1292">
        <v>3</v>
      </c>
      <c r="D45" s="1292">
        <v>167842.18361000001</v>
      </c>
      <c r="E45" s="1292">
        <v>14</v>
      </c>
      <c r="F45" s="1292">
        <v>228432.88871999999</v>
      </c>
    </row>
    <row r="46" spans="1:6">
      <c r="A46" s="1291" t="s">
        <v>31</v>
      </c>
      <c r="B46" s="1291" t="s">
        <v>37</v>
      </c>
      <c r="C46" s="1292">
        <v>0</v>
      </c>
      <c r="D46" s="1292">
        <v>0</v>
      </c>
      <c r="E46" s="1292">
        <v>0</v>
      </c>
      <c r="F46" s="1292">
        <v>0</v>
      </c>
    </row>
    <row r="47" spans="1:6">
      <c r="A47" s="1291" t="s">
        <v>31</v>
      </c>
      <c r="B47" s="1291" t="s">
        <v>38</v>
      </c>
      <c r="C47" s="1292">
        <v>16</v>
      </c>
      <c r="D47" s="1292">
        <v>1343767.5774999999</v>
      </c>
      <c r="E47" s="1292">
        <v>18</v>
      </c>
      <c r="F47" s="1292">
        <v>1830971.4071</v>
      </c>
    </row>
    <row r="48" spans="1:6">
      <c r="A48" s="1291" t="s">
        <v>31</v>
      </c>
      <c r="B48" s="1291" t="s">
        <v>28</v>
      </c>
      <c r="C48" s="1292">
        <v>85</v>
      </c>
      <c r="D48" s="1292">
        <v>34663592.191</v>
      </c>
      <c r="E48" s="1292">
        <v>101</v>
      </c>
      <c r="F48" s="1292">
        <v>37731206.267999999</v>
      </c>
    </row>
    <row r="49" spans="1:6">
      <c r="A49" s="1291" t="s">
        <v>31</v>
      </c>
      <c r="B49" s="1291" t="s">
        <v>39</v>
      </c>
      <c r="C49" s="1292">
        <v>10</v>
      </c>
      <c r="D49" s="1292">
        <v>419397.29070000001</v>
      </c>
      <c r="E49" s="1292">
        <v>25</v>
      </c>
      <c r="F49" s="1292">
        <v>863609.90151999996</v>
      </c>
    </row>
    <row r="50" spans="1:6">
      <c r="A50" s="1291" t="s">
        <v>31</v>
      </c>
      <c r="B50" s="1291" t="s">
        <v>40</v>
      </c>
      <c r="C50" s="1292">
        <v>37</v>
      </c>
      <c r="D50" s="1292">
        <v>7783066.8574999999</v>
      </c>
      <c r="E50" s="1292">
        <v>53</v>
      </c>
      <c r="F50" s="1292">
        <v>13676327.068</v>
      </c>
    </row>
    <row r="51" spans="1:6">
      <c r="A51" s="1291" t="s">
        <v>41</v>
      </c>
      <c r="B51" s="1291" t="s">
        <v>42</v>
      </c>
      <c r="C51" s="1292">
        <v>28</v>
      </c>
      <c r="D51" s="1292">
        <v>729042.50462999998</v>
      </c>
      <c r="E51" s="1292">
        <v>174</v>
      </c>
      <c r="F51" s="1292">
        <v>3588852.8110000002</v>
      </c>
    </row>
    <row r="52" spans="1:6">
      <c r="A52" s="1291" t="s">
        <v>41</v>
      </c>
      <c r="B52" s="1291" t="s">
        <v>28</v>
      </c>
      <c r="C52" s="1292">
        <v>18</v>
      </c>
      <c r="D52" s="1292">
        <v>1793557.1887000001</v>
      </c>
      <c r="E52" s="1292">
        <v>25</v>
      </c>
      <c r="F52" s="1292">
        <v>483096.32769000001</v>
      </c>
    </row>
    <row r="53" spans="1:6">
      <c r="A53" s="1291" t="s">
        <v>43</v>
      </c>
      <c r="B53" s="1291" t="s">
        <v>44</v>
      </c>
      <c r="C53" s="1292">
        <v>610</v>
      </c>
      <c r="D53" s="1292">
        <v>11319357.627</v>
      </c>
      <c r="E53" s="1292">
        <v>1223</v>
      </c>
      <c r="F53" s="1292">
        <v>4672673.2363</v>
      </c>
    </row>
    <row r="54" spans="1:6">
      <c r="A54" s="1291" t="s">
        <v>45</v>
      </c>
      <c r="B54" s="1291" t="s">
        <v>46</v>
      </c>
      <c r="C54" s="1292">
        <v>0</v>
      </c>
      <c r="D54" s="1292">
        <v>0</v>
      </c>
      <c r="E54" s="1292">
        <v>1</v>
      </c>
      <c r="F54" s="1292">
        <v>3501727</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293</v>
      </c>
      <c r="D57" s="1292">
        <v>19898973.662</v>
      </c>
      <c r="E57" s="1292">
        <v>488</v>
      </c>
      <c r="F57" s="1292">
        <v>12197346.897</v>
      </c>
    </row>
    <row r="58" spans="1:6">
      <c r="A58" s="1291" t="s">
        <v>48</v>
      </c>
      <c r="B58" s="1291" t="s">
        <v>50</v>
      </c>
      <c r="C58" s="1292">
        <v>187</v>
      </c>
      <c r="D58" s="1292">
        <v>35390766.219999999</v>
      </c>
      <c r="E58" s="1292">
        <v>308</v>
      </c>
      <c r="F58" s="1292">
        <v>18656134.368000001</v>
      </c>
    </row>
    <row r="59" spans="1:6">
      <c r="A59" s="1291" t="s">
        <v>48</v>
      </c>
      <c r="B59" s="1291" t="s">
        <v>51</v>
      </c>
      <c r="C59" s="1292">
        <v>582</v>
      </c>
      <c r="D59" s="1292">
        <v>33988773.486000001</v>
      </c>
      <c r="E59" s="1292">
        <v>1091</v>
      </c>
      <c r="F59" s="1292">
        <v>42714398.398000002</v>
      </c>
    </row>
    <row r="60" spans="1:6">
      <c r="A60" s="1291" t="s">
        <v>48</v>
      </c>
      <c r="B60" s="1291" t="s">
        <v>52</v>
      </c>
      <c r="C60" s="1292">
        <v>266</v>
      </c>
      <c r="D60" s="1292">
        <v>12414068.526000001</v>
      </c>
      <c r="E60" s="1292">
        <v>328</v>
      </c>
      <c r="F60" s="1292">
        <v>9869937.8147999998</v>
      </c>
    </row>
    <row r="61" spans="1:6">
      <c r="A61" s="1291" t="s">
        <v>48</v>
      </c>
      <c r="B61" s="1291" t="s">
        <v>53</v>
      </c>
      <c r="C61" s="1292">
        <v>757</v>
      </c>
      <c r="D61" s="1292">
        <v>49845054.633000001</v>
      </c>
      <c r="E61" s="1292">
        <v>1573</v>
      </c>
      <c r="F61" s="1292">
        <v>30873471.429000001</v>
      </c>
    </row>
    <row r="62" spans="1:6">
      <c r="A62" s="1291" t="s">
        <v>48</v>
      </c>
      <c r="B62" s="1291" t="s">
        <v>54</v>
      </c>
      <c r="C62" s="1292">
        <v>76</v>
      </c>
      <c r="D62" s="1292">
        <v>10768772.880000001</v>
      </c>
      <c r="E62" s="1292">
        <v>86</v>
      </c>
      <c r="F62" s="1292">
        <v>3250445.7217000001</v>
      </c>
    </row>
    <row r="63" spans="1:6">
      <c r="A63" s="1291" t="s">
        <v>48</v>
      </c>
      <c r="B63" s="1291" t="s">
        <v>28</v>
      </c>
      <c r="C63" s="1292">
        <v>226</v>
      </c>
      <c r="D63" s="1292">
        <v>14348464.726</v>
      </c>
      <c r="E63" s="1292">
        <v>253</v>
      </c>
      <c r="F63" s="1292">
        <v>8472261.0829000007</v>
      </c>
    </row>
    <row r="64" spans="1:6">
      <c r="A64" s="1291" t="s">
        <v>55</v>
      </c>
      <c r="B64" s="1291" t="s">
        <v>56</v>
      </c>
      <c r="C64" s="1292">
        <v>0</v>
      </c>
      <c r="D64" s="1292">
        <v>0</v>
      </c>
      <c r="E64" s="1292">
        <v>0</v>
      </c>
      <c r="F64" s="1292">
        <v>0</v>
      </c>
    </row>
    <row r="65" spans="1:6">
      <c r="A65" s="1291" t="s">
        <v>55</v>
      </c>
      <c r="B65" s="1291" t="s">
        <v>28</v>
      </c>
      <c r="C65" s="1292">
        <v>7</v>
      </c>
      <c r="D65" s="1292">
        <v>295878.30631999997</v>
      </c>
      <c r="E65" s="1292">
        <v>7</v>
      </c>
      <c r="F65" s="1292">
        <v>63547.470589999997</v>
      </c>
    </row>
    <row r="66" spans="1:6">
      <c r="A66" s="1291" t="s">
        <v>55</v>
      </c>
      <c r="B66" s="1291" t="s">
        <v>57</v>
      </c>
      <c r="C66" s="1292">
        <v>3</v>
      </c>
      <c r="D66" s="1292">
        <v>379788.71370000002</v>
      </c>
      <c r="E66" s="1292">
        <v>31</v>
      </c>
      <c r="F66" s="1292">
        <v>1243240.1369</v>
      </c>
    </row>
    <row r="67" spans="1:6">
      <c r="A67" s="1293" t="s">
        <v>55</v>
      </c>
      <c r="B67" s="1293" t="s">
        <v>58</v>
      </c>
      <c r="C67" s="1292">
        <v>0</v>
      </c>
      <c r="D67" s="1292">
        <v>0</v>
      </c>
      <c r="E67" s="1292">
        <v>0</v>
      </c>
      <c r="F67" s="1292">
        <v>0</v>
      </c>
    </row>
    <row r="68" spans="1:6">
      <c r="A68" s="1286" t="s">
        <v>55</v>
      </c>
      <c r="B68" s="1286" t="s">
        <v>59</v>
      </c>
      <c r="C68" s="1295">
        <v>8</v>
      </c>
      <c r="D68" s="1295">
        <v>120873.9436</v>
      </c>
      <c r="E68" s="1295">
        <v>40</v>
      </c>
      <c r="F68" s="1295">
        <v>475940.06488999998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171467071</v>
      </c>
      <c r="E73" s="449"/>
      <c r="F73" s="330"/>
    </row>
    <row r="74" spans="1:6">
      <c r="A74" s="1291" t="s">
        <v>63</v>
      </c>
      <c r="B74" s="1291" t="s">
        <v>664</v>
      </c>
      <c r="C74" s="1305" t="s">
        <v>666</v>
      </c>
      <c r="D74" s="1306">
        <v>19638077.783986539</v>
      </c>
      <c r="E74" s="449"/>
      <c r="F74" s="330"/>
    </row>
    <row r="75" spans="1:6">
      <c r="A75" s="1291" t="s">
        <v>64</v>
      </c>
      <c r="B75" s="1291" t="s">
        <v>663</v>
      </c>
      <c r="C75" s="1305" t="s">
        <v>667</v>
      </c>
      <c r="D75" s="1306">
        <v>164880604</v>
      </c>
      <c r="E75" s="449"/>
      <c r="F75" s="330"/>
    </row>
    <row r="76" spans="1:6">
      <c r="A76" s="1291" t="s">
        <v>64</v>
      </c>
      <c r="B76" s="1291" t="s">
        <v>664</v>
      </c>
      <c r="C76" s="1305" t="s">
        <v>668</v>
      </c>
      <c r="D76" s="1306">
        <v>10467917.783986539</v>
      </c>
      <c r="E76" s="449"/>
      <c r="F76" s="330"/>
    </row>
    <row r="77" spans="1:6">
      <c r="A77" s="1291" t="s">
        <v>65</v>
      </c>
      <c r="B77" s="1291" t="s">
        <v>663</v>
      </c>
      <c r="C77" s="1305" t="s">
        <v>669</v>
      </c>
      <c r="D77" s="1306">
        <v>135161249</v>
      </c>
      <c r="E77" s="449"/>
      <c r="F77" s="330"/>
    </row>
    <row r="78" spans="1:6">
      <c r="A78" s="1286" t="s">
        <v>65</v>
      </c>
      <c r="B78" s="1286" t="s">
        <v>664</v>
      </c>
      <c r="C78" s="1286" t="s">
        <v>670</v>
      </c>
      <c r="D78" s="1307">
        <v>32594807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2764532.4320269227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10555.596126033637</v>
      </c>
      <c r="C91" s="330"/>
      <c r="D91" s="330"/>
      <c r="E91" s="330"/>
      <c r="F91" s="330"/>
    </row>
    <row r="92" spans="1:6">
      <c r="A92" s="1286" t="s">
        <v>68</v>
      </c>
      <c r="B92" s="1287">
        <v>12571.284709341515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16810</v>
      </c>
      <c r="C97" s="330"/>
      <c r="D97" s="330"/>
      <c r="E97" s="330"/>
      <c r="F97" s="330"/>
    </row>
    <row r="98" spans="1:6">
      <c r="A98" s="1291" t="s">
        <v>71</v>
      </c>
      <c r="B98" s="1292">
        <v>15</v>
      </c>
      <c r="C98" s="330"/>
      <c r="D98" s="330"/>
      <c r="E98" s="330"/>
      <c r="F98" s="330"/>
    </row>
    <row r="99" spans="1:6">
      <c r="A99" s="1291" t="s">
        <v>72</v>
      </c>
      <c r="B99" s="1292">
        <v>215</v>
      </c>
      <c r="C99" s="330"/>
      <c r="D99" s="330"/>
      <c r="E99" s="330"/>
      <c r="F99" s="330"/>
    </row>
    <row r="100" spans="1:6">
      <c r="A100" s="1291" t="s">
        <v>73</v>
      </c>
      <c r="B100" s="1292">
        <v>2077</v>
      </c>
      <c r="C100" s="330"/>
      <c r="D100" s="330"/>
      <c r="E100" s="330"/>
      <c r="F100" s="330"/>
    </row>
    <row r="101" spans="1:6">
      <c r="A101" s="1291" t="s">
        <v>74</v>
      </c>
      <c r="B101" s="1292">
        <v>290</v>
      </c>
      <c r="C101" s="330"/>
      <c r="D101" s="330"/>
      <c r="E101" s="330"/>
      <c r="F101" s="330"/>
    </row>
    <row r="102" spans="1:6">
      <c r="A102" s="1291" t="s">
        <v>75</v>
      </c>
      <c r="B102" s="1292">
        <v>856</v>
      </c>
      <c r="C102" s="330"/>
      <c r="D102" s="330"/>
      <c r="E102" s="330"/>
      <c r="F102" s="330"/>
    </row>
    <row r="103" spans="1:6">
      <c r="A103" s="1291" t="s">
        <v>76</v>
      </c>
      <c r="B103" s="1292">
        <v>965</v>
      </c>
      <c r="C103" s="330"/>
      <c r="D103" s="330"/>
      <c r="E103" s="330"/>
      <c r="F103" s="330"/>
    </row>
    <row r="104" spans="1:6">
      <c r="A104" s="1291" t="s">
        <v>77</v>
      </c>
      <c r="B104" s="1292">
        <v>6412</v>
      </c>
      <c r="C104" s="330"/>
      <c r="D104" s="330"/>
      <c r="E104" s="330"/>
      <c r="F104" s="330"/>
    </row>
    <row r="105" spans="1:6">
      <c r="A105" s="1286" t="s">
        <v>78</v>
      </c>
      <c r="B105" s="1295">
        <v>32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1</v>
      </c>
      <c r="C122" s="1292">
        <v>0</v>
      </c>
      <c r="D122" s="330"/>
      <c r="E122" s="330"/>
      <c r="F122" s="330"/>
    </row>
    <row r="123" spans="1:6">
      <c r="A123" s="1291" t="s">
        <v>87</v>
      </c>
      <c r="B123" s="1292">
        <v>68</v>
      </c>
      <c r="C123" s="1292">
        <v>61</v>
      </c>
      <c r="D123" s="330"/>
      <c r="E123" s="330"/>
      <c r="F123" s="330"/>
    </row>
    <row r="124" spans="1:6" s="43" customFormat="1">
      <c r="A124" s="1293" t="s">
        <v>88</v>
      </c>
      <c r="B124" s="1314">
        <v>3</v>
      </c>
      <c r="C124" s="1314">
        <v>4</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429</v>
      </c>
      <c r="C129" s="330"/>
      <c r="D129" s="330"/>
      <c r="E129" s="330"/>
      <c r="F129" s="330"/>
    </row>
    <row r="130" spans="1:6">
      <c r="A130" s="1291" t="s">
        <v>294</v>
      </c>
      <c r="B130" s="1292">
        <v>11</v>
      </c>
      <c r="C130" s="330"/>
      <c r="D130" s="330"/>
      <c r="E130" s="330"/>
      <c r="F130" s="330"/>
    </row>
    <row r="131" spans="1:6">
      <c r="A131" s="1291" t="s">
        <v>295</v>
      </c>
      <c r="B131" s="1292">
        <v>10</v>
      </c>
      <c r="C131" s="330"/>
      <c r="D131" s="330"/>
      <c r="E131" s="330"/>
      <c r="F131" s="330"/>
    </row>
    <row r="132" spans="1:6">
      <c r="A132" s="1286" t="s">
        <v>296</v>
      </c>
      <c r="B132" s="1287">
        <v>64</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330087.46726082405</v>
      </c>
      <c r="C3" s="43" t="s">
        <v>169</v>
      </c>
      <c r="D3" s="43"/>
      <c r="E3" s="154"/>
      <c r="F3" s="43"/>
      <c r="G3" s="43"/>
      <c r="H3" s="43"/>
      <c r="I3" s="43"/>
      <c r="J3" s="43"/>
      <c r="K3" s="96"/>
    </row>
    <row r="4" spans="1:11">
      <c r="A4" s="358" t="s">
        <v>170</v>
      </c>
      <c r="B4" s="49">
        <f>IF(ISERROR('SEAP template'!B78+'SEAP template'!C78),0,'SEAP template'!B78+'SEAP template'!C78)</f>
        <v>23817.630835375152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164.15470588235297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0.2055509381163324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234.50672268907564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986.78571428571433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3501.7269999999999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3501.7269999999999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0.2055509381163324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719.78326987729031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105573.307410742</v>
      </c>
      <c r="C5" s="17">
        <f>IF(ISERROR('Eigen informatie GS &amp; warmtenet'!B57),0,'Eigen informatie GS &amp; warmtenet'!B57)</f>
        <v>0</v>
      </c>
      <c r="D5" s="30">
        <f>(SUM(HH_hh_gas_kWh,HH_rest_gas_kWh)/1000)*0.902</f>
        <v>294565.71640276001</v>
      </c>
      <c r="E5" s="17">
        <f>B46*B57</f>
        <v>50015.556770222865</v>
      </c>
      <c r="F5" s="17">
        <f>B51*B62</f>
        <v>0</v>
      </c>
      <c r="G5" s="18"/>
      <c r="H5" s="17"/>
      <c r="I5" s="17"/>
      <c r="J5" s="17">
        <f>B50*B61+C50*C61</f>
        <v>4982.8813527564216</v>
      </c>
      <c r="K5" s="17"/>
      <c r="L5" s="17"/>
      <c r="M5" s="17"/>
      <c r="N5" s="17">
        <f>B48*B59+C48*C59</f>
        <v>53912.155331287344</v>
      </c>
      <c r="O5" s="17">
        <f>B69*B70*B71</f>
        <v>772.28666666666675</v>
      </c>
      <c r="P5" s="17">
        <f>B77*B78*B79/1000-B77*B78*B79/1000/B80</f>
        <v>2574</v>
      </c>
    </row>
    <row r="6" spans="1:16">
      <c r="A6" s="16" t="s">
        <v>623</v>
      </c>
      <c r="B6" s="762">
        <f>kWh_PV_kleiner_dan_10kW</f>
        <v>10555.596126033637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116128.90353677563</v>
      </c>
      <c r="C8" s="21">
        <f>C5</f>
        <v>0</v>
      </c>
      <c r="D8" s="21">
        <f>D5</f>
        <v>294565.71640276001</v>
      </c>
      <c r="E8" s="21">
        <f>E5</f>
        <v>50015.556770222865</v>
      </c>
      <c r="F8" s="21">
        <f>F5</f>
        <v>0</v>
      </c>
      <c r="G8" s="21"/>
      <c r="H8" s="21"/>
      <c r="I8" s="21"/>
      <c r="J8" s="21">
        <f>J5</f>
        <v>4982.8813527564216</v>
      </c>
      <c r="K8" s="21"/>
      <c r="L8" s="21">
        <f>L5</f>
        <v>0</v>
      </c>
      <c r="M8" s="21">
        <f>M5</f>
        <v>0</v>
      </c>
      <c r="N8" s="21">
        <f>N5</f>
        <v>53912.155331287344</v>
      </c>
      <c r="O8" s="21">
        <f>O5</f>
        <v>772.28666666666675</v>
      </c>
      <c r="P8" s="21">
        <f>P5</f>
        <v>2574</v>
      </c>
    </row>
    <row r="9" spans="1:16">
      <c r="B9" s="19"/>
      <c r="C9" s="19"/>
      <c r="D9" s="258"/>
      <c r="E9" s="19"/>
      <c r="F9" s="19"/>
      <c r="G9" s="19"/>
      <c r="H9" s="19"/>
      <c r="I9" s="19"/>
      <c r="J9" s="19"/>
      <c r="K9" s="19"/>
      <c r="L9" s="19"/>
      <c r="M9" s="19"/>
      <c r="N9" s="19"/>
      <c r="O9" s="19"/>
      <c r="P9" s="19"/>
    </row>
    <row r="10" spans="1:16">
      <c r="A10" s="24" t="s">
        <v>213</v>
      </c>
      <c r="B10" s="25">
        <f ca="1">'EF ele_warmte'!B12</f>
        <v>0.2055509381163324</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23870.405064405302</v>
      </c>
      <c r="C12" s="23">
        <f ca="1">C10*C8</f>
        <v>0</v>
      </c>
      <c r="D12" s="23">
        <f>D8*D10</f>
        <v>59502.274713357525</v>
      </c>
      <c r="E12" s="23">
        <f>E10*E8</f>
        <v>11353.53138684059</v>
      </c>
      <c r="F12" s="23">
        <f>F10*F8</f>
        <v>0</v>
      </c>
      <c r="G12" s="23"/>
      <c r="H12" s="23"/>
      <c r="I12" s="23"/>
      <c r="J12" s="23">
        <f>J10*J8</f>
        <v>1763.9399988757732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16810</v>
      </c>
      <c r="C18" s="166" t="s">
        <v>110</v>
      </c>
      <c r="D18" s="228"/>
      <c r="E18" s="15"/>
    </row>
    <row r="19" spans="1:7">
      <c r="A19" s="171" t="s">
        <v>71</v>
      </c>
      <c r="B19" s="37">
        <f>aantalw2001_ander</f>
        <v>15</v>
      </c>
      <c r="C19" s="166" t="s">
        <v>110</v>
      </c>
      <c r="D19" s="229"/>
      <c r="E19" s="15"/>
    </row>
    <row r="20" spans="1:7">
      <c r="A20" s="171" t="s">
        <v>72</v>
      </c>
      <c r="B20" s="37">
        <f>aantalw2001_propaan</f>
        <v>215</v>
      </c>
      <c r="C20" s="167">
        <f>IF(ISERROR(B20/SUM($B$20,$B$21,$B$22)*100),0,B20/SUM($B$20,$B$21,$B$22)*100)</f>
        <v>8.3268783888458557</v>
      </c>
      <c r="D20" s="229"/>
      <c r="E20" s="15"/>
    </row>
    <row r="21" spans="1:7">
      <c r="A21" s="171" t="s">
        <v>73</v>
      </c>
      <c r="B21" s="37">
        <f>aantalw2001_elektriciteit</f>
        <v>2077</v>
      </c>
      <c r="C21" s="167">
        <f>IF(ISERROR(B21/SUM($B$20,$B$21,$B$22)*100),0,B21/SUM($B$20,$B$21,$B$22)*100)</f>
        <v>80.441518202943456</v>
      </c>
      <c r="D21" s="229"/>
      <c r="E21" s="15"/>
    </row>
    <row r="22" spans="1:7">
      <c r="A22" s="171" t="s">
        <v>74</v>
      </c>
      <c r="B22" s="37">
        <f>aantalw2001_hout</f>
        <v>290</v>
      </c>
      <c r="C22" s="167">
        <f>IF(ISERROR(B22/SUM($B$20,$B$21,$B$22)*100),0,B22/SUM($B$20,$B$21,$B$22)*100)</f>
        <v>11.23160340821069</v>
      </c>
      <c r="D22" s="229"/>
      <c r="E22" s="15"/>
    </row>
    <row r="23" spans="1:7">
      <c r="A23" s="171" t="s">
        <v>75</v>
      </c>
      <c r="B23" s="37">
        <f>aantalw2001_niet_gespec</f>
        <v>856</v>
      </c>
      <c r="C23" s="166" t="s">
        <v>110</v>
      </c>
      <c r="D23" s="228"/>
      <c r="E23" s="15"/>
    </row>
    <row r="24" spans="1:7">
      <c r="A24" s="171" t="s">
        <v>76</v>
      </c>
      <c r="B24" s="37">
        <f>aantalw2001_steenkool</f>
        <v>965</v>
      </c>
      <c r="C24" s="166" t="s">
        <v>110</v>
      </c>
      <c r="D24" s="229"/>
      <c r="E24" s="15"/>
    </row>
    <row r="25" spans="1:7">
      <c r="A25" s="171" t="s">
        <v>77</v>
      </c>
      <c r="B25" s="37">
        <f>aantalw2001_stookolie</f>
        <v>6412</v>
      </c>
      <c r="C25" s="166" t="s">
        <v>110</v>
      </c>
      <c r="D25" s="228"/>
      <c r="E25" s="52"/>
    </row>
    <row r="26" spans="1:7">
      <c r="A26" s="171" t="s">
        <v>78</v>
      </c>
      <c r="B26" s="37">
        <f>aantalw2001_WP</f>
        <v>32</v>
      </c>
      <c r="C26" s="166" t="s">
        <v>110</v>
      </c>
      <c r="D26" s="228"/>
      <c r="E26" s="15"/>
    </row>
    <row r="27" spans="1:7" s="15" customFormat="1">
      <c r="A27" s="171"/>
      <c r="B27" s="29"/>
      <c r="C27" s="36"/>
      <c r="D27" s="228"/>
    </row>
    <row r="28" spans="1:7" s="15" customFormat="1">
      <c r="A28" s="230" t="s">
        <v>695</v>
      </c>
      <c r="B28" s="37">
        <f>aantalHuishoudens</f>
        <v>31436</v>
      </c>
      <c r="C28" s="36"/>
      <c r="D28" s="228"/>
    </row>
    <row r="29" spans="1:7" s="15" customFormat="1">
      <c r="A29" s="230" t="s">
        <v>696</v>
      </c>
      <c r="B29" s="37">
        <f>SUM(HH_hh_gas_aantal,HH_rest_gas_aantal)</f>
        <v>23661</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23661</v>
      </c>
      <c r="C32" s="167">
        <f>IF(ISERROR(B32/SUM($B$32,$B$34,$B$35,$B$36,$B$38,$B$39)*100),0,B32/SUM($B$32,$B$34,$B$35,$B$36,$B$38,$B$39)*100)</f>
        <v>75.591834126705209</v>
      </c>
      <c r="D32" s="233"/>
      <c r="G32" s="15"/>
    </row>
    <row r="33" spans="1:7">
      <c r="A33" s="171" t="s">
        <v>71</v>
      </c>
      <c r="B33" s="34" t="s">
        <v>110</v>
      </c>
      <c r="C33" s="167"/>
      <c r="D33" s="233"/>
      <c r="G33" s="15"/>
    </row>
    <row r="34" spans="1:7">
      <c r="A34" s="171" t="s">
        <v>72</v>
      </c>
      <c r="B34" s="33">
        <f>IF((($B$28-$B$32-$B$39-$B$77-$B$38)*C20/100)&lt;0,0,($B$28-$B$32-$B$39-$B$77-$B$38)*C20/100)</f>
        <v>612.86657629744377</v>
      </c>
      <c r="C34" s="167">
        <f>IF(ISERROR(B34/SUM($B$32,$B$34,$B$35,$B$36,$B$38,$B$39)*100),0,B34/SUM($B$32,$B$34,$B$35,$B$36,$B$38,$B$39)*100)</f>
        <v>1.9579776246683611</v>
      </c>
      <c r="D34" s="233"/>
      <c r="G34" s="15"/>
    </row>
    <row r="35" spans="1:7">
      <c r="A35" s="171" t="s">
        <v>73</v>
      </c>
      <c r="B35" s="33">
        <f>IF((($B$28-$B$32-$B$39-$B$77-$B$38)*C21/100)&lt;0,0,($B$28-$B$32-$B$39-$B$77-$B$38)*C21/100)</f>
        <v>5920.5761812548417</v>
      </c>
      <c r="C35" s="167">
        <f>IF(ISERROR(B35/SUM($B$32,$B$34,$B$35,$B$36,$B$38,$B$39)*100),0,B35/SUM($B$32,$B$34,$B$35,$B$36,$B$38,$B$39)*100)</f>
        <v>18.914974541563659</v>
      </c>
      <c r="D35" s="233"/>
      <c r="G35" s="15"/>
    </row>
    <row r="36" spans="1:7">
      <c r="A36" s="171" t="s">
        <v>74</v>
      </c>
      <c r="B36" s="33">
        <f>IF((($B$28-$B$32-$B$39-$B$77-$B$38)*C22/100)&lt;0,0,($B$28-$B$32-$B$39-$B$77-$B$38)*C22/100)</f>
        <v>826.65724244771491</v>
      </c>
      <c r="C36" s="167">
        <f>IF(ISERROR(B36/SUM($B$32,$B$34,$B$35,$B$36,$B$38,$B$39)*100),0,B36/SUM($B$32,$B$34,$B$35,$B$36,$B$38,$B$39)*100)</f>
        <v>2.6409930751340687</v>
      </c>
      <c r="D36" s="233"/>
      <c r="G36" s="15"/>
    </row>
    <row r="37" spans="1:7">
      <c r="A37" s="171" t="s">
        <v>75</v>
      </c>
      <c r="B37" s="34" t="s">
        <v>110</v>
      </c>
      <c r="C37" s="167"/>
      <c r="D37" s="173"/>
      <c r="G37" s="15"/>
    </row>
    <row r="38" spans="1:7">
      <c r="A38" s="171" t="s">
        <v>76</v>
      </c>
      <c r="B38" s="33">
        <f>IF((B24-(B29-B18)*0.1)&lt;0,0,B24-(B29-B18)*0.1)</f>
        <v>279.89999999999998</v>
      </c>
      <c r="C38" s="167">
        <f>IF(ISERROR(B38/SUM($B$32,$B$34,$B$35,$B$36,$B$38,$B$39)*100),0,B38/SUM($B$32,$B$34,$B$35,$B$36,$B$38,$B$39)*100)</f>
        <v>0.89422063192869228</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23661</v>
      </c>
      <c r="C44" s="34" t="s">
        <v>110</v>
      </c>
      <c r="D44" s="174"/>
    </row>
    <row r="45" spans="1:7">
      <c r="A45" s="171" t="s">
        <v>71</v>
      </c>
      <c r="B45" s="33" t="str">
        <f t="shared" si="0"/>
        <v>-</v>
      </c>
      <c r="C45" s="34" t="s">
        <v>110</v>
      </c>
      <c r="D45" s="174"/>
    </row>
    <row r="46" spans="1:7">
      <c r="A46" s="171" t="s">
        <v>72</v>
      </c>
      <c r="B46" s="33">
        <f t="shared" si="0"/>
        <v>612.86657629744377</v>
      </c>
      <c r="C46" s="34" t="s">
        <v>110</v>
      </c>
      <c r="D46" s="174"/>
    </row>
    <row r="47" spans="1:7">
      <c r="A47" s="171" t="s">
        <v>73</v>
      </c>
      <c r="B47" s="33">
        <f t="shared" si="0"/>
        <v>5920.5761812548417</v>
      </c>
      <c r="C47" s="34" t="s">
        <v>110</v>
      </c>
      <c r="D47" s="174"/>
    </row>
    <row r="48" spans="1:7">
      <c r="A48" s="171" t="s">
        <v>74</v>
      </c>
      <c r="B48" s="33">
        <f t="shared" si="0"/>
        <v>826.65724244771491</v>
      </c>
      <c r="C48" s="33">
        <f>B48*10</f>
        <v>8266.5724244771482</v>
      </c>
      <c r="D48" s="234"/>
    </row>
    <row r="49" spans="1:6">
      <c r="A49" s="171" t="s">
        <v>75</v>
      </c>
      <c r="B49" s="33" t="str">
        <f t="shared" si="0"/>
        <v>-</v>
      </c>
      <c r="C49" s="34" t="s">
        <v>110</v>
      </c>
      <c r="D49" s="234"/>
    </row>
    <row r="50" spans="1:6">
      <c r="A50" s="171" t="s">
        <v>76</v>
      </c>
      <c r="B50" s="33">
        <f t="shared" si="0"/>
        <v>279.89999999999998</v>
      </c>
      <c r="C50" s="33">
        <f>B50*2</f>
        <v>559.79999999999995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494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135</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126033.9957114</v>
      </c>
      <c r="C5" s="17">
        <f>IF(ISERROR('Eigen informatie GS &amp; warmtenet'!B58),0,'Eigen informatie GS &amp; warmtenet'!B58)</f>
        <v>0</v>
      </c>
      <c r="D5" s="30">
        <f>SUM(D6:D12)</f>
        <v>159342.69646796602</v>
      </c>
      <c r="E5" s="17">
        <f>SUM(E6:E12)</f>
        <v>2254.5600982716719</v>
      </c>
      <c r="F5" s="17">
        <f>SUM(F6:F12)</f>
        <v>30756.642500242328</v>
      </c>
      <c r="G5" s="18"/>
      <c r="H5" s="17"/>
      <c r="I5" s="17"/>
      <c r="J5" s="17">
        <f>SUM(J6:J12)</f>
        <v>0</v>
      </c>
      <c r="K5" s="17"/>
      <c r="L5" s="17"/>
      <c r="M5" s="17"/>
      <c r="N5" s="17">
        <f>SUM(N6:N12)</f>
        <v>10669.166819789194</v>
      </c>
      <c r="O5" s="17">
        <f>B38*B39*B40</f>
        <v>17.196666666666669</v>
      </c>
      <c r="P5" s="17">
        <f>B46*B47*B48/1000-B46*B47*B48/1000/B49</f>
        <v>209.73333333333335</v>
      </c>
      <c r="R5" s="32"/>
    </row>
    <row r="6" spans="1:18">
      <c r="A6" s="32" t="s">
        <v>53</v>
      </c>
      <c r="B6" s="37">
        <f>B26</f>
        <v>30873.471429000001</v>
      </c>
      <c r="C6" s="33"/>
      <c r="D6" s="37">
        <f>IF(ISERROR(TER_kantoor_gas_kWh/1000),0,TER_kantoor_gas_kWh/1000)*0.902</f>
        <v>44960.239278966001</v>
      </c>
      <c r="E6" s="33">
        <f>$C$26*'E Balans VL '!I12/100/3.6*1000000</f>
        <v>404.17177160782029</v>
      </c>
      <c r="F6" s="33">
        <f>$C$26*('E Balans VL '!L12+'E Balans VL '!N12)/100/3.6*1000000</f>
        <v>7872.4161798587565</v>
      </c>
      <c r="G6" s="34"/>
      <c r="H6" s="33"/>
      <c r="I6" s="33"/>
      <c r="J6" s="33">
        <f>$C$26*('E Balans VL '!D12+'E Balans VL '!E12)/100/3.6*1000000</f>
        <v>0</v>
      </c>
      <c r="K6" s="33"/>
      <c r="L6" s="33"/>
      <c r="M6" s="33"/>
      <c r="N6" s="33">
        <f>$C$26*'E Balans VL '!Y12/100/3.6*1000000</f>
        <v>30.9774361903673</v>
      </c>
      <c r="O6" s="33"/>
      <c r="P6" s="33"/>
      <c r="R6" s="32"/>
    </row>
    <row r="7" spans="1:18">
      <c r="A7" s="32" t="s">
        <v>52</v>
      </c>
      <c r="B7" s="37">
        <f t="shared" ref="B7:B12" si="0">B27</f>
        <v>9869.9378147999996</v>
      </c>
      <c r="C7" s="33"/>
      <c r="D7" s="37">
        <f>IF(ISERROR(TER_horeca_gas_kWh/1000),0,TER_horeca_gas_kWh/1000)*0.902</f>
        <v>11197.489810452002</v>
      </c>
      <c r="E7" s="33">
        <f>$C$27*'E Balans VL '!I9/100/3.6*1000000</f>
        <v>326.63490485214407</v>
      </c>
      <c r="F7" s="33">
        <f>$C$27*('E Balans VL '!L9+'E Balans VL '!N9)/100/3.6*1000000</f>
        <v>4244.0354341804741</v>
      </c>
      <c r="G7" s="34"/>
      <c r="H7" s="33"/>
      <c r="I7" s="33"/>
      <c r="J7" s="33">
        <f>$C$27*('E Balans VL '!D9+'E Balans VL '!E9)/100/3.6*1000000</f>
        <v>0</v>
      </c>
      <c r="K7" s="33"/>
      <c r="L7" s="33"/>
      <c r="M7" s="33"/>
      <c r="N7" s="33">
        <f>$C$27*'E Balans VL '!Y9/100/3.6*1000000</f>
        <v>2.3758373592482869</v>
      </c>
      <c r="O7" s="33"/>
      <c r="P7" s="33"/>
      <c r="R7" s="32"/>
    </row>
    <row r="8" spans="1:18">
      <c r="A8" s="6" t="s">
        <v>51</v>
      </c>
      <c r="B8" s="37">
        <f t="shared" si="0"/>
        <v>42714.398398000005</v>
      </c>
      <c r="C8" s="33"/>
      <c r="D8" s="37">
        <f>IF(ISERROR(TER_handel_gas_kWh/1000),0,TER_handel_gas_kWh/1000)*0.902</f>
        <v>30657.873684372</v>
      </c>
      <c r="E8" s="33">
        <f>$C$28*'E Balans VL '!I13/100/3.6*1000000</f>
        <v>1348.1316790988967</v>
      </c>
      <c r="F8" s="33">
        <f>$C$28*('E Balans VL '!L13+'E Balans VL '!N13)/100/3.6*1000000</f>
        <v>8377.0456797057377</v>
      </c>
      <c r="G8" s="34"/>
      <c r="H8" s="33"/>
      <c r="I8" s="33"/>
      <c r="J8" s="33">
        <f>$C$28*('E Balans VL '!D13+'E Balans VL '!E13)/100/3.6*1000000</f>
        <v>0</v>
      </c>
      <c r="K8" s="33"/>
      <c r="L8" s="33"/>
      <c r="M8" s="33"/>
      <c r="N8" s="33">
        <f>$C$28*'E Balans VL '!Y13/100/3.6*1000000</f>
        <v>50.693697999784511</v>
      </c>
      <c r="O8" s="33"/>
      <c r="P8" s="33"/>
      <c r="R8" s="32"/>
    </row>
    <row r="9" spans="1:18">
      <c r="A9" s="32" t="s">
        <v>50</v>
      </c>
      <c r="B9" s="37">
        <f t="shared" si="0"/>
        <v>18656.134367999999</v>
      </c>
      <c r="C9" s="33"/>
      <c r="D9" s="37">
        <f>IF(ISERROR(TER_gezond_gas_kWh/1000),0,TER_gezond_gas_kWh/1000)*0.902</f>
        <v>31922.471130439997</v>
      </c>
      <c r="E9" s="33">
        <f>$C$29*'E Balans VL '!I10/100/3.6*1000000</f>
        <v>2.3885309722052543</v>
      </c>
      <c r="F9" s="33">
        <f>$C$29*('E Balans VL '!L10+'E Balans VL '!N10)/100/3.6*1000000</f>
        <v>3886.8547391063289</v>
      </c>
      <c r="G9" s="34"/>
      <c r="H9" s="33"/>
      <c r="I9" s="33"/>
      <c r="J9" s="33">
        <f>$C$29*('E Balans VL '!D10+'E Balans VL '!E10)/100/3.6*1000000</f>
        <v>0</v>
      </c>
      <c r="K9" s="33"/>
      <c r="L9" s="33"/>
      <c r="M9" s="33"/>
      <c r="N9" s="33">
        <f>$C$29*'E Balans VL '!Y10/100/3.6*1000000</f>
        <v>219.12511620053431</v>
      </c>
      <c r="O9" s="33"/>
      <c r="P9" s="33"/>
      <c r="R9" s="32"/>
    </row>
    <row r="10" spans="1:18">
      <c r="A10" s="32" t="s">
        <v>49</v>
      </c>
      <c r="B10" s="37">
        <f t="shared" si="0"/>
        <v>12197.346896999999</v>
      </c>
      <c r="C10" s="33"/>
      <c r="D10" s="37">
        <f>IF(ISERROR(TER_ander_gas_kWh/1000),0,TER_ander_gas_kWh/1000)*0.902</f>
        <v>17948.874243124003</v>
      </c>
      <c r="E10" s="33">
        <f>$C$30*'E Balans VL '!I14/100/3.6*1000000</f>
        <v>18.341941336833898</v>
      </c>
      <c r="F10" s="33">
        <f>$C$30*('E Balans VL '!L14+'E Balans VL '!N14)/100/3.6*1000000</f>
        <v>2692.7810182960588</v>
      </c>
      <c r="G10" s="34"/>
      <c r="H10" s="33"/>
      <c r="I10" s="33"/>
      <c r="J10" s="33">
        <f>$C$30*('E Balans VL '!D14+'E Balans VL '!E14)/100/3.6*1000000</f>
        <v>0</v>
      </c>
      <c r="K10" s="33"/>
      <c r="L10" s="33"/>
      <c r="M10" s="33"/>
      <c r="N10" s="33">
        <f>$C$30*'E Balans VL '!Y14/100/3.6*1000000</f>
        <v>9612.3302053330262</v>
      </c>
      <c r="O10" s="33"/>
      <c r="P10" s="33"/>
      <c r="R10" s="32"/>
    </row>
    <row r="11" spans="1:18">
      <c r="A11" s="32" t="s">
        <v>54</v>
      </c>
      <c r="B11" s="37">
        <f t="shared" si="0"/>
        <v>3250.4457216999999</v>
      </c>
      <c r="C11" s="33"/>
      <c r="D11" s="37">
        <f>IF(ISERROR(TER_onderwijs_gas_kWh/1000),0,TER_onderwijs_gas_kWh/1000)*0.902</f>
        <v>9713.433137760001</v>
      </c>
      <c r="E11" s="33">
        <f>$C$31*'E Balans VL '!I11/100/3.6*1000000</f>
        <v>5.7243073023236368</v>
      </c>
      <c r="F11" s="33">
        <f>$C$31*('E Balans VL '!L11+'E Balans VL '!N11)/100/3.6*1000000</f>
        <v>1500.7896064269457</v>
      </c>
      <c r="G11" s="34"/>
      <c r="H11" s="33"/>
      <c r="I11" s="33"/>
      <c r="J11" s="33">
        <f>$C$31*('E Balans VL '!D11+'E Balans VL '!E11)/100/3.6*1000000</f>
        <v>0</v>
      </c>
      <c r="K11" s="33"/>
      <c r="L11" s="33"/>
      <c r="M11" s="33"/>
      <c r="N11" s="33">
        <f>$C$31*'E Balans VL '!Y11/100/3.6*1000000</f>
        <v>6.0556253292216971</v>
      </c>
      <c r="O11" s="33"/>
      <c r="P11" s="33"/>
      <c r="R11" s="32"/>
    </row>
    <row r="12" spans="1:18">
      <c r="A12" s="32" t="s">
        <v>259</v>
      </c>
      <c r="B12" s="37">
        <f t="shared" si="0"/>
        <v>8472.2610829000005</v>
      </c>
      <c r="C12" s="33"/>
      <c r="D12" s="37">
        <f>IF(ISERROR(TER_rest_gas_kWh/1000),0,TER_rest_gas_kWh/1000)*0.902</f>
        <v>12942.315182852</v>
      </c>
      <c r="E12" s="33">
        <f>$C$32*'E Balans VL '!I8/100/3.6*1000000</f>
        <v>149.16696310144795</v>
      </c>
      <c r="F12" s="33">
        <f>$C$32*('E Balans VL '!L8+'E Balans VL '!N8)/100/3.6*1000000</f>
        <v>2182.7198426680275</v>
      </c>
      <c r="G12" s="34"/>
      <c r="H12" s="33"/>
      <c r="I12" s="33"/>
      <c r="J12" s="33">
        <f>$C$32*('E Balans VL '!D8+'E Balans VL '!E8)/100/3.6*1000000</f>
        <v>0</v>
      </c>
      <c r="K12" s="33"/>
      <c r="L12" s="33"/>
      <c r="M12" s="33"/>
      <c r="N12" s="33">
        <f>$C$32*'E Balans VL '!Y8/100/3.6*1000000</f>
        <v>747.60890137701301</v>
      </c>
      <c r="O12" s="33"/>
      <c r="P12" s="33"/>
      <c r="R12" s="32"/>
    </row>
    <row r="13" spans="1:18">
      <c r="A13" s="16" t="s">
        <v>490</v>
      </c>
      <c r="B13" s="247">
        <f ca="1">'lokale energieproductie'!N40+'lokale energieproductie'!N33</f>
        <v>47.25</v>
      </c>
      <c r="C13" s="247">
        <f ca="1">'lokale energieproductie'!O40+'lokale energieproductie'!O33</f>
        <v>67.5</v>
      </c>
      <c r="D13" s="308">
        <f ca="1">('lokale energieproductie'!P33+'lokale energieproductie'!P40)*(-1)</f>
        <v>-135</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126081.2457114</v>
      </c>
      <c r="C16" s="21">
        <f t="shared" ca="1" si="1"/>
        <v>67.5</v>
      </c>
      <c r="D16" s="21">
        <f t="shared" ca="1" si="1"/>
        <v>159207.69646796602</v>
      </c>
      <c r="E16" s="21">
        <f t="shared" si="1"/>
        <v>2254.5600982716719</v>
      </c>
      <c r="F16" s="21">
        <f t="shared" ca="1" si="1"/>
        <v>30756.642500242328</v>
      </c>
      <c r="G16" s="21">
        <f t="shared" si="1"/>
        <v>0</v>
      </c>
      <c r="H16" s="21">
        <f t="shared" si="1"/>
        <v>0</v>
      </c>
      <c r="I16" s="21">
        <f t="shared" si="1"/>
        <v>0</v>
      </c>
      <c r="J16" s="21">
        <f t="shared" si="1"/>
        <v>0</v>
      </c>
      <c r="K16" s="21">
        <f t="shared" si="1"/>
        <v>0</v>
      </c>
      <c r="L16" s="21">
        <f t="shared" ca="1" si="1"/>
        <v>0</v>
      </c>
      <c r="M16" s="21">
        <f t="shared" si="1"/>
        <v>0</v>
      </c>
      <c r="N16" s="21">
        <f t="shared" ca="1" si="1"/>
        <v>10669.166819789194</v>
      </c>
      <c r="O16" s="21">
        <f>O5</f>
        <v>17.196666666666669</v>
      </c>
      <c r="P16" s="21">
        <f>P5</f>
        <v>209.73333333333335</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0.2055509381163324</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25916.11833485408</v>
      </c>
      <c r="C20" s="23">
        <f t="shared" ref="C20:P20" ca="1" si="2">C16*C18</f>
        <v>16.041176470588233</v>
      </c>
      <c r="D20" s="23">
        <f t="shared" ca="1" si="2"/>
        <v>32159.954686529138</v>
      </c>
      <c r="E20" s="23">
        <f t="shared" si="2"/>
        <v>511.78514230766956</v>
      </c>
      <c r="F20" s="23">
        <f t="shared" ca="1" si="2"/>
        <v>8212.0235475647023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30873.471429000001</v>
      </c>
      <c r="C26" s="39">
        <f>IF(ISERROR(B26*3.6/1000000/'E Balans VL '!Z12*100),0,B26*3.6/1000000/'E Balans VL '!Z12*100)</f>
        <v>0.66133374267518164</v>
      </c>
      <c r="D26" s="237" t="s">
        <v>659</v>
      </c>
      <c r="F26" s="6"/>
    </row>
    <row r="27" spans="1:18">
      <c r="A27" s="231" t="s">
        <v>52</v>
      </c>
      <c r="B27" s="33">
        <f>IF(ISERROR(TER_horeca_ele_kWh/1000),0,TER_horeca_ele_kWh/1000)</f>
        <v>9869.9378147999996</v>
      </c>
      <c r="C27" s="39">
        <f>IF(ISERROR(B27*3.6/1000000/'E Balans VL '!Z9*100),0,B27*3.6/1000000/'E Balans VL '!Z9*100)</f>
        <v>0.79202820208403857</v>
      </c>
      <c r="D27" s="237" t="s">
        <v>659</v>
      </c>
      <c r="F27" s="6"/>
    </row>
    <row r="28" spans="1:18">
      <c r="A28" s="171" t="s">
        <v>51</v>
      </c>
      <c r="B28" s="33">
        <f>IF(ISERROR(TER_handel_ele_kWh/1000),0,TER_handel_ele_kWh/1000)</f>
        <v>42714.398398000005</v>
      </c>
      <c r="C28" s="39">
        <f>IF(ISERROR(B28*3.6/1000000/'E Balans VL '!Z13*100),0,B28*3.6/1000000/'E Balans VL '!Z13*100)</f>
        <v>1.2598297527240461</v>
      </c>
      <c r="D28" s="237" t="s">
        <v>659</v>
      </c>
      <c r="F28" s="6"/>
    </row>
    <row r="29" spans="1:18">
      <c r="A29" s="231" t="s">
        <v>50</v>
      </c>
      <c r="B29" s="33">
        <f>IF(ISERROR(TER_gezond_ele_kWh/1000),0,TER_gezond_ele_kWh/1000)</f>
        <v>18656.134367999999</v>
      </c>
      <c r="C29" s="39">
        <f>IF(ISERROR(B29*3.6/1000000/'E Balans VL '!Z10*100),0,B29*3.6/1000000/'E Balans VL '!Z10*100)</f>
        <v>1.9919749607830342</v>
      </c>
      <c r="D29" s="237" t="s">
        <v>659</v>
      </c>
      <c r="F29" s="6"/>
    </row>
    <row r="30" spans="1:18">
      <c r="A30" s="231" t="s">
        <v>49</v>
      </c>
      <c r="B30" s="33">
        <f>IF(ISERROR(TER_ander_ele_kWh/1000),0,TER_ander_ele_kWh/1000)</f>
        <v>12197.346896999999</v>
      </c>
      <c r="C30" s="39">
        <f>IF(ISERROR(B30*3.6/1000000/'E Balans VL '!Z14*100),0,B30*3.6/1000000/'E Balans VL '!Z14*100)</f>
        <v>0.92131350817966695</v>
      </c>
      <c r="D30" s="237" t="s">
        <v>659</v>
      </c>
      <c r="F30" s="6"/>
    </row>
    <row r="31" spans="1:18">
      <c r="A31" s="231" t="s">
        <v>54</v>
      </c>
      <c r="B31" s="33">
        <f>IF(ISERROR(TER_onderwijs_ele_kWh/1000),0,TER_onderwijs_ele_kWh/1000)</f>
        <v>3250.4457216999999</v>
      </c>
      <c r="C31" s="39">
        <f>IF(ISERROR(B31*3.6/1000000/'E Balans VL '!Z11*100),0,B31*3.6/1000000/'E Balans VL '!Z11*100)</f>
        <v>0.65637349947214052</v>
      </c>
      <c r="D31" s="237" t="s">
        <v>659</v>
      </c>
    </row>
    <row r="32" spans="1:18">
      <c r="A32" s="231" t="s">
        <v>259</v>
      </c>
      <c r="B32" s="33">
        <f>IF(ISERROR(TER_rest_ele_kWh/1000),0,TER_rest_ele_kWh/1000)</f>
        <v>8472.2610829000005</v>
      </c>
      <c r="C32" s="39">
        <f>IF(ISERROR(B32*3.6/1000000/'E Balans VL '!Z8*100),0,B32*3.6/1000000/'E Balans VL '!Z8*100)</f>
        <v>7.0246841915690098E-2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74890.454648394007</v>
      </c>
      <c r="C5" s="17">
        <f>IF(ISERROR('Eigen informatie GS &amp; warmtenet'!B59),0,'Eigen informatie GS &amp; warmtenet'!B59)</f>
        <v>0</v>
      </c>
      <c r="D5" s="30">
        <f>SUM(D6:D15)</f>
        <v>57823.083367575018</v>
      </c>
      <c r="E5" s="17">
        <f>SUM(E6:E15)</f>
        <v>4444.1004238569985</v>
      </c>
      <c r="F5" s="17">
        <f>SUM(F6:F15)</f>
        <v>22074.917957355312</v>
      </c>
      <c r="G5" s="18"/>
      <c r="H5" s="17"/>
      <c r="I5" s="17"/>
      <c r="J5" s="17">
        <f>SUM(J6:J15)</f>
        <v>428.73088796844957</v>
      </c>
      <c r="K5" s="17"/>
      <c r="L5" s="17"/>
      <c r="M5" s="17"/>
      <c r="N5" s="17">
        <f>SUM(N6:N15)</f>
        <v>8835.2471620927226</v>
      </c>
      <c r="O5" s="17">
        <f>B43*B44*B45</f>
        <v>0</v>
      </c>
      <c r="P5" s="17">
        <f>B51*B52*B53/1000-B51*B52*B53/1000/B54</f>
        <v>0</v>
      </c>
      <c r="R5" s="32"/>
    </row>
    <row r="6" spans="1:18">
      <c r="A6" s="6" t="s">
        <v>34</v>
      </c>
      <c r="B6" s="37">
        <f>IF( ISERROR(IND_ijzer_ele_kWh/1000),0,IND_ijzer_ele_kWh/1000)</f>
        <v>28.435063153999998</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11947.536967</v>
      </c>
      <c r="C8" s="33"/>
      <c r="D8" s="37">
        <f>IF( ISERROR(IND_metaal_Gas_kWH/1000),0,IND_metaal_Gas_kWH/1000)*0.902</f>
        <v>8503.7645553212005</v>
      </c>
      <c r="E8" s="33">
        <f>C30*'E Balans VL '!I18/100/3.6*1000000</f>
        <v>429.90852382209783</v>
      </c>
      <c r="F8" s="33">
        <f>C30*'E Balans VL '!L18/100/3.6*1000000+C30*'E Balans VL '!N18/100/3.6*1000000</f>
        <v>5217.1020960097148</v>
      </c>
      <c r="G8" s="34"/>
      <c r="H8" s="33"/>
      <c r="I8" s="33"/>
      <c r="J8" s="40">
        <f>C30*'E Balans VL '!D18/100/3.6*1000000+C30*'E Balans VL '!E18/100/3.6*1000000</f>
        <v>0</v>
      </c>
      <c r="K8" s="33"/>
      <c r="L8" s="33"/>
      <c r="M8" s="33"/>
      <c r="N8" s="33">
        <f>C30*'E Balans VL '!Y18/100/3.6*1000000</f>
        <v>598.80243357436234</v>
      </c>
      <c r="O8" s="33"/>
      <c r="P8" s="33"/>
      <c r="R8" s="32"/>
    </row>
    <row r="9" spans="1:18">
      <c r="A9" s="6" t="s">
        <v>32</v>
      </c>
      <c r="B9" s="37">
        <f t="shared" si="0"/>
        <v>6262.6927580000001</v>
      </c>
      <c r="C9" s="33"/>
      <c r="D9" s="37">
        <f>IF( ISERROR(IND_andere_gas_kWh/1000),0,IND_andere_gas_kWh/1000)*0.902</f>
        <v>6180.3260745467996</v>
      </c>
      <c r="E9" s="33">
        <f>C31*'E Balans VL '!I19/100/3.6*1000000</f>
        <v>1598.0974944491536</v>
      </c>
      <c r="F9" s="33">
        <f>C31*'E Balans VL '!L19/100/3.6*1000000+C31*'E Balans VL '!N19/100/3.6*1000000</f>
        <v>5391.7077423501978</v>
      </c>
      <c r="G9" s="34"/>
      <c r="H9" s="33"/>
      <c r="I9" s="33"/>
      <c r="J9" s="40">
        <f>C31*'E Balans VL '!D19/100/3.6*1000000+C31*'E Balans VL '!E19/100/3.6*1000000</f>
        <v>0</v>
      </c>
      <c r="K9" s="33"/>
      <c r="L9" s="33"/>
      <c r="M9" s="33"/>
      <c r="N9" s="33">
        <f>C31*'E Balans VL '!Y19/100/3.6*1000000</f>
        <v>494.05317435227073</v>
      </c>
      <c r="O9" s="33"/>
      <c r="P9" s="33"/>
      <c r="R9" s="32"/>
    </row>
    <row r="10" spans="1:18">
      <c r="A10" s="6" t="s">
        <v>40</v>
      </c>
      <c r="B10" s="37">
        <f t="shared" si="0"/>
        <v>13676.327068000001</v>
      </c>
      <c r="C10" s="33"/>
      <c r="D10" s="37">
        <f>IF( ISERROR(IND_voed_gas_kWh/1000),0,IND_voed_gas_kWh/1000)*0.902</f>
        <v>7020.3263054650006</v>
      </c>
      <c r="E10" s="33">
        <f>C32*'E Balans VL '!I20/100/3.6*1000000</f>
        <v>347.67101320454287</v>
      </c>
      <c r="F10" s="33">
        <f>C32*'E Balans VL '!L20/100/3.6*1000000+C32*'E Balans VL '!N20/100/3.6*1000000</f>
        <v>3094.7475161140806</v>
      </c>
      <c r="G10" s="34"/>
      <c r="H10" s="33"/>
      <c r="I10" s="33"/>
      <c r="J10" s="40">
        <f>C32*'E Balans VL '!D20/100/3.6*1000000+C32*'E Balans VL '!E20/100/3.6*1000000</f>
        <v>0</v>
      </c>
      <c r="K10" s="33"/>
      <c r="L10" s="33"/>
      <c r="M10" s="33"/>
      <c r="N10" s="33">
        <f>C32*'E Balans VL '!Y20/100/3.6*1000000</f>
        <v>5128.9933619266158</v>
      </c>
      <c r="O10" s="33"/>
      <c r="P10" s="33"/>
      <c r="R10" s="32"/>
    </row>
    <row r="11" spans="1:18">
      <c r="A11" s="6" t="s">
        <v>39</v>
      </c>
      <c r="B11" s="37">
        <f t="shared" si="0"/>
        <v>863.60990151999999</v>
      </c>
      <c r="C11" s="33"/>
      <c r="D11" s="37">
        <f>IF( ISERROR(IND_textiel_gas_kWh/1000),0,IND_textiel_gas_kWh/1000)*0.902</f>
        <v>378.2963562114</v>
      </c>
      <c r="E11" s="33">
        <f>C33*'E Balans VL '!I21/100/3.6*1000000</f>
        <v>2.3708414241085651</v>
      </c>
      <c r="F11" s="33">
        <f>C33*'E Balans VL '!L21/100/3.6*1000000+C33*'E Balans VL '!N21/100/3.6*1000000</f>
        <v>45.784997852369145</v>
      </c>
      <c r="G11" s="34"/>
      <c r="H11" s="33"/>
      <c r="I11" s="33"/>
      <c r="J11" s="40">
        <f>C33*'E Balans VL '!D21/100/3.6*1000000+C33*'E Balans VL '!E21/100/3.6*1000000</f>
        <v>0</v>
      </c>
      <c r="K11" s="33"/>
      <c r="L11" s="33"/>
      <c r="M11" s="33"/>
      <c r="N11" s="33">
        <f>C33*'E Balans VL '!Y21/100/3.6*1000000</f>
        <v>1.7357129896379071</v>
      </c>
      <c r="O11" s="33"/>
      <c r="P11" s="33"/>
      <c r="R11" s="32"/>
    </row>
    <row r="12" spans="1:18">
      <c r="A12" s="6" t="s">
        <v>36</v>
      </c>
      <c r="B12" s="37">
        <f t="shared" si="0"/>
        <v>228.43288871999999</v>
      </c>
      <c r="C12" s="33"/>
      <c r="D12" s="37">
        <f>IF( ISERROR(IND_min_gas_kWh/1000),0,IND_min_gas_kWh/1000)*0.902</f>
        <v>151.39364961622002</v>
      </c>
      <c r="E12" s="33">
        <f>C34*'E Balans VL '!I22/100/3.6*1000000</f>
        <v>4.8536263817196588</v>
      </c>
      <c r="F12" s="33">
        <f>C34*'E Balans VL '!L22/100/3.6*1000000+C34*'E Balans VL '!N22/100/3.6*1000000</f>
        <v>37.270772522272708</v>
      </c>
      <c r="G12" s="34"/>
      <c r="H12" s="33"/>
      <c r="I12" s="33"/>
      <c r="J12" s="40">
        <f>C34*'E Balans VL '!D22/100/3.6*1000000+C34*'E Balans VL '!E22/100/3.6*1000000</f>
        <v>0.26614563283292164</v>
      </c>
      <c r="K12" s="33"/>
      <c r="L12" s="33"/>
      <c r="M12" s="33"/>
      <c r="N12" s="33">
        <f>C34*'E Balans VL '!Y22/100/3.6*1000000</f>
        <v>0</v>
      </c>
      <c r="O12" s="33"/>
      <c r="P12" s="33"/>
      <c r="R12" s="32"/>
    </row>
    <row r="13" spans="1:18">
      <c r="A13" s="6" t="s">
        <v>38</v>
      </c>
      <c r="B13" s="37">
        <f t="shared" si="0"/>
        <v>1830.9714070999999</v>
      </c>
      <c r="C13" s="33"/>
      <c r="D13" s="37">
        <f>IF( ISERROR(IND_papier_gas_kWh/1000),0,IND_papier_gas_kWh/1000)*0.902</f>
        <v>1212.0783549049997</v>
      </c>
      <c r="E13" s="33">
        <f>C35*'E Balans VL '!I23/100/3.6*1000000</f>
        <v>7.8525037029083631</v>
      </c>
      <c r="F13" s="33">
        <f>C35*'E Balans VL '!L23/100/3.6*1000000+C35*'E Balans VL '!N23/100/3.6*1000000</f>
        <v>46.017994433892298</v>
      </c>
      <c r="G13" s="34"/>
      <c r="H13" s="33"/>
      <c r="I13" s="33"/>
      <c r="J13" s="40">
        <f>C35*'E Balans VL '!D23/100/3.6*1000000+C35*'E Balans VL '!E23/100/3.6*1000000</f>
        <v>122.57349324028348</v>
      </c>
      <c r="K13" s="33"/>
      <c r="L13" s="33"/>
      <c r="M13" s="33"/>
      <c r="N13" s="33">
        <f>C35*'E Balans VL '!Y23/100/3.6*1000000</f>
        <v>446.50737193990949</v>
      </c>
      <c r="O13" s="33"/>
      <c r="P13" s="33"/>
      <c r="R13" s="32"/>
    </row>
    <row r="14" spans="1:18">
      <c r="A14" s="6" t="s">
        <v>33</v>
      </c>
      <c r="B14" s="37">
        <f t="shared" si="0"/>
        <v>2321.2423269000001</v>
      </c>
      <c r="C14" s="33"/>
      <c r="D14" s="37">
        <f>IF( ISERROR(IND_chemie_gas_kWh/1000),0,IND_chemie_gas_kWh/1000)*0.902</f>
        <v>3110.3379152274001</v>
      </c>
      <c r="E14" s="33">
        <f>C36*'E Balans VL '!I24/100/3.6*1000000</f>
        <v>5.5648148867233749</v>
      </c>
      <c r="F14" s="33">
        <f>C36*'E Balans VL '!L24/100/3.6*1000000+C36*'E Balans VL '!N24/100/3.6*1000000</f>
        <v>18.628494748203401</v>
      </c>
      <c r="G14" s="34"/>
      <c r="H14" s="33"/>
      <c r="I14" s="33"/>
      <c r="J14" s="40">
        <f>C36*'E Balans VL '!D24/100/3.6*1000000+C36*'E Balans VL '!E24/100/3.6*1000000</f>
        <v>0</v>
      </c>
      <c r="K14" s="33"/>
      <c r="L14" s="33"/>
      <c r="M14" s="33"/>
      <c r="N14" s="33">
        <f>C36*'E Balans VL '!Y24/100/3.6*1000000</f>
        <v>47.97827932889151</v>
      </c>
      <c r="O14" s="33"/>
      <c r="P14" s="33"/>
      <c r="R14" s="32"/>
    </row>
    <row r="15" spans="1:18">
      <c r="A15" s="6" t="s">
        <v>269</v>
      </c>
      <c r="B15" s="37">
        <f t="shared" si="0"/>
        <v>37731.206268000002</v>
      </c>
      <c r="C15" s="33"/>
      <c r="D15" s="37">
        <f>IF( ISERROR(IND_rest_gas_kWh/1000),0,IND_rest_gas_kWh/1000)*0.902</f>
        <v>31266.560156281997</v>
      </c>
      <c r="E15" s="33">
        <f>C37*'E Balans VL '!I15/100/3.6*1000000</f>
        <v>2047.7816059857444</v>
      </c>
      <c r="F15" s="33">
        <f>C37*'E Balans VL '!L15/100/3.6*1000000+C37*'E Balans VL '!N15/100/3.6*1000000</f>
        <v>8223.6583433245796</v>
      </c>
      <c r="G15" s="34"/>
      <c r="H15" s="33"/>
      <c r="I15" s="33"/>
      <c r="J15" s="40">
        <f>C37*'E Balans VL '!D15/100/3.6*1000000+C37*'E Balans VL '!E15/100/3.6*1000000</f>
        <v>305.89124909533319</v>
      </c>
      <c r="K15" s="33"/>
      <c r="L15" s="33"/>
      <c r="M15" s="33"/>
      <c r="N15" s="33">
        <f>C37*'E Balans VL '!Y15/100/3.6*1000000</f>
        <v>2117.1768279810349</v>
      </c>
      <c r="O15" s="33"/>
      <c r="P15" s="33"/>
      <c r="R15" s="32"/>
    </row>
    <row r="16" spans="1:18">
      <c r="A16" s="16" t="s">
        <v>490</v>
      </c>
      <c r="B16" s="247">
        <f>'lokale energieproductie'!N39+'lokale energieproductie'!N32</f>
        <v>643.5</v>
      </c>
      <c r="C16" s="247">
        <f>'lokale energieproductie'!O39+'lokale energieproductie'!O32</f>
        <v>919.28571428571433</v>
      </c>
      <c r="D16" s="308">
        <f>('lokale energieproductie'!P32+'lokale energieproductie'!P39)*(-1)</f>
        <v>-1838.5714285714287</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75533.954648394007</v>
      </c>
      <c r="C18" s="21">
        <f>C5+C16</f>
        <v>919.28571428571433</v>
      </c>
      <c r="D18" s="21">
        <f>MAX((D5+D16),0)</f>
        <v>55984.511939003591</v>
      </c>
      <c r="E18" s="21">
        <f>MAX((E5+E16),0)</f>
        <v>4444.1004238569985</v>
      </c>
      <c r="F18" s="21">
        <f>MAX((F5+F16),0)</f>
        <v>22074.917957355312</v>
      </c>
      <c r="G18" s="21"/>
      <c r="H18" s="21"/>
      <c r="I18" s="21"/>
      <c r="J18" s="21">
        <f>MAX((J5+J16),0)</f>
        <v>428.73088796844957</v>
      </c>
      <c r="K18" s="21"/>
      <c r="L18" s="21">
        <f>MAX((L5+L16),0)</f>
        <v>0</v>
      </c>
      <c r="M18" s="21"/>
      <c r="N18" s="21">
        <f>MAX((N5+N16),0)</f>
        <v>8835.2471620927226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0.2055509381163324</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15526.075237613895</v>
      </c>
      <c r="C22" s="23">
        <f ca="1">C18*C20</f>
        <v>218.46554621848739</v>
      </c>
      <c r="D22" s="23">
        <f>D18*D20</f>
        <v>11308.871411678727</v>
      </c>
      <c r="E22" s="23">
        <f>E18*E20</f>
        <v>1008.8107962155387</v>
      </c>
      <c r="F22" s="23">
        <f>F18*F20</f>
        <v>5894.0030946138686</v>
      </c>
      <c r="G22" s="23"/>
      <c r="H22" s="23"/>
      <c r="I22" s="23"/>
      <c r="J22" s="23">
        <f>J18*J20</f>
        <v>151.77073434083113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11947.536967</v>
      </c>
      <c r="C30" s="39">
        <f>IF(ISERROR(B30*3.6/1000000/'E Balans VL '!Z18*100),0,B30*3.6/1000000/'E Balans VL '!Z18*100)</f>
        <v>2.5314269348656584</v>
      </c>
      <c r="D30" s="237" t="s">
        <v>659</v>
      </c>
    </row>
    <row r="31" spans="1:18">
      <c r="A31" s="6" t="s">
        <v>32</v>
      </c>
      <c r="B31" s="37">
        <f>IF( ISERROR(IND_ander_ele_kWh/1000),0,IND_ander_ele_kWh/1000)</f>
        <v>6262.6927580000001</v>
      </c>
      <c r="C31" s="39">
        <f>IF(ISERROR(B31*3.6/1000000/'E Balans VL '!Z19*100),0,B31*3.6/1000000/'E Balans VL '!Z19*100)</f>
        <v>0.26361095866232431</v>
      </c>
      <c r="D31" s="237" t="s">
        <v>659</v>
      </c>
    </row>
    <row r="32" spans="1:18">
      <c r="A32" s="171" t="s">
        <v>40</v>
      </c>
      <c r="B32" s="37">
        <f>IF( ISERROR(IND_voed_ele_kWh/1000),0,IND_voed_ele_kWh/1000)</f>
        <v>13676.327068000001</v>
      </c>
      <c r="C32" s="39">
        <f>IF(ISERROR(B32*3.6/1000000/'E Balans VL '!Z20*100),0,B32*3.6/1000000/'E Balans VL '!Z20*100)</f>
        <v>2.2847851737078786</v>
      </c>
      <c r="D32" s="237" t="s">
        <v>659</v>
      </c>
    </row>
    <row r="33" spans="1:5">
      <c r="A33" s="171" t="s">
        <v>39</v>
      </c>
      <c r="B33" s="37">
        <f>IF( ISERROR(IND_textiel_ele_kWh/1000),0,IND_textiel_ele_kWh/1000)</f>
        <v>863.60990151999999</v>
      </c>
      <c r="C33" s="39">
        <f>IF(ISERROR(B33*3.6/1000000/'E Balans VL '!Z21*100),0,B33*3.6/1000000/'E Balans VL '!Z21*100)</f>
        <v>5.042013041794937E-2</v>
      </c>
      <c r="D33" s="237" t="s">
        <v>659</v>
      </c>
    </row>
    <row r="34" spans="1:5">
      <c r="A34" s="171" t="s">
        <v>36</v>
      </c>
      <c r="B34" s="37">
        <f>IF( ISERROR(IND_min_ele_kWh/1000),0,IND_min_ele_kWh/1000)</f>
        <v>228.43288871999999</v>
      </c>
      <c r="C34" s="39">
        <f>IF(ISERROR(B34*3.6/1000000/'E Balans VL '!Z22*100),0,B34*3.6/1000000/'E Balans VL '!Z22*100)</f>
        <v>2.895510058019039E-2</v>
      </c>
      <c r="D34" s="237" t="s">
        <v>659</v>
      </c>
    </row>
    <row r="35" spans="1:5">
      <c r="A35" s="171" t="s">
        <v>38</v>
      </c>
      <c r="B35" s="37">
        <f>IF( ISERROR(IND_papier_ele_kWh/1000),0,IND_papier_ele_kWh/1000)</f>
        <v>1830.9714070999999</v>
      </c>
      <c r="C35" s="39">
        <f>IF(ISERROR(B35*3.6/1000000/'E Balans VL '!Z22*100),0,B35*3.6/1000000/'E Balans VL '!Z22*100)</f>
        <v>0.23208550024955982</v>
      </c>
      <c r="D35" s="237" t="s">
        <v>659</v>
      </c>
    </row>
    <row r="36" spans="1:5">
      <c r="A36" s="171" t="s">
        <v>33</v>
      </c>
      <c r="B36" s="37">
        <f>IF( ISERROR(IND_chemie_ele_kWh/1000),0,IND_chemie_ele_kWh/1000)</f>
        <v>2321.2423269000001</v>
      </c>
      <c r="C36" s="39">
        <f>IF(ISERROR(B36*3.6/1000000/'E Balans VL '!Z24*100),0,B36*3.6/1000000/'E Balans VL '!Z24*100)</f>
        <v>7.539402563248028E-2</v>
      </c>
      <c r="D36" s="237" t="s">
        <v>659</v>
      </c>
    </row>
    <row r="37" spans="1:5">
      <c r="A37" s="171" t="s">
        <v>269</v>
      </c>
      <c r="B37" s="37">
        <f>IF( ISERROR(IND_rest_ele_kWh/1000),0,IND_rest_ele_kWh/1000)</f>
        <v>37731.206268000002</v>
      </c>
      <c r="C37" s="39">
        <f>IF(ISERROR(B37*3.6/1000000/'E Balans VL '!Z15*100),0,B37*3.6/1000000/'E Balans VL '!Z15*100)</f>
        <v>0.30461863839427084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4071.9491386900004</v>
      </c>
      <c r="C5" s="17">
        <f>'Eigen informatie GS &amp; warmtenet'!B60</f>
        <v>0</v>
      </c>
      <c r="D5" s="30">
        <f>IF(ISERROR(SUM(LB_lb_gas_kWh,LB_rest_gas_kWh)/1000),0,SUM(LB_lb_gas_kWh,LB_rest_gas_kWh)/1000)*0.902</f>
        <v>2275.3849233836604</v>
      </c>
      <c r="E5" s="17">
        <f>B17*'E Balans VL '!I25/3.6*1000000/100</f>
        <v>104.9999338096988</v>
      </c>
      <c r="F5" s="17">
        <f>B17*('E Balans VL '!L25/3.6*1000000+'E Balans VL '!N25/3.6*1000000)/100</f>
        <v>14883.749566955541</v>
      </c>
      <c r="G5" s="18"/>
      <c r="H5" s="17"/>
      <c r="I5" s="17"/>
      <c r="J5" s="17">
        <f>('E Balans VL '!D25+'E Balans VL '!E25)/3.6*1000000*landbouw!B17/100</f>
        <v>586.21088257477186</v>
      </c>
      <c r="K5" s="17"/>
      <c r="L5" s="17">
        <f>L6*(-1)</f>
        <v>0</v>
      </c>
      <c r="M5" s="17"/>
      <c r="N5" s="17">
        <f>N6*(-1)</f>
        <v>0</v>
      </c>
      <c r="O5" s="17"/>
      <c r="P5" s="17"/>
      <c r="R5" s="32"/>
    </row>
    <row r="6" spans="1:18">
      <c r="A6" s="16" t="s">
        <v>490</v>
      </c>
      <c r="B6" s="17" t="s">
        <v>210</v>
      </c>
      <c r="C6" s="17">
        <f>'lokale energieproductie'!O41+'lokale energieproductie'!O34</f>
        <v>0</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4071.9491386900004</v>
      </c>
      <c r="C8" s="21">
        <f>C5+C6</f>
        <v>0</v>
      </c>
      <c r="D8" s="21">
        <f>MAX((D5+D6),0)</f>
        <v>2275.3849233836604</v>
      </c>
      <c r="E8" s="21">
        <f>MAX((E5+E6),0)</f>
        <v>104.9999338096988</v>
      </c>
      <c r="F8" s="21">
        <f>MAX((F5+F6),0)</f>
        <v>14883.749566955541</v>
      </c>
      <c r="G8" s="21"/>
      <c r="H8" s="21"/>
      <c r="I8" s="21"/>
      <c r="J8" s="21">
        <f>MAX((J5+J6),0)</f>
        <v>586.21088257477186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0.2055509381163324</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836.99296541972126</v>
      </c>
      <c r="C12" s="23">
        <f ca="1">C8*C10</f>
        <v>0</v>
      </c>
      <c r="D12" s="23">
        <f>D8*D10</f>
        <v>459.62775452349945</v>
      </c>
      <c r="E12" s="23">
        <f>E8*E10</f>
        <v>23.834984974801628</v>
      </c>
      <c r="F12" s="23">
        <f>F8*F10</f>
        <v>3973.9611343771298</v>
      </c>
      <c r="G12" s="23"/>
      <c r="H12" s="23"/>
      <c r="I12" s="23"/>
      <c r="J12" s="23">
        <f>J8*J10</f>
        <v>207.51865243146923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0.57417180054159533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702.42225381857543</v>
      </c>
      <c r="C26" s="247">
        <f>B26*'GWP N2O_CH4'!B5</f>
        <v>14750.867330190084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325.27365472492164</v>
      </c>
      <c r="C27" s="247">
        <f>B27*'GWP N2O_CH4'!B5</f>
        <v>6830.7467492233545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9.0496009707575897</v>
      </c>
      <c r="C28" s="247">
        <f>B28*'GWP N2O_CH4'!B4</f>
        <v>2805.3763009348527</v>
      </c>
      <c r="D28" s="50"/>
    </row>
    <row r="29" spans="1:4">
      <c r="A29" s="41" t="s">
        <v>276</v>
      </c>
      <c r="B29" s="247">
        <f>B34*'ha_N2O bodem landbouw'!B4</f>
        <v>25.043903404767079</v>
      </c>
      <c r="C29" s="247">
        <f>B29*'GWP N2O_CH4'!B4</f>
        <v>7763.610055477794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5.6362391913721017E-3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3.4925036135185339E-4</v>
      </c>
      <c r="C5" s="437" t="s">
        <v>210</v>
      </c>
      <c r="D5" s="422">
        <f>SUM(D6:D11)</f>
        <v>7.8467469148189102E-4</v>
      </c>
      <c r="E5" s="422">
        <f>SUM(E6:E11)</f>
        <v>3.659997931364462E-3</v>
      </c>
      <c r="F5" s="435" t="s">
        <v>210</v>
      </c>
      <c r="G5" s="422">
        <f>SUM(G6:G11)</f>
        <v>1.5633184523161008</v>
      </c>
      <c r="H5" s="422">
        <f>SUM(H6:H11)</f>
        <v>0.26861377342755843</v>
      </c>
      <c r="I5" s="437" t="s">
        <v>210</v>
      </c>
      <c r="J5" s="437" t="s">
        <v>210</v>
      </c>
      <c r="K5" s="437" t="s">
        <v>210</v>
      </c>
      <c r="L5" s="437" t="s">
        <v>210</v>
      </c>
      <c r="M5" s="422">
        <f>SUM(M6:M11)</f>
        <v>5.7232183890485157E-2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1.2700700550620733E-4</v>
      </c>
      <c r="C6" s="423"/>
      <c r="D6" s="865">
        <f>vkm_GW_PW*SUMIFS(TableVerdeelsleutelVkm[CNG],TableVerdeelsleutelVkm[Voertuigtype],"Lichte voertuigen")*SUMIFS(TableECFTransport[EnergieConsumptieFactor (PJ per km)],TableECFTransport[Index],CONCATENATE($A6,"_CNG_CNG"))</f>
        <v>2.2895256594435227E-4</v>
      </c>
      <c r="E6" s="865">
        <f>vkm_GW_PW*SUMIFS(TableVerdeelsleutelVkm[LPG],TableVerdeelsleutelVkm[Voertuigtype],"Lichte voertuigen")*SUMIFS(TableECFTransport[EnergieConsumptieFactor (PJ per km)],TableECFTransport[Index],CONCATENATE($A6,"_LPG_LPG"))</f>
        <v>1.0342763386559132E-3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0.28256288400367668</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7.8611965768242573E-2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1.1245464181538288E-2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0.18954343070428781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3.4202761809275749E-6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5.9630469551306903E-3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1.2212835769554139E-4</v>
      </c>
      <c r="C8" s="423"/>
      <c r="D8" s="425">
        <f>vkm_NGW_PW*SUMIFS(TableVerdeelsleutelVkm[CNG],TableVerdeelsleutelVkm[Voertuigtype],"Lichte voertuigen")*SUMIFS(TableECFTransport[EnergieConsumptieFactor (PJ per km)],TableECFTransport[Index],CONCATENATE($A8,"_CNG_CNG"))</f>
        <v>3.7420515897404829E-4</v>
      </c>
      <c r="E8" s="425">
        <f>vkm_NGW_PW*SUMIFS(TableVerdeelsleutelVkm[LPG],TableVerdeelsleutelVkm[Voertuigtype],"Lichte voertuigen")*SUMIFS(TableECFTransport[EnergieConsumptieFactor (PJ per km)],TableECFTransport[Index],CONCATENATE($A8,"_LPG_LPG"))</f>
        <v>1.6045930722926234E-3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0.41161450771318864</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0.12485781401943086</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1.6691455086242143E-2</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0.13007726249412813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2.8975481331459427E-6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4.0922544642984747E-3</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1.0011499815010465E-4</v>
      </c>
      <c r="C10" s="423"/>
      <c r="D10" s="425">
        <f>vkm_SW_PW*SUMIFS(TableVerdeelsleutelVkm[CNG],TableVerdeelsleutelVkm[Voertuigtype],"Lichte voertuigen")*SUMIFS(TableECFTransport[EnergieConsumptieFactor (PJ per km)],TableECFTransport[Index],CONCATENATE($A10,"_CNG_CNG"))</f>
        <v>1.8151696656349043E-4</v>
      </c>
      <c r="E10" s="425">
        <f>vkm_SW_PW*SUMIFS(TableVerdeelsleutelVkm[LPG],TableVerdeelsleutelVkm[Voertuigtype],"Lichte voertuigen")*SUMIFS(TableECFTransport[EnergieConsumptieFactor (PJ per km)],TableECFTransport[Index],CONCATENATE($A10,"_LPG_LPG"))</f>
        <v>1.0211285204159253E-3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0.25037101330581779</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6.5131909553078335E-2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9.8286967193378996E-3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0.29914935409500165</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5.7662624926054033E-6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9.4112664839376553E-3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97.013989264403719</v>
      </c>
      <c r="C14" s="21"/>
      <c r="D14" s="21">
        <f t="shared" ref="D14:M14" si="0">((D5)*10^9/3600)+D12</f>
        <v>217.96519207830306</v>
      </c>
      <c r="E14" s="21">
        <f t="shared" si="0"/>
        <v>1016.666092045684</v>
      </c>
      <c r="F14" s="21"/>
      <c r="G14" s="21">
        <f t="shared" si="0"/>
        <v>434255.12564336136</v>
      </c>
      <c r="H14" s="21">
        <f t="shared" si="0"/>
        <v>74614.937063210673</v>
      </c>
      <c r="I14" s="21"/>
      <c r="J14" s="21"/>
      <c r="K14" s="21"/>
      <c r="L14" s="21"/>
      <c r="M14" s="21">
        <f t="shared" si="0"/>
        <v>15897.828858468099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0.2055509381163324</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19.941316503705984</v>
      </c>
      <c r="C18" s="23"/>
      <c r="D18" s="23">
        <f t="shared" ref="D18:M18" si="1">D14*D16</f>
        <v>44.028968799817221</v>
      </c>
      <c r="E18" s="23">
        <f t="shared" si="1"/>
        <v>230.78320289437028</v>
      </c>
      <c r="F18" s="23"/>
      <c r="G18" s="23">
        <f t="shared" si="1"/>
        <v>115946.11854677749</v>
      </c>
      <c r="H18" s="23">
        <f t="shared" si="1"/>
        <v>18579.119328739456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3.5577124801163228E-2</v>
      </c>
      <c r="H50" s="319">
        <f t="shared" si="2"/>
        <v>0</v>
      </c>
      <c r="I50" s="319">
        <f t="shared" si="2"/>
        <v>0</v>
      </c>
      <c r="J50" s="319">
        <f t="shared" si="2"/>
        <v>0</v>
      </c>
      <c r="K50" s="319">
        <f t="shared" si="2"/>
        <v>0</v>
      </c>
      <c r="L50" s="319">
        <f t="shared" si="2"/>
        <v>0</v>
      </c>
      <c r="M50" s="319">
        <f t="shared" si="2"/>
        <v>1.1021297682963257E-3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3.5577124801163228E-2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1.1021297682963257E-3</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9882.5346669897845</v>
      </c>
      <c r="H54" s="21">
        <f t="shared" si="3"/>
        <v>0</v>
      </c>
      <c r="I54" s="21">
        <f t="shared" si="3"/>
        <v>0</v>
      </c>
      <c r="J54" s="21">
        <f t="shared" si="3"/>
        <v>0</v>
      </c>
      <c r="K54" s="21">
        <f t="shared" si="3"/>
        <v>0</v>
      </c>
      <c r="L54" s="21">
        <f t="shared" si="3"/>
        <v>0</v>
      </c>
      <c r="M54" s="21">
        <f t="shared" si="3"/>
        <v>306.14715786009049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0.2055509381163324</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2638.6367560862727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129582.9727114</v>
      </c>
      <c r="D10" s="978">
        <f ca="1">tertiair!C16</f>
        <v>67.5</v>
      </c>
      <c r="E10" s="978">
        <f ca="1">tertiair!D16</f>
        <v>159207.69646796602</v>
      </c>
      <c r="F10" s="978">
        <f>tertiair!E16</f>
        <v>2254.5600982716719</v>
      </c>
      <c r="G10" s="978">
        <f ca="1">tertiair!F16</f>
        <v>30756.642500242328</v>
      </c>
      <c r="H10" s="978">
        <f>tertiair!G16</f>
        <v>0</v>
      </c>
      <c r="I10" s="978">
        <f>tertiair!H16</f>
        <v>0</v>
      </c>
      <c r="J10" s="978">
        <f>tertiair!I16</f>
        <v>0</v>
      </c>
      <c r="K10" s="978">
        <f>tertiair!J16</f>
        <v>0</v>
      </c>
      <c r="L10" s="978">
        <f>tertiair!K16</f>
        <v>0</v>
      </c>
      <c r="M10" s="978">
        <f ca="1">tertiair!L16</f>
        <v>0</v>
      </c>
      <c r="N10" s="978">
        <f>tertiair!M16</f>
        <v>0</v>
      </c>
      <c r="O10" s="978">
        <f ca="1">tertiair!N16</f>
        <v>10669.166819789194</v>
      </c>
      <c r="P10" s="978">
        <f>tertiair!O16</f>
        <v>17.196666666666669</v>
      </c>
      <c r="Q10" s="979">
        <f>tertiair!P16</f>
        <v>209.73333333333335</v>
      </c>
      <c r="R10" s="674">
        <f ca="1">SUM(C10:Q10)</f>
        <v>332765.46859766927</v>
      </c>
      <c r="S10" s="67"/>
    </row>
    <row r="11" spans="1:19" s="447" customFormat="1">
      <c r="A11" s="783" t="s">
        <v>224</v>
      </c>
      <c r="B11" s="788"/>
      <c r="C11" s="978">
        <f>huishoudens!B8</f>
        <v>116128.90353677563</v>
      </c>
      <c r="D11" s="978">
        <f>huishoudens!C8</f>
        <v>0</v>
      </c>
      <c r="E11" s="978">
        <f>huishoudens!D8</f>
        <v>294565.71640276001</v>
      </c>
      <c r="F11" s="978">
        <f>huishoudens!E8</f>
        <v>50015.556770222865</v>
      </c>
      <c r="G11" s="978">
        <f>huishoudens!F8</f>
        <v>0</v>
      </c>
      <c r="H11" s="978">
        <f>huishoudens!G8</f>
        <v>0</v>
      </c>
      <c r="I11" s="978">
        <f>huishoudens!H8</f>
        <v>0</v>
      </c>
      <c r="J11" s="978">
        <f>huishoudens!I8</f>
        <v>0</v>
      </c>
      <c r="K11" s="978">
        <f>huishoudens!J8</f>
        <v>4982.8813527564216</v>
      </c>
      <c r="L11" s="978">
        <f>huishoudens!K8</f>
        <v>0</v>
      </c>
      <c r="M11" s="978">
        <f>huishoudens!L8</f>
        <v>0</v>
      </c>
      <c r="N11" s="978">
        <f>huishoudens!M8</f>
        <v>0</v>
      </c>
      <c r="O11" s="978">
        <f>huishoudens!N8</f>
        <v>53912.155331287344</v>
      </c>
      <c r="P11" s="978">
        <f>huishoudens!O8</f>
        <v>772.28666666666675</v>
      </c>
      <c r="Q11" s="979">
        <f>huishoudens!P8</f>
        <v>2574</v>
      </c>
      <c r="R11" s="674">
        <f>SUM(C11:Q11)</f>
        <v>522951.50006046891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75533.954648394007</v>
      </c>
      <c r="D13" s="978">
        <f>industrie!C18</f>
        <v>919.28571428571433</v>
      </c>
      <c r="E13" s="978">
        <f>industrie!D18</f>
        <v>55984.511939003591</v>
      </c>
      <c r="F13" s="978">
        <f>industrie!E18</f>
        <v>4444.1004238569985</v>
      </c>
      <c r="G13" s="978">
        <f>industrie!F18</f>
        <v>22074.917957355312</v>
      </c>
      <c r="H13" s="978">
        <f>industrie!G18</f>
        <v>0</v>
      </c>
      <c r="I13" s="978">
        <f>industrie!H18</f>
        <v>0</v>
      </c>
      <c r="J13" s="978">
        <f>industrie!I18</f>
        <v>0</v>
      </c>
      <c r="K13" s="978">
        <f>industrie!J18</f>
        <v>428.73088796844957</v>
      </c>
      <c r="L13" s="978">
        <f>industrie!K18</f>
        <v>0</v>
      </c>
      <c r="M13" s="978">
        <f>industrie!L18</f>
        <v>0</v>
      </c>
      <c r="N13" s="978">
        <f>industrie!M18</f>
        <v>0</v>
      </c>
      <c r="O13" s="978">
        <f>industrie!N18</f>
        <v>8835.2471620927226</v>
      </c>
      <c r="P13" s="978">
        <f>industrie!O18</f>
        <v>0</v>
      </c>
      <c r="Q13" s="979">
        <f>industrie!P18</f>
        <v>0</v>
      </c>
      <c r="R13" s="674">
        <f>SUM(C13:Q13)</f>
        <v>168220.74873295677</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321245.83089656965</v>
      </c>
      <c r="D16" s="706">
        <f t="shared" ref="D16:R16" ca="1" si="0">SUM(D9:D15)</f>
        <v>986.78571428571433</v>
      </c>
      <c r="E16" s="706">
        <f t="shared" ca="1" si="0"/>
        <v>509757.92480972962</v>
      </c>
      <c r="F16" s="706">
        <f t="shared" si="0"/>
        <v>56714.217292351532</v>
      </c>
      <c r="G16" s="706">
        <f t="shared" ca="1" si="0"/>
        <v>52831.560457597639</v>
      </c>
      <c r="H16" s="706">
        <f t="shared" si="0"/>
        <v>0</v>
      </c>
      <c r="I16" s="706">
        <f t="shared" si="0"/>
        <v>0</v>
      </c>
      <c r="J16" s="706">
        <f t="shared" si="0"/>
        <v>0</v>
      </c>
      <c r="K16" s="706">
        <f t="shared" si="0"/>
        <v>5411.6122407248713</v>
      </c>
      <c r="L16" s="706">
        <f t="shared" si="0"/>
        <v>0</v>
      </c>
      <c r="M16" s="706">
        <f t="shared" ca="1" si="0"/>
        <v>0</v>
      </c>
      <c r="N16" s="706">
        <f t="shared" si="0"/>
        <v>0</v>
      </c>
      <c r="O16" s="706">
        <f t="shared" ca="1" si="0"/>
        <v>73416.569313169253</v>
      </c>
      <c r="P16" s="706">
        <f t="shared" si="0"/>
        <v>789.48333333333346</v>
      </c>
      <c r="Q16" s="706">
        <f t="shared" si="0"/>
        <v>2783.7333333333336</v>
      </c>
      <c r="R16" s="706">
        <f t="shared" ca="1" si="0"/>
        <v>1023937.7173910949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9882.5346669897845</v>
      </c>
      <c r="I19" s="978">
        <f>transport!H54</f>
        <v>0</v>
      </c>
      <c r="J19" s="978">
        <f>transport!I54</f>
        <v>0</v>
      </c>
      <c r="K19" s="978">
        <f>transport!J54</f>
        <v>0</v>
      </c>
      <c r="L19" s="978">
        <f>transport!K54</f>
        <v>0</v>
      </c>
      <c r="M19" s="978">
        <f>transport!L54</f>
        <v>0</v>
      </c>
      <c r="N19" s="978">
        <f>transport!M54</f>
        <v>306.14715786009049</v>
      </c>
      <c r="O19" s="978">
        <f>transport!N54</f>
        <v>0</v>
      </c>
      <c r="P19" s="978">
        <f>transport!O54</f>
        <v>0</v>
      </c>
      <c r="Q19" s="979">
        <f>transport!P54</f>
        <v>0</v>
      </c>
      <c r="R19" s="674">
        <f>SUM(C19:Q19)</f>
        <v>10188.681824849875</v>
      </c>
      <c r="S19" s="67"/>
    </row>
    <row r="20" spans="1:19" s="447" customFormat="1">
      <c r="A20" s="783" t="s">
        <v>306</v>
      </c>
      <c r="B20" s="788"/>
      <c r="C20" s="978">
        <f>transport!B14</f>
        <v>97.013989264403719</v>
      </c>
      <c r="D20" s="978">
        <f>transport!C14</f>
        <v>0</v>
      </c>
      <c r="E20" s="978">
        <f>transport!D14</f>
        <v>217.96519207830306</v>
      </c>
      <c r="F20" s="978">
        <f>transport!E14</f>
        <v>1016.666092045684</v>
      </c>
      <c r="G20" s="978">
        <f>transport!F14</f>
        <v>0</v>
      </c>
      <c r="H20" s="978">
        <f>transport!G14</f>
        <v>434255.12564336136</v>
      </c>
      <c r="I20" s="978">
        <f>transport!H14</f>
        <v>74614.937063210673</v>
      </c>
      <c r="J20" s="978">
        <f>transport!I14</f>
        <v>0</v>
      </c>
      <c r="K20" s="978">
        <f>transport!J14</f>
        <v>0</v>
      </c>
      <c r="L20" s="978">
        <f>transport!K14</f>
        <v>0</v>
      </c>
      <c r="M20" s="978">
        <f>transport!L14</f>
        <v>0</v>
      </c>
      <c r="N20" s="978">
        <f>transport!M14</f>
        <v>15897.828858468099</v>
      </c>
      <c r="O20" s="978">
        <f>transport!N14</f>
        <v>0</v>
      </c>
      <c r="P20" s="978">
        <f>transport!O14</f>
        <v>0</v>
      </c>
      <c r="Q20" s="979">
        <f>transport!P14</f>
        <v>0</v>
      </c>
      <c r="R20" s="674">
        <f>SUM(C20:Q20)</f>
        <v>526099.53683842847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97.013989264403719</v>
      </c>
      <c r="D22" s="786">
        <f t="shared" ref="D22:R22" si="1">SUM(D18:D21)</f>
        <v>0</v>
      </c>
      <c r="E22" s="786">
        <f t="shared" si="1"/>
        <v>217.96519207830306</v>
      </c>
      <c r="F22" s="786">
        <f t="shared" si="1"/>
        <v>1016.666092045684</v>
      </c>
      <c r="G22" s="786">
        <f t="shared" si="1"/>
        <v>0</v>
      </c>
      <c r="H22" s="786">
        <f t="shared" si="1"/>
        <v>444137.66031035117</v>
      </c>
      <c r="I22" s="786">
        <f t="shared" si="1"/>
        <v>74614.937063210673</v>
      </c>
      <c r="J22" s="786">
        <f t="shared" si="1"/>
        <v>0</v>
      </c>
      <c r="K22" s="786">
        <f t="shared" si="1"/>
        <v>0</v>
      </c>
      <c r="L22" s="786">
        <f t="shared" si="1"/>
        <v>0</v>
      </c>
      <c r="M22" s="786">
        <f t="shared" si="1"/>
        <v>0</v>
      </c>
      <c r="N22" s="786">
        <f t="shared" si="1"/>
        <v>16203.97601632819</v>
      </c>
      <c r="O22" s="786">
        <f t="shared" si="1"/>
        <v>0</v>
      </c>
      <c r="P22" s="786">
        <f t="shared" si="1"/>
        <v>0</v>
      </c>
      <c r="Q22" s="786">
        <f t="shared" si="1"/>
        <v>0</v>
      </c>
      <c r="R22" s="786">
        <f t="shared" si="1"/>
        <v>536288.21866327839</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4071.9491386900004</v>
      </c>
      <c r="D24" s="978">
        <f>+landbouw!C8</f>
        <v>0</v>
      </c>
      <c r="E24" s="978">
        <f>+landbouw!D8</f>
        <v>2275.3849233836604</v>
      </c>
      <c r="F24" s="978">
        <f>+landbouw!E8</f>
        <v>104.9999338096988</v>
      </c>
      <c r="G24" s="978">
        <f>+landbouw!F8</f>
        <v>14883.749566955541</v>
      </c>
      <c r="H24" s="978">
        <f>+landbouw!G8</f>
        <v>0</v>
      </c>
      <c r="I24" s="978">
        <f>+landbouw!H8</f>
        <v>0</v>
      </c>
      <c r="J24" s="978">
        <f>+landbouw!I8</f>
        <v>0</v>
      </c>
      <c r="K24" s="978">
        <f>+landbouw!J8</f>
        <v>586.21088257477186</v>
      </c>
      <c r="L24" s="978">
        <f>+landbouw!K8</f>
        <v>0</v>
      </c>
      <c r="M24" s="978">
        <f>+landbouw!L8</f>
        <v>0</v>
      </c>
      <c r="N24" s="978">
        <f>+landbouw!M8</f>
        <v>0</v>
      </c>
      <c r="O24" s="978">
        <f>+landbouw!N8</f>
        <v>0</v>
      </c>
      <c r="P24" s="978">
        <f>+landbouw!O8</f>
        <v>0</v>
      </c>
      <c r="Q24" s="979">
        <f>+landbouw!P8</f>
        <v>0</v>
      </c>
      <c r="R24" s="674">
        <f>SUM(C24:Q24)</f>
        <v>21922.29444541367</v>
      </c>
      <c r="S24" s="67"/>
    </row>
    <row r="25" spans="1:19" s="447" customFormat="1" ht="15" thickBot="1">
      <c r="A25" s="805" t="s">
        <v>834</v>
      </c>
      <c r="B25" s="981"/>
      <c r="C25" s="982">
        <f>IF(Onbekend_ele_kWh="---",0,Onbekend_ele_kWh)/1000+IF(REST_rest_ele_kWh="---",0,REST_rest_ele_kWh)/1000</f>
        <v>4672.6732363000001</v>
      </c>
      <c r="D25" s="982"/>
      <c r="E25" s="982">
        <f>IF(onbekend_gas_kWh="---",0,onbekend_gas_kWh)/1000+IF(REST_rest_gas_kWh="---",0,REST_rest_gas_kWh)/1000</f>
        <v>11319.357627000001</v>
      </c>
      <c r="F25" s="982"/>
      <c r="G25" s="982"/>
      <c r="H25" s="982"/>
      <c r="I25" s="982"/>
      <c r="J25" s="982"/>
      <c r="K25" s="982"/>
      <c r="L25" s="982"/>
      <c r="M25" s="982"/>
      <c r="N25" s="982"/>
      <c r="O25" s="982"/>
      <c r="P25" s="982"/>
      <c r="Q25" s="983"/>
      <c r="R25" s="674">
        <f>SUM(C25:Q25)</f>
        <v>15992.030863300002</v>
      </c>
      <c r="S25" s="67"/>
    </row>
    <row r="26" spans="1:19" s="447" customFormat="1" ht="15.75" thickBot="1">
      <c r="A26" s="679" t="s">
        <v>835</v>
      </c>
      <c r="B26" s="791"/>
      <c r="C26" s="786">
        <f>SUM(C24:C25)</f>
        <v>8744.62237499</v>
      </c>
      <c r="D26" s="786">
        <f t="shared" ref="D26:R26" si="2">SUM(D24:D25)</f>
        <v>0</v>
      </c>
      <c r="E26" s="786">
        <f t="shared" si="2"/>
        <v>13594.742550383662</v>
      </c>
      <c r="F26" s="786">
        <f t="shared" si="2"/>
        <v>104.9999338096988</v>
      </c>
      <c r="G26" s="786">
        <f t="shared" si="2"/>
        <v>14883.749566955541</v>
      </c>
      <c r="H26" s="786">
        <f t="shared" si="2"/>
        <v>0</v>
      </c>
      <c r="I26" s="786">
        <f t="shared" si="2"/>
        <v>0</v>
      </c>
      <c r="J26" s="786">
        <f t="shared" si="2"/>
        <v>0</v>
      </c>
      <c r="K26" s="786">
        <f t="shared" si="2"/>
        <v>586.21088257477186</v>
      </c>
      <c r="L26" s="786">
        <f t="shared" si="2"/>
        <v>0</v>
      </c>
      <c r="M26" s="786">
        <f t="shared" si="2"/>
        <v>0</v>
      </c>
      <c r="N26" s="786">
        <f t="shared" si="2"/>
        <v>0</v>
      </c>
      <c r="O26" s="786">
        <f t="shared" si="2"/>
        <v>0</v>
      </c>
      <c r="P26" s="786">
        <f t="shared" si="2"/>
        <v>0</v>
      </c>
      <c r="Q26" s="786">
        <f t="shared" si="2"/>
        <v>0</v>
      </c>
      <c r="R26" s="786">
        <f t="shared" si="2"/>
        <v>37914.325308713669</v>
      </c>
      <c r="S26" s="67"/>
    </row>
    <row r="27" spans="1:19" s="447" customFormat="1" ht="17.25" thickTop="1" thickBot="1">
      <c r="A27" s="680" t="s">
        <v>115</v>
      </c>
      <c r="B27" s="779"/>
      <c r="C27" s="681">
        <f ca="1">C22+C16+C26</f>
        <v>330087.46726082405</v>
      </c>
      <c r="D27" s="681">
        <f t="shared" ref="D27:R27" ca="1" si="3">D22+D16+D26</f>
        <v>986.78571428571433</v>
      </c>
      <c r="E27" s="681">
        <f t="shared" ca="1" si="3"/>
        <v>523570.63255219162</v>
      </c>
      <c r="F27" s="681">
        <f t="shared" si="3"/>
        <v>57835.883318206914</v>
      </c>
      <c r="G27" s="681">
        <f t="shared" ca="1" si="3"/>
        <v>67715.310024553182</v>
      </c>
      <c r="H27" s="681">
        <f t="shared" si="3"/>
        <v>444137.66031035117</v>
      </c>
      <c r="I27" s="681">
        <f t="shared" si="3"/>
        <v>74614.937063210673</v>
      </c>
      <c r="J27" s="681">
        <f t="shared" si="3"/>
        <v>0</v>
      </c>
      <c r="K27" s="681">
        <f t="shared" si="3"/>
        <v>5997.8231232996432</v>
      </c>
      <c r="L27" s="681">
        <f t="shared" si="3"/>
        <v>0</v>
      </c>
      <c r="M27" s="681">
        <f t="shared" ca="1" si="3"/>
        <v>0</v>
      </c>
      <c r="N27" s="681">
        <f t="shared" si="3"/>
        <v>16203.97601632819</v>
      </c>
      <c r="O27" s="681">
        <f t="shared" ca="1" si="3"/>
        <v>73416.569313169253</v>
      </c>
      <c r="P27" s="681">
        <f t="shared" si="3"/>
        <v>789.48333333333346</v>
      </c>
      <c r="Q27" s="681">
        <f t="shared" si="3"/>
        <v>2783.7333333333336</v>
      </c>
      <c r="R27" s="681">
        <f t="shared" ca="1" si="3"/>
        <v>1598140.2613630868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26635.901604731371</v>
      </c>
      <c r="D40" s="978">
        <f ca="1">tertiair!C20</f>
        <v>16.041176470588233</v>
      </c>
      <c r="E40" s="978">
        <f ca="1">tertiair!D20</f>
        <v>32159.954686529138</v>
      </c>
      <c r="F40" s="978">
        <f>tertiair!E20</f>
        <v>511.78514230766956</v>
      </c>
      <c r="G40" s="978">
        <f ca="1">tertiair!F20</f>
        <v>8212.0235475647023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67535.706157603476</v>
      </c>
    </row>
    <row r="41" spans="1:18">
      <c r="A41" s="796" t="s">
        <v>224</v>
      </c>
      <c r="B41" s="803"/>
      <c r="C41" s="978">
        <f ca="1">huishoudens!B12</f>
        <v>23870.405064405302</v>
      </c>
      <c r="D41" s="978">
        <f ca="1">huishoudens!C12</f>
        <v>0</v>
      </c>
      <c r="E41" s="978">
        <f>huishoudens!D12</f>
        <v>59502.274713357525</v>
      </c>
      <c r="F41" s="978">
        <f>huishoudens!E12</f>
        <v>11353.53138684059</v>
      </c>
      <c r="G41" s="978">
        <f>huishoudens!F12</f>
        <v>0</v>
      </c>
      <c r="H41" s="978">
        <f>huishoudens!G12</f>
        <v>0</v>
      </c>
      <c r="I41" s="978">
        <f>huishoudens!H12</f>
        <v>0</v>
      </c>
      <c r="J41" s="978">
        <f>huishoudens!I12</f>
        <v>0</v>
      </c>
      <c r="K41" s="978">
        <f>huishoudens!J12</f>
        <v>1763.9399988757732</v>
      </c>
      <c r="L41" s="978">
        <f>huishoudens!K12</f>
        <v>0</v>
      </c>
      <c r="M41" s="978">
        <f>huishoudens!L12</f>
        <v>0</v>
      </c>
      <c r="N41" s="978">
        <f>huishoudens!M12</f>
        <v>0</v>
      </c>
      <c r="O41" s="978">
        <f>huishoudens!N12</f>
        <v>0</v>
      </c>
      <c r="P41" s="978">
        <f>huishoudens!O12</f>
        <v>0</v>
      </c>
      <c r="Q41" s="748">
        <f>huishoudens!P12</f>
        <v>0</v>
      </c>
      <c r="R41" s="824">
        <f t="shared" ca="1" si="4"/>
        <v>96490.151163479197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15526.075237613895</v>
      </c>
      <c r="D43" s="978">
        <f ca="1">industrie!C22</f>
        <v>218.46554621848739</v>
      </c>
      <c r="E43" s="978">
        <f>industrie!D22</f>
        <v>11308.871411678727</v>
      </c>
      <c r="F43" s="978">
        <f>industrie!E22</f>
        <v>1008.8107962155387</v>
      </c>
      <c r="G43" s="978">
        <f>industrie!F22</f>
        <v>5894.0030946138686</v>
      </c>
      <c r="H43" s="978">
        <f>industrie!G22</f>
        <v>0</v>
      </c>
      <c r="I43" s="978">
        <f>industrie!H22</f>
        <v>0</v>
      </c>
      <c r="J43" s="978">
        <f>industrie!I22</f>
        <v>0</v>
      </c>
      <c r="K43" s="978">
        <f>industrie!J22</f>
        <v>151.77073434083113</v>
      </c>
      <c r="L43" s="978">
        <f>industrie!K22</f>
        <v>0</v>
      </c>
      <c r="M43" s="978">
        <f>industrie!L22</f>
        <v>0</v>
      </c>
      <c r="N43" s="978">
        <f>industrie!M22</f>
        <v>0</v>
      </c>
      <c r="O43" s="978">
        <f>industrie!N22</f>
        <v>0</v>
      </c>
      <c r="P43" s="978">
        <f>industrie!O22</f>
        <v>0</v>
      </c>
      <c r="Q43" s="748">
        <f>industrie!P22</f>
        <v>0</v>
      </c>
      <c r="R43" s="823">
        <f t="shared" ca="1" si="4"/>
        <v>34107.99682068135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66032.381906750568</v>
      </c>
      <c r="D46" s="706">
        <f t="shared" ref="D46:Q46" ca="1" si="5">SUM(D39:D45)</f>
        <v>234.50672268907562</v>
      </c>
      <c r="E46" s="706">
        <f t="shared" ca="1" si="5"/>
        <v>102971.1008115654</v>
      </c>
      <c r="F46" s="706">
        <f t="shared" si="5"/>
        <v>12874.127325363799</v>
      </c>
      <c r="G46" s="706">
        <f t="shared" ca="1" si="5"/>
        <v>14106.026642178571</v>
      </c>
      <c r="H46" s="706">
        <f t="shared" si="5"/>
        <v>0</v>
      </c>
      <c r="I46" s="706">
        <f t="shared" si="5"/>
        <v>0</v>
      </c>
      <c r="J46" s="706">
        <f t="shared" si="5"/>
        <v>0</v>
      </c>
      <c r="K46" s="706">
        <f t="shared" si="5"/>
        <v>1915.7107332166042</v>
      </c>
      <c r="L46" s="706">
        <f t="shared" si="5"/>
        <v>0</v>
      </c>
      <c r="M46" s="706">
        <f t="shared" ca="1" si="5"/>
        <v>0</v>
      </c>
      <c r="N46" s="706">
        <f t="shared" si="5"/>
        <v>0</v>
      </c>
      <c r="O46" s="706">
        <f t="shared" ca="1" si="5"/>
        <v>0</v>
      </c>
      <c r="P46" s="706">
        <f t="shared" si="5"/>
        <v>0</v>
      </c>
      <c r="Q46" s="706">
        <f t="shared" si="5"/>
        <v>0</v>
      </c>
      <c r="R46" s="706">
        <f ca="1">SUM(R39:R45)</f>
        <v>198133.85414176402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2638.6367560862727</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2638.6367560862727</v>
      </c>
    </row>
    <row r="50" spans="1:18">
      <c r="A50" s="799" t="s">
        <v>306</v>
      </c>
      <c r="B50" s="809"/>
      <c r="C50" s="677">
        <f ca="1">transport!B18</f>
        <v>19.941316503705984</v>
      </c>
      <c r="D50" s="677">
        <f>transport!C18</f>
        <v>0</v>
      </c>
      <c r="E50" s="677">
        <f>transport!D18</f>
        <v>44.028968799817221</v>
      </c>
      <c r="F50" s="677">
        <f>transport!E18</f>
        <v>230.78320289437028</v>
      </c>
      <c r="G50" s="677">
        <f>transport!F18</f>
        <v>0</v>
      </c>
      <c r="H50" s="677">
        <f>transport!G18</f>
        <v>115946.11854677749</v>
      </c>
      <c r="I50" s="677">
        <f>transport!H18</f>
        <v>18579.119328739456</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134819.99136371486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19.941316503705984</v>
      </c>
      <c r="D52" s="706">
        <f t="shared" ref="D52:Q52" ca="1" si="6">SUM(D48:D51)</f>
        <v>0</v>
      </c>
      <c r="E52" s="706">
        <f t="shared" si="6"/>
        <v>44.028968799817221</v>
      </c>
      <c r="F52" s="706">
        <f t="shared" si="6"/>
        <v>230.78320289437028</v>
      </c>
      <c r="G52" s="706">
        <f t="shared" si="6"/>
        <v>0</v>
      </c>
      <c r="H52" s="706">
        <f t="shared" si="6"/>
        <v>118584.75530286376</v>
      </c>
      <c r="I52" s="706">
        <f t="shared" si="6"/>
        <v>18579.119328739456</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137458.62811980114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836.99296541972126</v>
      </c>
      <c r="D54" s="677">
        <f ca="1">+landbouw!C12</f>
        <v>0</v>
      </c>
      <c r="E54" s="677">
        <f>+landbouw!D12</f>
        <v>459.62775452349945</v>
      </c>
      <c r="F54" s="677">
        <f>+landbouw!E12</f>
        <v>23.834984974801628</v>
      </c>
      <c r="G54" s="677">
        <f>+landbouw!F12</f>
        <v>3973.9611343771298</v>
      </c>
      <c r="H54" s="677">
        <f>+landbouw!G12</f>
        <v>0</v>
      </c>
      <c r="I54" s="677">
        <f>+landbouw!H12</f>
        <v>0</v>
      </c>
      <c r="J54" s="677">
        <f>+landbouw!I12</f>
        <v>0</v>
      </c>
      <c r="K54" s="677">
        <f>+landbouw!J12</f>
        <v>207.51865243146923</v>
      </c>
      <c r="L54" s="677">
        <f>+landbouw!K12</f>
        <v>0</v>
      </c>
      <c r="M54" s="677">
        <f>+landbouw!L12</f>
        <v>0</v>
      </c>
      <c r="N54" s="677">
        <f>+landbouw!M12</f>
        <v>0</v>
      </c>
      <c r="O54" s="677">
        <f>+landbouw!N12</f>
        <v>0</v>
      </c>
      <c r="P54" s="677">
        <f>+landbouw!O12</f>
        <v>0</v>
      </c>
      <c r="Q54" s="678">
        <f>+landbouw!P12</f>
        <v>0</v>
      </c>
      <c r="R54" s="705">
        <f ca="1">SUM(C54:Q54)</f>
        <v>5501.9354917266219</v>
      </c>
    </row>
    <row r="55" spans="1:18" ht="15" thickBot="1">
      <c r="A55" s="799" t="s">
        <v>834</v>
      </c>
      <c r="B55" s="809"/>
      <c r="C55" s="677">
        <f ca="1">C25*'EF ele_warmte'!B12</f>
        <v>960.472367232544</v>
      </c>
      <c r="D55" s="677"/>
      <c r="E55" s="677">
        <f>E25*EF_CO2_aardgas</f>
        <v>2286.5102406540004</v>
      </c>
      <c r="F55" s="677"/>
      <c r="G55" s="677"/>
      <c r="H55" s="677"/>
      <c r="I55" s="677"/>
      <c r="J55" s="677"/>
      <c r="K55" s="677"/>
      <c r="L55" s="677"/>
      <c r="M55" s="677"/>
      <c r="N55" s="677"/>
      <c r="O55" s="677"/>
      <c r="P55" s="677"/>
      <c r="Q55" s="678"/>
      <c r="R55" s="705">
        <f ca="1">SUM(C55:Q55)</f>
        <v>3246.9826078865444</v>
      </c>
    </row>
    <row r="56" spans="1:18" ht="15.75" thickBot="1">
      <c r="A56" s="797" t="s">
        <v>835</v>
      </c>
      <c r="B56" s="810"/>
      <c r="C56" s="706">
        <f ca="1">SUM(C54:C55)</f>
        <v>1797.4653326522653</v>
      </c>
      <c r="D56" s="706">
        <f t="shared" ref="D56:Q56" ca="1" si="7">SUM(D54:D55)</f>
        <v>0</v>
      </c>
      <c r="E56" s="706">
        <f t="shared" si="7"/>
        <v>2746.1379951774998</v>
      </c>
      <c r="F56" s="706">
        <f t="shared" si="7"/>
        <v>23.834984974801628</v>
      </c>
      <c r="G56" s="706">
        <f t="shared" si="7"/>
        <v>3973.9611343771298</v>
      </c>
      <c r="H56" s="706">
        <f t="shared" si="7"/>
        <v>0</v>
      </c>
      <c r="I56" s="706">
        <f t="shared" si="7"/>
        <v>0</v>
      </c>
      <c r="J56" s="706">
        <f t="shared" si="7"/>
        <v>0</v>
      </c>
      <c r="K56" s="706">
        <f t="shared" si="7"/>
        <v>207.51865243146923</v>
      </c>
      <c r="L56" s="706">
        <f t="shared" si="7"/>
        <v>0</v>
      </c>
      <c r="M56" s="706">
        <f t="shared" si="7"/>
        <v>0</v>
      </c>
      <c r="N56" s="706">
        <f t="shared" si="7"/>
        <v>0</v>
      </c>
      <c r="O56" s="706">
        <f t="shared" si="7"/>
        <v>0</v>
      </c>
      <c r="P56" s="706">
        <f t="shared" si="7"/>
        <v>0</v>
      </c>
      <c r="Q56" s="707">
        <f t="shared" si="7"/>
        <v>0</v>
      </c>
      <c r="R56" s="708">
        <f ca="1">SUM(R54:R55)</f>
        <v>8748.9180996131654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67849.788555906547</v>
      </c>
      <c r="D61" s="714">
        <f t="shared" ref="D61:Q61" ca="1" si="8">D46+D52+D56</f>
        <v>234.50672268907562</v>
      </c>
      <c r="E61" s="714">
        <f t="shared" ca="1" si="8"/>
        <v>105761.26777554271</v>
      </c>
      <c r="F61" s="714">
        <f t="shared" si="8"/>
        <v>13128.745513232971</v>
      </c>
      <c r="G61" s="714">
        <f t="shared" ca="1" si="8"/>
        <v>18079.987776555699</v>
      </c>
      <c r="H61" s="714">
        <f t="shared" si="8"/>
        <v>118584.75530286376</v>
      </c>
      <c r="I61" s="714">
        <f t="shared" si="8"/>
        <v>18579.119328739456</v>
      </c>
      <c r="J61" s="714">
        <f t="shared" si="8"/>
        <v>0</v>
      </c>
      <c r="K61" s="714">
        <f t="shared" si="8"/>
        <v>2123.2293856480733</v>
      </c>
      <c r="L61" s="714">
        <f t="shared" si="8"/>
        <v>0</v>
      </c>
      <c r="M61" s="714">
        <f t="shared" ca="1" si="8"/>
        <v>0</v>
      </c>
      <c r="N61" s="714">
        <f t="shared" si="8"/>
        <v>0</v>
      </c>
      <c r="O61" s="714">
        <f t="shared" ca="1" si="8"/>
        <v>0</v>
      </c>
      <c r="P61" s="714">
        <f t="shared" si="8"/>
        <v>0</v>
      </c>
      <c r="Q61" s="714">
        <f t="shared" si="8"/>
        <v>0</v>
      </c>
      <c r="R61" s="714">
        <f ca="1">R46+R52+R56</f>
        <v>344341.40036117833</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0.2055509381163324</v>
      </c>
      <c r="D63" s="755">
        <f t="shared" ca="1" si="9"/>
        <v>0.23764705882352938</v>
      </c>
      <c r="E63" s="989">
        <f t="shared" ca="1" si="9"/>
        <v>0.20200000000000001</v>
      </c>
      <c r="F63" s="755">
        <f t="shared" si="9"/>
        <v>0.22700000000000001</v>
      </c>
      <c r="G63" s="755">
        <f t="shared" ca="1" si="9"/>
        <v>0.26700000000000002</v>
      </c>
      <c r="H63" s="755">
        <f t="shared" si="9"/>
        <v>0.26700000000000002</v>
      </c>
      <c r="I63" s="755">
        <f t="shared" si="9"/>
        <v>0.24899999999999997</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23126.880835375152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690.75</v>
      </c>
      <c r="D76" s="999">
        <f>'lokale energieproductie'!C8</f>
        <v>812.64705882352951</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164.15470588235297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23126.880835375152</v>
      </c>
      <c r="C78" s="729">
        <f>SUM(C72:C77)</f>
        <v>690.75</v>
      </c>
      <c r="D78" s="730">
        <f t="shared" ref="D78:H78" si="10">SUM(D76:D77)</f>
        <v>812.64705882352951</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164.15470588235297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986.78571428571433</v>
      </c>
      <c r="D87" s="751">
        <f>'lokale energieproductie'!C17</f>
        <v>1160.9243697478992</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234.50672268907564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986.78571428571433</v>
      </c>
      <c r="D90" s="729">
        <f t="shared" ref="D90:H90" si="12">SUM(D87:D89)</f>
        <v>1160.9243697478992</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234.50672268907564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23126.880835375152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N31</f>
        <v>690.75</v>
      </c>
      <c r="C8" s="544">
        <f>B50</f>
        <v>812.64705882352951</v>
      </c>
      <c r="D8" s="1009"/>
      <c r="E8" s="1009">
        <f>E50</f>
        <v>0</v>
      </c>
      <c r="F8" s="1010"/>
      <c r="G8" s="545"/>
      <c r="H8" s="1009">
        <f>I50</f>
        <v>0</v>
      </c>
      <c r="I8" s="1009">
        <f>G50+F50</f>
        <v>0</v>
      </c>
      <c r="J8" s="1009">
        <f>H50+D50+C50</f>
        <v>0</v>
      </c>
      <c r="K8" s="1009"/>
      <c r="L8" s="1009"/>
      <c r="M8" s="1009"/>
      <c r="N8" s="546"/>
      <c r="O8" s="547">
        <f>C8*$C$12+D8*$D$12+E8*$E$12+F8*$F$12+G8*$G$12+H8*$H$12+I8*$I$12+J8*$J$12</f>
        <v>164.15470588235297</v>
      </c>
      <c r="P8" s="1239"/>
      <c r="Q8" s="1240"/>
      <c r="S8" s="973"/>
      <c r="T8" s="1260"/>
      <c r="U8" s="1260"/>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23817.630835375152</v>
      </c>
      <c r="C10" s="557">
        <f t="shared" ref="C10:L10" si="0">SUM(C8:C9)</f>
        <v>812.64705882352951</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164.15470588235297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O31</f>
        <v>986.78571428571433</v>
      </c>
      <c r="C17" s="569">
        <f>B51</f>
        <v>1160.9243697478992</v>
      </c>
      <c r="D17" s="570"/>
      <c r="E17" s="570">
        <f>E51</f>
        <v>0</v>
      </c>
      <c r="F17" s="1015"/>
      <c r="G17" s="571"/>
      <c r="H17" s="569">
        <f>I51</f>
        <v>0</v>
      </c>
      <c r="I17" s="570">
        <f>G51+F51</f>
        <v>0</v>
      </c>
      <c r="J17" s="570">
        <f>H51+D51+C51</f>
        <v>0</v>
      </c>
      <c r="K17" s="570"/>
      <c r="L17" s="570"/>
      <c r="M17" s="570"/>
      <c r="N17" s="1016"/>
      <c r="O17" s="572">
        <f>C17*$C$22+E17*$E$22+H17*$H$22+I17*$I$22+J17*$J$22+D17*$D$22+F17*$F$22+G17*$G$22+K17*$K$22+L17*$L$22</f>
        <v>234.50672268907564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986.78571428571433</v>
      </c>
      <c r="C20" s="556">
        <f>SUM(C17:C19)</f>
        <v>1160.9243697478992</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234.50672268907564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46021</v>
      </c>
      <c r="C28" s="770">
        <v>9100</v>
      </c>
      <c r="D28" s="627" t="s">
        <v>896</v>
      </c>
      <c r="E28" s="626" t="s">
        <v>897</v>
      </c>
      <c r="F28" s="626" t="s">
        <v>898</v>
      </c>
      <c r="G28" s="626" t="s">
        <v>899</v>
      </c>
      <c r="H28" s="626" t="s">
        <v>900</v>
      </c>
      <c r="I28" s="626" t="s">
        <v>897</v>
      </c>
      <c r="J28" s="769">
        <v>40688</v>
      </c>
      <c r="K28" s="769">
        <v>40787</v>
      </c>
      <c r="L28" s="626" t="s">
        <v>901</v>
      </c>
      <c r="M28" s="626">
        <v>5</v>
      </c>
      <c r="N28" s="626">
        <v>22.5</v>
      </c>
      <c r="O28" s="626">
        <v>32.142857142857146</v>
      </c>
      <c r="P28" s="626">
        <v>64.285714285714292</v>
      </c>
      <c r="Q28" s="626">
        <v>0</v>
      </c>
      <c r="R28" s="626">
        <v>0</v>
      </c>
      <c r="S28" s="626">
        <v>0</v>
      </c>
      <c r="T28" s="626">
        <v>0</v>
      </c>
      <c r="U28" s="626">
        <v>0</v>
      </c>
      <c r="V28" s="626">
        <v>0</v>
      </c>
      <c r="W28" s="626">
        <v>0</v>
      </c>
      <c r="X28" s="626">
        <v>1600</v>
      </c>
      <c r="Y28" s="626" t="s">
        <v>49</v>
      </c>
      <c r="Z28" s="628" t="s">
        <v>155</v>
      </c>
    </row>
    <row r="29" spans="1:26" s="580" customFormat="1" ht="63.75">
      <c r="A29" s="579"/>
      <c r="B29" s="770">
        <v>46021</v>
      </c>
      <c r="C29" s="770">
        <v>9100</v>
      </c>
      <c r="D29" s="627" t="s">
        <v>902</v>
      </c>
      <c r="E29" s="626" t="s">
        <v>903</v>
      </c>
      <c r="F29" s="626" t="s">
        <v>904</v>
      </c>
      <c r="G29" s="626" t="s">
        <v>899</v>
      </c>
      <c r="H29" s="626" t="s">
        <v>900</v>
      </c>
      <c r="I29" s="626" t="s">
        <v>903</v>
      </c>
      <c r="J29" s="769">
        <v>40735</v>
      </c>
      <c r="K29" s="769">
        <v>40817</v>
      </c>
      <c r="L29" s="626" t="s">
        <v>901</v>
      </c>
      <c r="M29" s="626">
        <v>5.5</v>
      </c>
      <c r="N29" s="626">
        <v>24.75</v>
      </c>
      <c r="O29" s="626">
        <v>35.357142857142861</v>
      </c>
      <c r="P29" s="626">
        <v>70.714285714285722</v>
      </c>
      <c r="Q29" s="626">
        <v>0</v>
      </c>
      <c r="R29" s="626">
        <v>0</v>
      </c>
      <c r="S29" s="626">
        <v>0</v>
      </c>
      <c r="T29" s="626">
        <v>0</v>
      </c>
      <c r="U29" s="626">
        <v>0</v>
      </c>
      <c r="V29" s="626">
        <v>0</v>
      </c>
      <c r="W29" s="626">
        <v>0</v>
      </c>
      <c r="X29" s="626">
        <v>1600</v>
      </c>
      <c r="Y29" s="626" t="s">
        <v>49</v>
      </c>
      <c r="Z29" s="628" t="s">
        <v>155</v>
      </c>
    </row>
    <row r="30" spans="1:26" s="580" customFormat="1" ht="38.25">
      <c r="A30" s="579"/>
      <c r="B30" s="770">
        <v>46021</v>
      </c>
      <c r="C30" s="770">
        <v>9100</v>
      </c>
      <c r="D30" s="627" t="s">
        <v>905</v>
      </c>
      <c r="E30" s="626" t="s">
        <v>906</v>
      </c>
      <c r="F30" s="626" t="s">
        <v>907</v>
      </c>
      <c r="G30" s="626" t="s">
        <v>899</v>
      </c>
      <c r="H30" s="626" t="s">
        <v>900</v>
      </c>
      <c r="I30" s="626" t="s">
        <v>906</v>
      </c>
      <c r="J30" s="769">
        <v>41418</v>
      </c>
      <c r="K30" s="769">
        <v>41333</v>
      </c>
      <c r="L30" s="626" t="s">
        <v>901</v>
      </c>
      <c r="M30" s="626">
        <v>143</v>
      </c>
      <c r="N30" s="626">
        <v>643.5</v>
      </c>
      <c r="O30" s="626">
        <v>919.28571428571433</v>
      </c>
      <c r="P30" s="626">
        <v>1838.5714285714287</v>
      </c>
      <c r="Q30" s="626">
        <v>0</v>
      </c>
      <c r="R30" s="626">
        <v>0</v>
      </c>
      <c r="S30" s="626">
        <v>0</v>
      </c>
      <c r="T30" s="626">
        <v>0</v>
      </c>
      <c r="U30" s="626">
        <v>0</v>
      </c>
      <c r="V30" s="626">
        <v>0</v>
      </c>
      <c r="W30" s="626">
        <v>0</v>
      </c>
      <c r="X30" s="626">
        <v>500</v>
      </c>
      <c r="Y30" s="626" t="s">
        <v>40</v>
      </c>
      <c r="Z30" s="628" t="s">
        <v>388</v>
      </c>
    </row>
    <row r="31" spans="1:26" s="564" customFormat="1">
      <c r="A31" s="582" t="s">
        <v>279</v>
      </c>
      <c r="B31" s="583"/>
      <c r="C31" s="583"/>
      <c r="D31" s="583"/>
      <c r="E31" s="583"/>
      <c r="F31" s="583"/>
      <c r="G31" s="583"/>
      <c r="H31" s="583"/>
      <c r="I31" s="583"/>
      <c r="J31" s="583"/>
      <c r="K31" s="583"/>
      <c r="L31" s="584"/>
      <c r="M31" s="584">
        <f>SUM(M28:M30)</f>
        <v>153.5</v>
      </c>
      <c r="N31" s="584">
        <f>SUM(N28:N30)</f>
        <v>690.75</v>
      </c>
      <c r="O31" s="584">
        <f>SUM(O28:O30)</f>
        <v>986.78571428571433</v>
      </c>
      <c r="P31" s="584">
        <f>SUM(P28:P30)</f>
        <v>1973.5714285714287</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143</v>
      </c>
      <c r="N32" s="584">
        <f>SUMIF($Z$28:$Z$30,"industrie",N28:N30)</f>
        <v>643.5</v>
      </c>
      <c r="O32" s="584">
        <f>SUMIF($Z$28:$Z$30,"industrie",O28:O30)</f>
        <v>919.28571428571433</v>
      </c>
      <c r="P32" s="584">
        <f>SUMIF($Z$28:$Z$30,"industrie",P28:P30)</f>
        <v>1838.5714285714287</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10.5</v>
      </c>
      <c r="N33" s="584">
        <f ca="1">SUMIF($Z$28:AD30,"tertiair",N28:N30)</f>
        <v>47.25</v>
      </c>
      <c r="O33" s="584">
        <f ca="1">SUMIF($Z$28:AE30,"tertiair",O28:O30)</f>
        <v>67.5</v>
      </c>
      <c r="P33" s="584">
        <f ca="1">SUMIF($Z$28:AF30,"tertiair",P28:P30)</f>
        <v>135</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0</v>
      </c>
      <c r="N34" s="589">
        <f>SUMIF($Z$28:$Z$30,"landbouw",N28:N30)</f>
        <v>0</v>
      </c>
      <c r="O34" s="589">
        <f>SUMIF($Z$28:$Z$30,"landbouw",O28:O30)</f>
        <v>0</v>
      </c>
      <c r="P34" s="589">
        <f>SUMIF($Z$28:$Z$30,"landbouw",P28:P30)</f>
        <v>0</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536</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0.58823529411764708</v>
      </c>
      <c r="C47" s="609">
        <f>IF(ISERROR(N31/(O31+N31)),0,N31/(N31+O31))</f>
        <v>0.41176470588235298</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536</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812.64705882352951</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1160.9243697478992</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116128.90353677563</v>
      </c>
      <c r="C4" s="451">
        <f>huishoudens!C8</f>
        <v>0</v>
      </c>
      <c r="D4" s="451">
        <f>huishoudens!D8</f>
        <v>294565.71640276001</v>
      </c>
      <c r="E4" s="451">
        <f>huishoudens!E8</f>
        <v>50015.556770222865</v>
      </c>
      <c r="F4" s="451">
        <f>huishoudens!F8</f>
        <v>0</v>
      </c>
      <c r="G4" s="451">
        <f>huishoudens!G8</f>
        <v>0</v>
      </c>
      <c r="H4" s="451">
        <f>huishoudens!H8</f>
        <v>0</v>
      </c>
      <c r="I4" s="451">
        <f>huishoudens!I8</f>
        <v>0</v>
      </c>
      <c r="J4" s="451">
        <f>huishoudens!J8</f>
        <v>4982.8813527564216</v>
      </c>
      <c r="K4" s="451">
        <f>huishoudens!K8</f>
        <v>0</v>
      </c>
      <c r="L4" s="451">
        <f>huishoudens!L8</f>
        <v>0</v>
      </c>
      <c r="M4" s="451">
        <f>huishoudens!M8</f>
        <v>0</v>
      </c>
      <c r="N4" s="451">
        <f>huishoudens!N8</f>
        <v>53912.155331287344</v>
      </c>
      <c r="O4" s="451">
        <f>huishoudens!O8</f>
        <v>772.28666666666675</v>
      </c>
      <c r="P4" s="452">
        <f>huishoudens!P8</f>
        <v>2574</v>
      </c>
      <c r="Q4" s="453">
        <f>SUM(B4:P4)</f>
        <v>522951.50006046891</v>
      </c>
    </row>
    <row r="5" spans="1:17">
      <c r="A5" s="450" t="s">
        <v>155</v>
      </c>
      <c r="B5" s="451">
        <f ca="1">tertiair!B16</f>
        <v>126081.2457114</v>
      </c>
      <c r="C5" s="451">
        <f ca="1">tertiair!C16</f>
        <v>67.5</v>
      </c>
      <c r="D5" s="451">
        <f ca="1">tertiair!D16</f>
        <v>159207.69646796602</v>
      </c>
      <c r="E5" s="451">
        <f>tertiair!E16</f>
        <v>2254.5600982716719</v>
      </c>
      <c r="F5" s="451">
        <f ca="1">tertiair!F16</f>
        <v>30756.642500242328</v>
      </c>
      <c r="G5" s="451">
        <f>tertiair!G16</f>
        <v>0</v>
      </c>
      <c r="H5" s="451">
        <f>tertiair!H16</f>
        <v>0</v>
      </c>
      <c r="I5" s="451">
        <f>tertiair!I16</f>
        <v>0</v>
      </c>
      <c r="J5" s="451">
        <f>tertiair!J16</f>
        <v>0</v>
      </c>
      <c r="K5" s="451">
        <f>tertiair!K16</f>
        <v>0</v>
      </c>
      <c r="L5" s="451">
        <f ca="1">tertiair!L16</f>
        <v>0</v>
      </c>
      <c r="M5" s="451">
        <f>tertiair!M16</f>
        <v>0</v>
      </c>
      <c r="N5" s="451">
        <f ca="1">tertiair!N16</f>
        <v>10669.166819789194</v>
      </c>
      <c r="O5" s="451">
        <f>tertiair!O16</f>
        <v>17.196666666666669</v>
      </c>
      <c r="P5" s="452">
        <f>tertiair!P16</f>
        <v>209.73333333333335</v>
      </c>
      <c r="Q5" s="450">
        <f t="shared" ref="Q5:Q14" ca="1" si="0">SUM(B5:P5)</f>
        <v>329263.74159766926</v>
      </c>
    </row>
    <row r="6" spans="1:17">
      <c r="A6" s="450" t="s">
        <v>193</v>
      </c>
      <c r="B6" s="451">
        <f>'openbare verlichting'!B8</f>
        <v>3501.7269999999999</v>
      </c>
      <c r="C6" s="451"/>
      <c r="D6" s="451"/>
      <c r="E6" s="451"/>
      <c r="F6" s="451"/>
      <c r="G6" s="451"/>
      <c r="H6" s="451"/>
      <c r="I6" s="451"/>
      <c r="J6" s="451"/>
      <c r="K6" s="451"/>
      <c r="L6" s="451"/>
      <c r="M6" s="451"/>
      <c r="N6" s="451"/>
      <c r="O6" s="451"/>
      <c r="P6" s="452"/>
      <c r="Q6" s="450">
        <f t="shared" si="0"/>
        <v>3501.7269999999999</v>
      </c>
    </row>
    <row r="7" spans="1:17">
      <c r="A7" s="450" t="s">
        <v>111</v>
      </c>
      <c r="B7" s="451">
        <f>landbouw!B8</f>
        <v>4071.9491386900004</v>
      </c>
      <c r="C7" s="451">
        <f>landbouw!C8</f>
        <v>0</v>
      </c>
      <c r="D7" s="451">
        <f>landbouw!D8</f>
        <v>2275.3849233836604</v>
      </c>
      <c r="E7" s="451">
        <f>landbouw!E8</f>
        <v>104.9999338096988</v>
      </c>
      <c r="F7" s="451">
        <f>landbouw!F8</f>
        <v>14883.749566955541</v>
      </c>
      <c r="G7" s="451">
        <f>landbouw!G8</f>
        <v>0</v>
      </c>
      <c r="H7" s="451">
        <f>landbouw!H8</f>
        <v>0</v>
      </c>
      <c r="I7" s="451">
        <f>landbouw!I8</f>
        <v>0</v>
      </c>
      <c r="J7" s="451">
        <f>landbouw!J8</f>
        <v>586.21088257477186</v>
      </c>
      <c r="K7" s="451">
        <f>landbouw!K8</f>
        <v>0</v>
      </c>
      <c r="L7" s="451">
        <f>landbouw!L8</f>
        <v>0</v>
      </c>
      <c r="M7" s="451">
        <f>landbouw!M8</f>
        <v>0</v>
      </c>
      <c r="N7" s="451">
        <f>landbouw!N8</f>
        <v>0</v>
      </c>
      <c r="O7" s="451">
        <f>landbouw!O8</f>
        <v>0</v>
      </c>
      <c r="P7" s="452">
        <f>landbouw!P8</f>
        <v>0</v>
      </c>
      <c r="Q7" s="450">
        <f t="shared" si="0"/>
        <v>21922.29444541367</v>
      </c>
    </row>
    <row r="8" spans="1:17">
      <c r="A8" s="450" t="s">
        <v>637</v>
      </c>
      <c r="B8" s="451">
        <f>industrie!B18</f>
        <v>75533.954648394007</v>
      </c>
      <c r="C8" s="451">
        <f>industrie!C18</f>
        <v>919.28571428571433</v>
      </c>
      <c r="D8" s="451">
        <f>industrie!D18</f>
        <v>55984.511939003591</v>
      </c>
      <c r="E8" s="451">
        <f>industrie!E18</f>
        <v>4444.1004238569985</v>
      </c>
      <c r="F8" s="451">
        <f>industrie!F18</f>
        <v>22074.917957355312</v>
      </c>
      <c r="G8" s="451">
        <f>industrie!G18</f>
        <v>0</v>
      </c>
      <c r="H8" s="451">
        <f>industrie!H18</f>
        <v>0</v>
      </c>
      <c r="I8" s="451">
        <f>industrie!I18</f>
        <v>0</v>
      </c>
      <c r="J8" s="451">
        <f>industrie!J18</f>
        <v>428.73088796844957</v>
      </c>
      <c r="K8" s="451">
        <f>industrie!K18</f>
        <v>0</v>
      </c>
      <c r="L8" s="451">
        <f>industrie!L18</f>
        <v>0</v>
      </c>
      <c r="M8" s="451">
        <f>industrie!M18</f>
        <v>0</v>
      </c>
      <c r="N8" s="451">
        <f>industrie!N18</f>
        <v>8835.2471620927226</v>
      </c>
      <c r="O8" s="451">
        <f>industrie!O18</f>
        <v>0</v>
      </c>
      <c r="P8" s="452">
        <f>industrie!P18</f>
        <v>0</v>
      </c>
      <c r="Q8" s="450">
        <f t="shared" si="0"/>
        <v>168220.74873295677</v>
      </c>
    </row>
    <row r="9" spans="1:17" s="456" customFormat="1">
      <c r="A9" s="454" t="s">
        <v>563</v>
      </c>
      <c r="B9" s="455">
        <f>transport!B14</f>
        <v>97.013989264403719</v>
      </c>
      <c r="C9" s="455">
        <f>transport!C14</f>
        <v>0</v>
      </c>
      <c r="D9" s="455">
        <f>transport!D14</f>
        <v>217.96519207830306</v>
      </c>
      <c r="E9" s="455">
        <f>transport!E14</f>
        <v>1016.666092045684</v>
      </c>
      <c r="F9" s="455">
        <f>transport!F14</f>
        <v>0</v>
      </c>
      <c r="G9" s="455">
        <f>transport!G14</f>
        <v>434255.12564336136</v>
      </c>
      <c r="H9" s="455">
        <f>transport!H14</f>
        <v>74614.937063210673</v>
      </c>
      <c r="I9" s="455">
        <f>transport!I14</f>
        <v>0</v>
      </c>
      <c r="J9" s="455">
        <f>transport!J14</f>
        <v>0</v>
      </c>
      <c r="K9" s="455">
        <f>transport!K14</f>
        <v>0</v>
      </c>
      <c r="L9" s="455">
        <f>transport!L14</f>
        <v>0</v>
      </c>
      <c r="M9" s="455">
        <f>transport!M14</f>
        <v>15897.828858468099</v>
      </c>
      <c r="N9" s="455">
        <f>transport!N14</f>
        <v>0</v>
      </c>
      <c r="O9" s="455">
        <f>transport!O14</f>
        <v>0</v>
      </c>
      <c r="P9" s="455">
        <f>transport!P14</f>
        <v>0</v>
      </c>
      <c r="Q9" s="454">
        <f>SUM(B9:P9)</f>
        <v>526099.53683842847</v>
      </c>
    </row>
    <row r="10" spans="1:17">
      <c r="A10" s="450" t="s">
        <v>553</v>
      </c>
      <c r="B10" s="451">
        <f>transport!B54</f>
        <v>0</v>
      </c>
      <c r="C10" s="451">
        <f>transport!C54</f>
        <v>0</v>
      </c>
      <c r="D10" s="451">
        <f>transport!D54</f>
        <v>0</v>
      </c>
      <c r="E10" s="451">
        <f>transport!E54</f>
        <v>0</v>
      </c>
      <c r="F10" s="451">
        <f>transport!F54</f>
        <v>0</v>
      </c>
      <c r="G10" s="451">
        <f>transport!G54</f>
        <v>9882.5346669897845</v>
      </c>
      <c r="H10" s="451">
        <f>transport!H54</f>
        <v>0</v>
      </c>
      <c r="I10" s="451">
        <f>transport!I54</f>
        <v>0</v>
      </c>
      <c r="J10" s="451">
        <f>transport!J54</f>
        <v>0</v>
      </c>
      <c r="K10" s="451">
        <f>transport!K54</f>
        <v>0</v>
      </c>
      <c r="L10" s="451">
        <f>transport!L54</f>
        <v>0</v>
      </c>
      <c r="M10" s="451">
        <f>transport!M54</f>
        <v>306.14715786009049</v>
      </c>
      <c r="N10" s="451">
        <f>transport!N54</f>
        <v>0</v>
      </c>
      <c r="O10" s="451">
        <f>transport!O54</f>
        <v>0</v>
      </c>
      <c r="P10" s="452">
        <f>transport!P54</f>
        <v>0</v>
      </c>
      <c r="Q10" s="450">
        <f t="shared" si="0"/>
        <v>10188.681824849875</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4672.6732363000001</v>
      </c>
      <c r="C14" s="458"/>
      <c r="D14" s="458">
        <f>'SEAP template'!E25</f>
        <v>11319.357627000001</v>
      </c>
      <c r="E14" s="458"/>
      <c r="F14" s="458"/>
      <c r="G14" s="458"/>
      <c r="H14" s="458"/>
      <c r="I14" s="458"/>
      <c r="J14" s="458"/>
      <c r="K14" s="458"/>
      <c r="L14" s="458"/>
      <c r="M14" s="458"/>
      <c r="N14" s="458"/>
      <c r="O14" s="458"/>
      <c r="P14" s="459"/>
      <c r="Q14" s="450">
        <f t="shared" si="0"/>
        <v>15992.030863300002</v>
      </c>
    </row>
    <row r="15" spans="1:17" s="460" customFormat="1">
      <c r="A15" s="1004" t="s">
        <v>557</v>
      </c>
      <c r="B15" s="944">
        <f ca="1">SUM(B4:B14)</f>
        <v>330087.46726082399</v>
      </c>
      <c r="C15" s="944">
        <f t="shared" ref="C15:Q15" ca="1" si="1">SUM(C4:C14)</f>
        <v>986.78571428571433</v>
      </c>
      <c r="D15" s="944">
        <f t="shared" ca="1" si="1"/>
        <v>523570.63255219162</v>
      </c>
      <c r="E15" s="944">
        <f t="shared" si="1"/>
        <v>57835.883318206914</v>
      </c>
      <c r="F15" s="944">
        <f t="shared" ca="1" si="1"/>
        <v>67715.310024553182</v>
      </c>
      <c r="G15" s="944">
        <f t="shared" si="1"/>
        <v>444137.66031035117</v>
      </c>
      <c r="H15" s="944">
        <f t="shared" si="1"/>
        <v>74614.937063210673</v>
      </c>
      <c r="I15" s="944">
        <f t="shared" si="1"/>
        <v>0</v>
      </c>
      <c r="J15" s="944">
        <f t="shared" si="1"/>
        <v>5997.8231232996432</v>
      </c>
      <c r="K15" s="944">
        <f t="shared" si="1"/>
        <v>0</v>
      </c>
      <c r="L15" s="944">
        <f t="shared" ca="1" si="1"/>
        <v>0</v>
      </c>
      <c r="M15" s="944">
        <f t="shared" si="1"/>
        <v>16203.97601632819</v>
      </c>
      <c r="N15" s="944">
        <f t="shared" ca="1" si="1"/>
        <v>73416.569313169253</v>
      </c>
      <c r="O15" s="944">
        <f t="shared" si="1"/>
        <v>789.48333333333346</v>
      </c>
      <c r="P15" s="944">
        <f t="shared" si="1"/>
        <v>2783.7333333333336</v>
      </c>
      <c r="Q15" s="944">
        <f t="shared" ca="1" si="1"/>
        <v>1598140.2613630868</v>
      </c>
    </row>
    <row r="17" spans="1:17">
      <c r="A17" s="461" t="s">
        <v>558</v>
      </c>
      <c r="B17" s="760">
        <f ca="1">huishoudens!B10</f>
        <v>0.2055509381163324</v>
      </c>
      <c r="C17" s="760">
        <f ca="1">huishoudens!C10</f>
        <v>0.23764705882352941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23870.405064405302</v>
      </c>
      <c r="C22" s="451">
        <f t="shared" ref="C22:C32" ca="1" si="3">C4*$C$17</f>
        <v>0</v>
      </c>
      <c r="D22" s="451">
        <f t="shared" ref="D22:D32" si="4">D4*$D$17</f>
        <v>59502.274713357525</v>
      </c>
      <c r="E22" s="451">
        <f t="shared" ref="E22:E32" si="5">E4*$E$17</f>
        <v>11353.53138684059</v>
      </c>
      <c r="F22" s="451">
        <f t="shared" ref="F22:F32" si="6">F4*$F$17</f>
        <v>0</v>
      </c>
      <c r="G22" s="451">
        <f t="shared" ref="G22:G32" si="7">G4*$G$17</f>
        <v>0</v>
      </c>
      <c r="H22" s="451">
        <f t="shared" ref="H22:H32" si="8">H4*$H$17</f>
        <v>0</v>
      </c>
      <c r="I22" s="451">
        <f t="shared" ref="I22:I32" si="9">I4*$I$17</f>
        <v>0</v>
      </c>
      <c r="J22" s="451">
        <f t="shared" ref="J22:J32" si="10">J4*$J$17</f>
        <v>1763.9399988757732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96490.151163479197</v>
      </c>
    </row>
    <row r="23" spans="1:17">
      <c r="A23" s="450" t="s">
        <v>155</v>
      </c>
      <c r="B23" s="451">
        <f t="shared" ca="1" si="2"/>
        <v>25916.11833485408</v>
      </c>
      <c r="C23" s="451">
        <f t="shared" ca="1" si="3"/>
        <v>16.041176470588233</v>
      </c>
      <c r="D23" s="451">
        <f t="shared" ca="1" si="4"/>
        <v>32159.954686529138</v>
      </c>
      <c r="E23" s="451">
        <f t="shared" si="5"/>
        <v>511.78514230766956</v>
      </c>
      <c r="F23" s="451">
        <f t="shared" ca="1" si="6"/>
        <v>8212.0235475647023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66815.922887726178</v>
      </c>
    </row>
    <row r="24" spans="1:17">
      <c r="A24" s="450" t="s">
        <v>193</v>
      </c>
      <c r="B24" s="451">
        <f t="shared" ca="1" si="2"/>
        <v>719.78326987729031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719.78326987729031</v>
      </c>
    </row>
    <row r="25" spans="1:17">
      <c r="A25" s="450" t="s">
        <v>111</v>
      </c>
      <c r="B25" s="451">
        <f t="shared" ca="1" si="2"/>
        <v>836.99296541972126</v>
      </c>
      <c r="C25" s="451">
        <f t="shared" ca="1" si="3"/>
        <v>0</v>
      </c>
      <c r="D25" s="451">
        <f t="shared" si="4"/>
        <v>459.62775452349945</v>
      </c>
      <c r="E25" s="451">
        <f t="shared" si="5"/>
        <v>23.834984974801628</v>
      </c>
      <c r="F25" s="451">
        <f t="shared" si="6"/>
        <v>3973.9611343771298</v>
      </c>
      <c r="G25" s="451">
        <f t="shared" si="7"/>
        <v>0</v>
      </c>
      <c r="H25" s="451">
        <f t="shared" si="8"/>
        <v>0</v>
      </c>
      <c r="I25" s="451">
        <f t="shared" si="9"/>
        <v>0</v>
      </c>
      <c r="J25" s="451">
        <f t="shared" si="10"/>
        <v>207.51865243146923</v>
      </c>
      <c r="K25" s="451">
        <f t="shared" si="11"/>
        <v>0</v>
      </c>
      <c r="L25" s="451">
        <f t="shared" si="12"/>
        <v>0</v>
      </c>
      <c r="M25" s="451">
        <f t="shared" si="13"/>
        <v>0</v>
      </c>
      <c r="N25" s="451">
        <f t="shared" si="14"/>
        <v>0</v>
      </c>
      <c r="O25" s="451">
        <f t="shared" si="15"/>
        <v>0</v>
      </c>
      <c r="P25" s="452">
        <f t="shared" si="16"/>
        <v>0</v>
      </c>
      <c r="Q25" s="450">
        <f t="shared" ca="1" si="17"/>
        <v>5501.9354917266219</v>
      </c>
    </row>
    <row r="26" spans="1:17">
      <c r="A26" s="450" t="s">
        <v>637</v>
      </c>
      <c r="B26" s="451">
        <f t="shared" ca="1" si="2"/>
        <v>15526.075237613895</v>
      </c>
      <c r="C26" s="451">
        <f t="shared" ca="1" si="3"/>
        <v>218.46554621848739</v>
      </c>
      <c r="D26" s="451">
        <f t="shared" si="4"/>
        <v>11308.871411678727</v>
      </c>
      <c r="E26" s="451">
        <f t="shared" si="5"/>
        <v>1008.8107962155387</v>
      </c>
      <c r="F26" s="451">
        <f t="shared" si="6"/>
        <v>5894.0030946138686</v>
      </c>
      <c r="G26" s="451">
        <f t="shared" si="7"/>
        <v>0</v>
      </c>
      <c r="H26" s="451">
        <f t="shared" si="8"/>
        <v>0</v>
      </c>
      <c r="I26" s="451">
        <f t="shared" si="9"/>
        <v>0</v>
      </c>
      <c r="J26" s="451">
        <f t="shared" si="10"/>
        <v>151.77073434083113</v>
      </c>
      <c r="K26" s="451">
        <f t="shared" si="11"/>
        <v>0</v>
      </c>
      <c r="L26" s="451">
        <f t="shared" si="12"/>
        <v>0</v>
      </c>
      <c r="M26" s="451">
        <f t="shared" si="13"/>
        <v>0</v>
      </c>
      <c r="N26" s="451">
        <f t="shared" si="14"/>
        <v>0</v>
      </c>
      <c r="O26" s="451">
        <f t="shared" si="15"/>
        <v>0</v>
      </c>
      <c r="P26" s="452">
        <f t="shared" si="16"/>
        <v>0</v>
      </c>
      <c r="Q26" s="450">
        <f t="shared" ca="1" si="17"/>
        <v>34107.99682068135</v>
      </c>
    </row>
    <row r="27" spans="1:17" s="456" customFormat="1">
      <c r="A27" s="454" t="s">
        <v>563</v>
      </c>
      <c r="B27" s="754">
        <f t="shared" ca="1" si="2"/>
        <v>19.941316503705984</v>
      </c>
      <c r="C27" s="455">
        <f t="shared" ca="1" si="3"/>
        <v>0</v>
      </c>
      <c r="D27" s="455">
        <f t="shared" si="4"/>
        <v>44.028968799817221</v>
      </c>
      <c r="E27" s="455">
        <f t="shared" si="5"/>
        <v>230.78320289437028</v>
      </c>
      <c r="F27" s="455">
        <f t="shared" si="6"/>
        <v>0</v>
      </c>
      <c r="G27" s="455">
        <f t="shared" si="7"/>
        <v>115946.11854677749</v>
      </c>
      <c r="H27" s="455">
        <f t="shared" si="8"/>
        <v>18579.119328739456</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134819.99136371486</v>
      </c>
    </row>
    <row r="28" spans="1:17">
      <c r="A28" s="450" t="s">
        <v>553</v>
      </c>
      <c r="B28" s="451">
        <f t="shared" ca="1" si="2"/>
        <v>0</v>
      </c>
      <c r="C28" s="451">
        <f t="shared" ca="1" si="3"/>
        <v>0</v>
      </c>
      <c r="D28" s="451">
        <f t="shared" si="4"/>
        <v>0</v>
      </c>
      <c r="E28" s="451">
        <f t="shared" si="5"/>
        <v>0</v>
      </c>
      <c r="F28" s="451">
        <f t="shared" si="6"/>
        <v>0</v>
      </c>
      <c r="G28" s="451">
        <f t="shared" si="7"/>
        <v>2638.6367560862727</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2638.6367560862727</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960.472367232544</v>
      </c>
      <c r="C32" s="451">
        <f t="shared" ca="1" si="3"/>
        <v>0</v>
      </c>
      <c r="D32" s="451">
        <f t="shared" si="4"/>
        <v>2286.5102406540004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3246.9826078865444</v>
      </c>
    </row>
    <row r="33" spans="1:17" s="460" customFormat="1">
      <c r="A33" s="1004" t="s">
        <v>557</v>
      </c>
      <c r="B33" s="944">
        <f ca="1">SUM(B22:B32)</f>
        <v>67849.788555906547</v>
      </c>
      <c r="C33" s="944">
        <f t="shared" ref="C33:Q33" ca="1" si="18">SUM(C22:C32)</f>
        <v>234.50672268907562</v>
      </c>
      <c r="D33" s="944">
        <f t="shared" ca="1" si="18"/>
        <v>105761.26777554271</v>
      </c>
      <c r="E33" s="944">
        <f t="shared" si="18"/>
        <v>13128.745513232971</v>
      </c>
      <c r="F33" s="944">
        <f t="shared" ca="1" si="18"/>
        <v>18079.987776555703</v>
      </c>
      <c r="G33" s="944">
        <f t="shared" si="18"/>
        <v>118584.75530286376</v>
      </c>
      <c r="H33" s="944">
        <f t="shared" si="18"/>
        <v>18579.119328739456</v>
      </c>
      <c r="I33" s="944">
        <f t="shared" si="18"/>
        <v>0</v>
      </c>
      <c r="J33" s="944">
        <f t="shared" si="18"/>
        <v>2123.2293856480737</v>
      </c>
      <c r="K33" s="944">
        <f t="shared" si="18"/>
        <v>0</v>
      </c>
      <c r="L33" s="944">
        <f t="shared" ca="1" si="18"/>
        <v>0</v>
      </c>
      <c r="M33" s="944">
        <f t="shared" si="18"/>
        <v>0</v>
      </c>
      <c r="N33" s="944">
        <f t="shared" ca="1" si="18"/>
        <v>0</v>
      </c>
      <c r="O33" s="944">
        <f t="shared" si="18"/>
        <v>0</v>
      </c>
      <c r="P33" s="944">
        <f t="shared" si="18"/>
        <v>0</v>
      </c>
      <c r="Q33" s="944">
        <f t="shared" ca="1" si="18"/>
        <v>344341.40036117827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23126.880835375152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690.75</v>
      </c>
      <c r="D8" s="1021">
        <f>'SEAP template'!D76</f>
        <v>812.64705882352951</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164.15470588235297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23126.880835375152</v>
      </c>
      <c r="C10" s="1025">
        <f>SUM(C4:C9)</f>
        <v>690.75</v>
      </c>
      <c r="D10" s="1025">
        <f t="shared" ref="D10:H10" si="0">SUM(D8:D9)</f>
        <v>812.64705882352951</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164.15470588235297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0.2055509381163324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986.78571428571433</v>
      </c>
      <c r="D17" s="1022">
        <f>'SEAP template'!D87</f>
        <v>1160.9243697478992</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234.50672268907564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986.78571428571433</v>
      </c>
      <c r="D20" s="1025">
        <f t="shared" ref="D20:H20" si="2">SUM(D17:D19)</f>
        <v>1160.9243697478992</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234.50672268907564</v>
      </c>
    </row>
    <row r="22" spans="1:16">
      <c r="A22" s="461" t="s">
        <v>857</v>
      </c>
      <c r="B22" s="760" t="s">
        <v>851</v>
      </c>
      <c r="C22" s="760">
        <f ca="1">'EF ele_warmte'!B22</f>
        <v>0.23764705882352941</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0.2055509381163324</v>
      </c>
      <c r="C17" s="498">
        <f ca="1">'EF ele_warmte'!B22</f>
        <v>0.23764705882352941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2020-06-20T15:59:09Z</dcterms:modified>
</cp:coreProperties>
</file>