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3" i="18"/>
  <c r="V43" i="18"/>
  <c r="U43" i="18"/>
  <c r="T43" i="18"/>
  <c r="S43" i="18"/>
  <c r="R43" i="18"/>
  <c r="Q43" i="18"/>
  <c r="P43" i="18"/>
  <c r="D6" i="17" s="1"/>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C9" i="18" s="1"/>
  <c r="D77" i="14" s="1"/>
  <c r="D9" i="59" s="1"/>
  <c r="O40" i="18"/>
  <c r="N40" i="18"/>
  <c r="B9" i="18" s="1"/>
  <c r="M40" i="18"/>
  <c r="W36" i="18"/>
  <c r="V36" i="18"/>
  <c r="U36" i="18"/>
  <c r="T36" i="18"/>
  <c r="S36" i="18"/>
  <c r="R36" i="18"/>
  <c r="Q36" i="18"/>
  <c r="P36" i="18"/>
  <c r="O36" i="18"/>
  <c r="N36" i="18"/>
  <c r="M36" i="18"/>
  <c r="W35" i="18"/>
  <c r="V35" i="18"/>
  <c r="U35" i="18"/>
  <c r="T35" i="18"/>
  <c r="S35" i="18"/>
  <c r="R35" i="18"/>
  <c r="Q35" i="18"/>
  <c r="P35" i="18"/>
  <c r="O35" i="18"/>
  <c r="C13" i="15" s="1"/>
  <c r="N35" i="18"/>
  <c r="B13" i="15" s="1"/>
  <c r="M35" i="18"/>
  <c r="W34" i="18"/>
  <c r="V34" i="18"/>
  <c r="U34" i="18"/>
  <c r="T34" i="18"/>
  <c r="S34" i="18"/>
  <c r="R34" i="18"/>
  <c r="Q34" i="18"/>
  <c r="P34" i="18"/>
  <c r="O34" i="18"/>
  <c r="N34" i="18"/>
  <c r="M34" i="18"/>
  <c r="W33" i="18"/>
  <c r="V33" i="18"/>
  <c r="U33" i="18"/>
  <c r="T33" i="18"/>
  <c r="S33" i="18"/>
  <c r="R33" i="18"/>
  <c r="Q33" i="18"/>
  <c r="P33" i="18"/>
  <c r="O33" i="18"/>
  <c r="N33" i="18"/>
  <c r="B8" i="18" s="1"/>
  <c r="M33"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13" i="15"/>
  <c r="N6" i="17"/>
  <c r="B49" i="18"/>
  <c r="D53" i="18" s="1"/>
  <c r="I9" i="18"/>
  <c r="I77" i="14" s="1"/>
  <c r="I9" i="59" s="1"/>
  <c r="B17" i="18"/>
  <c r="B20" i="18" s="1"/>
  <c r="C6" i="17"/>
  <c r="E10" i="59"/>
  <c r="G77" i="14"/>
  <c r="G9" i="59" s="1"/>
  <c r="G10" i="59" s="1"/>
  <c r="J9" i="18"/>
  <c r="J77" i="14" s="1"/>
  <c r="J9" i="59" s="1"/>
  <c r="E20" i="59"/>
  <c r="C49" i="18"/>
  <c r="I52"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3" i="18"/>
  <c r="H17" i="18" s="1"/>
  <c r="E53" i="18"/>
  <c r="E17" i="18" s="1"/>
  <c r="H53"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3" i="18" l="1"/>
  <c r="C17" i="18" s="1"/>
  <c r="B52" i="18"/>
  <c r="C8" i="18" s="1"/>
  <c r="D76" i="14" s="1"/>
  <c r="D8" i="59" s="1"/>
  <c r="D10" i="59" s="1"/>
  <c r="D52" i="18"/>
  <c r="F53" i="18"/>
  <c r="C53" i="18"/>
  <c r="J17" i="18" s="1"/>
  <c r="G53" i="18"/>
  <c r="O9" i="18"/>
  <c r="G78" i="14"/>
  <c r="C77" i="14"/>
  <c r="C9" i="59" s="1"/>
  <c r="F52" i="18"/>
  <c r="H52" i="18"/>
  <c r="C52" i="18"/>
  <c r="E52" i="18"/>
  <c r="E8" i="18" s="1"/>
  <c r="F76" i="14" s="1"/>
  <c r="F8" i="59" s="1"/>
  <c r="F10" i="59" s="1"/>
  <c r="B77" i="14"/>
  <c r="B9" i="59" s="1"/>
  <c r="G52" i="18"/>
  <c r="G90" i="14"/>
  <c r="G18" i="59"/>
  <c r="G20" i="59" s="1"/>
  <c r="C88" i="14"/>
  <c r="C18" i="59" s="1"/>
  <c r="Q88" i="14"/>
  <c r="P18" i="59" s="1"/>
  <c r="C89" i="14"/>
  <c r="C19" i="59" s="1"/>
  <c r="F19" i="59"/>
  <c r="Q89" i="14"/>
  <c r="P19" i="59" s="1"/>
  <c r="C20" i="18"/>
  <c r="D87" i="14"/>
  <c r="D17" i="59" s="1"/>
  <c r="D2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J15" i="16"/>
  <c r="C24" i="14"/>
  <c r="C26" i="14" s="1"/>
  <c r="B7" i="48"/>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P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E23" i="48"/>
  <c r="E33" i="48" s="1"/>
  <c r="E15" i="48"/>
  <c r="J22" i="16"/>
  <c r="K43" i="14" s="1"/>
  <c r="K46" i="14" s="1"/>
  <c r="K61" i="14" s="1"/>
  <c r="K63" i="14" s="1"/>
  <c r="J8" i="48"/>
  <c r="K13" i="14"/>
  <c r="K16" i="14" s="1"/>
  <c r="K27" i="14" s="1"/>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<sst xmlns="http://schemas.openxmlformats.org/spreadsheetml/2006/main" count="2452" uniqueCount="913">
  <si>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</si>
  <si>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</si>
  <si>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</si>
  <si>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</si>
  <si>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</si>
  <si>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</si>
  <si>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</si>
  <si>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</si>
  <si>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</si>
  <si>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</si>
  <si>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</si>
  <si>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</si>
  <si>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</si>
  <si>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</si>
  <si>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</si>
  <si>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</si>
  <si>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</si>
  <si>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</si>
  <si>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</si>
  <si>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</si>
  <si>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</si>
  <si>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</si>
  <si>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</si>
  <si>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</si>
  <si>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</si>
  <si>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</si>
  <si>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</si>
  <si>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</si>
  <si>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</si>
  <si>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</si>
  <si>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</si>
  <si>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</si>
  <si>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</si>
  <si>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</si>
  <si>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</si>
  <si>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</si>
  <si>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</si>
  <si>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</si>
  <si>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</si>
  <si>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</si>
  <si>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</si>
  <si>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</si>
  <si>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</si>
  <si>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</si>
  <si>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</si>
  <si>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</si>
  <si>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</si>
  <si>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</si>
  <si>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</si>
  <si>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</si>
  <si>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</si>
  <si>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</si>
  <si>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</si>
  <si>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</si>
  <si>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</si>
  <si>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</si>
  <si>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</si>
  <si>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</si>
  <si>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</si>
  <si>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</si>
  <si>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</si>
  <si>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</si>
  <si>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</si>
  <si>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</si>
  <si>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</si>
  <si>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</si>
  <si>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</si>
  <si>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</si>
  <si>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</si>
  <si>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</si>
  <si>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</si>
  <si>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</si>
  <si>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</si>
  <si>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</si>
  <si>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</si>
  <si>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</si>
  <si>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</si>
  <si>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</si>
  <si>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</si>
  <si>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</si>
  <si>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</si>
  <si>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</si>
  <si>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</si>
  <si>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</si>
  <si>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</si>
  <si>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</si>
  <si>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</si>
  <si>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</si>
  <si>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</si>
  <si>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</si>
  <si>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</si>
  <si>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</si>
  <si>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</si>
  <si>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</si>
  <si>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</si>
  <si>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</si>
  <si>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</si>
  <si>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</si>
  <si>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</si>
  <si>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</si>
  <si>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</si>
  <si>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</si>
  <si>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</si>
  <si>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</si>
  <si>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</si>
  <si>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</si>
  <si>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</si>
  <si>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</si>
  <si>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</si>
  <si>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</si>
  <si>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</si>
  <si>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</si>
  <si>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</si>
  <si>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</si>
  <si>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</si>
  <si>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</si>
  <si>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</si>
  <si>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</si>
  <si>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</si>
  <si>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</si>
  <si>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</si>
  <si>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</si>
  <si>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</si>
  <si>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</si>
  <si>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</si>
  <si>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</si>
  <si>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</si>
  <si>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</si>
  <si>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</si>
  <si>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</si>
  <si>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</si>
  <si>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</si>
  <si>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</si>
  <si>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</si>
  <si>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</si>
  <si>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</si>
  <si>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</si>
  <si>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</si>
  <si>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</si>
  <si>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</si>
  <si>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</si>
  <si>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</si>
  <si>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</si>
  <si>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</si>
  <si>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</si>
  <si>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</si>
  <si>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</si>
  <si>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</si>
  <si>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</si>
  <si>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</si>
  <si>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</si>
  <si>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</si>
  <si>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</si>
  <si>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</si>
  <si>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</si>
  <si>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</si>
  <si>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</si>
  <si>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</si>
  <si>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</si>
  <si>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</si>
  <si>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</si>
  <si>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</si>
  <si>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</si>
  <si>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</si>
  <si>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</si>
  <si>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</si>
  <si>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</si>
  <si>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</si>
  <si>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</si>
  <si>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</si>
  <si>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</si>
  <si>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</si>
  <si>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</si>
  <si>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</si>
  <si>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</si>
  <si>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</si>
  <si>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</si>
  <si>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</si>
  <si>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</si>
  <si>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</si>
  <si>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</si>
  <si>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</si>
  <si>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</si>
  <si>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</si>
  <si>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</si>
  <si>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</si>
  <si>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</si>
  <si>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</si>
  <si>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</si>
  <si>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</si>
  <si>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</si>
  <si>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</si>
  <si>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</si>
  <si>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</si>
  <si>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</si>
  <si>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</si>
  <si>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</si>
  <si>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</si>
  <si>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</si>
  <si>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</si>
  <si>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</si>
  <si>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</si>
  <si>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</si>
  <si>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</si>
  <si>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</si>
  <si>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</si>
  <si>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</si>
  <si>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</si>
  <si>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</si>
  <si>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</si>
  <si>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</si>
  <si>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</si>
  <si>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</si>
  <si>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</si>
  <si>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</si>
  <si>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</si>
  <si>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</si>
  <si>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</si>
  <si>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</si>
  <si>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</si>
  <si>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</si>
  <si>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</si>
  <si>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</si>
  <si>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</si>
  <si>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</si>
  <si>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</si>
  <si>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</si>
  <si>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</si>
  <si>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</si>
  <si>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</si>
  <si>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</si>
  <si>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</si>
  <si>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</si>
  <si>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</si>
  <si>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</si>
  <si>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</si>
  <si>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</si>
  <si>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</si>
  <si>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</si>
  <si>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</si>
  <si>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</si>
  <si>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</si>
  <si>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</si>
  <si>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</si>
  <si>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</si>
  <si>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</si>
  <si>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</si>
  <si>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</si>
  <si>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</si>
  <si>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</si>
  <si>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</si>
  <si>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</si>
  <si>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</si>
  <si>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</si>
  <si>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</si>
  <si>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</si>
  <si>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</si>
  <si>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</si>
  <si>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</si>
  <si>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</si>
  <si>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</si>
  <si>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</si>
  <si>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</si>
  <si>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</si>
  <si>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</si>
  <si>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</si>
  <si>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</si>
  <si>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</si>
  <si>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</si>
  <si>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</si>
  <si>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</si>
  <si>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</si>
  <si>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</si>
  <si>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</si>
  <si>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</si>
  <si>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</si>
  <si>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</si>
  <si>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</si>
  <si>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</si>
  <si>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</si>
  <si>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</si>
  <si>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</si>
  <si>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</si>
  <si>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</si>
  <si>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</si>
  <si>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</si>
  <si>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</si>
  <si>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</si>
  <si>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</si>
  <si>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</si>
  <si>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</si>
  <si>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</si>
  <si>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</si>
  <si>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</si>
  <si>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</si>
  <si>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</si>
  <si>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</si>
  <si>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</si>
  <si>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</si>
  <si>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</si>
  <si>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</si>
  <si>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</si>
  <si>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</si>
  <si>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</si>
  <si>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</si>
  <si>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</si>
  <si>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</si>
  <si>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</si>
  <si>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</si>
  <si>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</si>
  <si>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</si>
  <si>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</si>
  <si>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</si>
  <si>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</si>
  <si>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</si>
  <si>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</si>
  <si>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</si>
  <si>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</si>
  <si>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</si>
  <si>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</si>
  <si>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</si>
  <si>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</si>
  <si>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</si>
  <si>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</si>
  <si>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</si>
  <si>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</si>
  <si>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</si>
  <si>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</si>
  <si>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</si>
  <si>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</si>
  <si>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</si>
  <si>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</si>
  <si>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</si>
  <si>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</si>
  <si>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</si>
  <si>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</si>
  <si>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</si>
  <si>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</si>
  <si>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</si>
  <si>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</si>
  <si>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</si>
  <si>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</si>
  <si>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</si>
  <si>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</si>
  <si>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</si>
  <si>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</si>
  <si>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</si>
  <si>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</si>
  <si>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</si>
  <si>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</si>
  <si>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</si>
  <si>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</si>
  <si>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</si>
  <si>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</si>
  <si>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</si>
  <si>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</si>
  <si>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</si>
  <si>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</si>
  <si>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</si>
  <si>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</si>
  <si>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</si>
  <si>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</si>
  <si>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</si>
  <si>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</si>
  <si>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</si>
  <si>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</si>
  <si>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</si>
  <si>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</si>
  <si>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</si>
  <si>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</si>
  <si>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</si>
  <si>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</si>
  <si>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</si>
  <si>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</si>
  <si>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</si>
  <si>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</si>
  <si>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</si>
  <si>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</si>
  <si>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</si>
  <si>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</si>
  <si>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</si>
  <si>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</si>
  <si>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</si>
  <si>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</si>
  <si>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</si>
  <si>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</si>
  <si>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</si>
  <si>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</si>
  <si>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</si>
  <si>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</si>
  <si>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</si>
  <si>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</si>
  <si>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</si>
  <si>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</si>
  <si>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</si>
  <si>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</si>
  <si>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</si>
  <si>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</si>
  <si>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</si>
  <si>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</si>
  <si>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</si>
  <si>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</si>
  <si>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</si>
  <si>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</si>
  <si>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</si>
  <si>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</si>
  <si>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</si>
  <si>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</si>
  <si>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</si>
  <si>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</si>
  <si>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</si>
  <si>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</si>
  <si>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</si>
  <si>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</si>
  <si>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</si>
  <si>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</si>
  <si>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</si>
  <si>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</si>
  <si>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</si>
  <si>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</si>
  <si>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</si>
  <si>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</si>
  <si>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</si>
  <si>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</si>
  <si>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</si>
  <si>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</si>
  <si>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</si>
  <si>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</si>
  <si>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</si>
  <si>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</si>
  <si>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</si>
  <si>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</si>
  <si>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</si>
  <si>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</si>
  <si>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</si>
  <si>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</si>
  <si>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</si>
  <si>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</si>
  <si>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</si>
  <si>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</si>
  <si>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</si>
  <si>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</si>
  <si>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</si>
  <si>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</si>
  <si>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</si>
  <si>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</si>
  <si>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</si>
  <si>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</si>
  <si>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</si>
  <si>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</si>
  <si>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</si>
  <si>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</si>
  <si>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</si>
  <si>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</si>
  <si>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</si>
  <si>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</si>
  <si>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</si>
  <si>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</si>
  <si>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</si>
  <si>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</si>
  <si>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</si>
  <si>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</si>
  <si>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</si>
  <si>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</si>
  <si>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</si>
  <si>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</si>
  <si>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</si>
  <si>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</si>
  <si>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</si>
  <si>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</si>
  <si>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</si>
  <si>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</si>
  <si>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</si>
  <si>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</si>
  <si>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</si>
  <si>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</si>
  <si>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</si>
  <si>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</si>
  <si>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</si>
  <si>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</si>
  <si>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</si>
  <si>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</si>
  <si>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</si>
  <si>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</si>
  <si>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</si>
  <si>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</si>
  <si>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</si>
  <si>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</si>
  <si>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</si>
  <si>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</si>
  <si>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</si>
  <si>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</si>
  <si>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</si>
  <si>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</si>
  <si>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</si>
  <si>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</si>
  <si>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</si>
  <si>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</si>
  <si>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</si>
  <si>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</si>
  <si>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</si>
  <si>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</si>
  <si>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</si>
  <si>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</si>
  <si>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</si>
  <si>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</si>
  <si>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</si>
  <si>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</si>
  <si>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</si>
  <si>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</si>
  <si>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</si>
  <si>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</si>
  <si>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</si>
  <si>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</si>
  <si>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</si>
  <si>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</si>
  <si>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</si>
  <si>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</si>
  <si>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</si>
  <si>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</si>
  <si>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</si>
  <si>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</si>
  <si>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</si>
  <si>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</si>
  <si>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</si>
  <si>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</si>
  <si>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</si>
  <si>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</si>
  <si>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</si>
  <si>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</si>
  <si>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</si>
  <si>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</si>
  <si>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</si>
  <si>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</si>
  <si>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</si>
  <si>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</si>
  <si>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</si>
  <si>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</si>
  <si>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</si>
  <si>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</si>
  <si>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</si>
  <si>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</si>
  <si>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</si>
  <si>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</si>
  <si>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</si>
  <si>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</si>
  <si>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</si>
  <si>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</si>
  <si>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</si>
  <si>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</si>
  <si>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</si>
  <si>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</si>
  <si>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</si>
  <si>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</si>
  <si>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</si>
  <si>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</si>
  <si>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</si>
  <si>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</si>
  <si>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</si>
  <si>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</si>
  <si>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</si>
  <si>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</si>
  <si>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</si>
  <si>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</si>
  <si>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</si>
  <si>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</si>
  <si>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</si>
  <si>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</si>
  <si>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</si>
  <si>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</si>
  <si>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</si>
  <si>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</si>
  <si>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</si>
  <si>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</si>
  <si>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</si>
  <si>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</si>
  <si>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</si>
  <si>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</si>
  <si>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</si>
  <si>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</si>
  <si>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</si>
  <si>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</si>
  <si>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</si>
  <si>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</si>
  <si>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</si>
  <si>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</si>
  <si>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</si>
  <si>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</si>
  <si>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</si>
  <si>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</si>
  <si>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</si>
  <si>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</si>
  <si>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</si>
  <si>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</si>
  <si>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</si>
  <si>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</si>
  <si>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</si>
  <si>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</si>
  <si>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</si>
  <si>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</si>
  <si>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</si>
  <si>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</si>
  <si>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</si>
  <si>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</si>
  <si>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</si>
  <si>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</si>
  <si>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</si>
  <si>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</si>
  <si>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</si>
  <si>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</si>
  <si>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</si>
  <si>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</si>
  <si>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</si>
  <si>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</si>
  <si>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</si>
  <si>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</si>
  <si>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</si>
  <si>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</si>
  <si>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</si>
  <si>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</si>
  <si>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</si>
  <si>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</si>
  <si>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</si>
  <si>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</si>
  <si>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</si>
  <si>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</si>
  <si>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</si>
  <si>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</si>
  <si>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</si>
  <si>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</si>
  <si>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</si>
  <si>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</si>
  <si>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</si>
  <si>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</si>
  <si>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</si>
  <si>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</si>
  <si>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</si>
  <si>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</si>
  <si>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</si>
  <si>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</si>
  <si>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</si>
  <si>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</si>
  <si>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</si>
  <si>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</si>
  <si>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</si>
  <si>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</si>
  <si>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</si>
  <si>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</si>
  <si>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</si>
  <si>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</si>
  <si>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</si>
  <si>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</si>
  <si>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</si>
  <si>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</si>
  <si>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</si>
  <si>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</si>
  <si>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</si>
  <si>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</si>
  <si>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</si>
  <si>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</si>
  <si>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</si>
  <si>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</si>
  <si>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</si>
  <si>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</si>
  <si>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</si>
  <si>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</si>
  <si>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</si>
  <si>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</si>
  <si>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</si>
  <si>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</si>
  <si>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</si>
  <si>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</si>
  <si>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</si>
  <si>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</si>
  <si>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</si>
  <si>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</si>
  <si>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</si>
  <si>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</si>
  <si>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</si>
  <si>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</si>
  <si>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</si>
  <si>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</si>
  <si>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</si>
  <si>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</si>
  <si>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</si>
  <si>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</si>
  <si>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</si>
  <si>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</si>
  <si>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</si>
  <si>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</si>
  <si>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</si>
  <si>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</si>
  <si>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</si>
  <si>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</si>
  <si>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</si>
  <si>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</si>
  <si>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</si>
  <si>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</si>
  <si>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</si>
  <si>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</si>
  <si>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</si>
  <si>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</si>
  <si>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</si>
  <si>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</si>
  <si>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</si>
  <si>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</si>
  <si>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</si>
  <si>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</si>
  <si>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</si>
  <si>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</si>
  <si>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</si>
  <si>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</si>
  <si>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</si>
  <si>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</si>
  <si>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</si>
  <si>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</si>
  <si>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</si>
  <si>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</si>
  <si>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</si>
  <si>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</si>
  <si>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</si>
  <si>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</si>
  <si>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</si>
  <si>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</si>
  <si>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</si>
  <si>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</si>
  <si>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</si>
  <si>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</si>
  <si>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</si>
  <si>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</si>
  <si>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</si>
  <si>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</si>
  <si>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</si>
  <si>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</si>
  <si>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</si>
  <si>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</si>
  <si>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</si>
  <si>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</si>
  <si>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</si>
  <si>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</si>
  <si>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</si>
  <si>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</si>
  <si>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</si>
  <si>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</si>
  <si>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</si>
  <si>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</si>
  <si>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</si>
  <si>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</si>
  <si>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</si>
  <si>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</si>
  <si>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</si>
  <si>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</si>
  <si>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</si>
  <si>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</si>
  <si>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</si>
  <si>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</si>
  <si>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</si>
  <si>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</si>
  <si>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</si>
  <si>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</si>
  <si>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</si>
  <si>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</si>
  <si>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</si>
  <si>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</si>
  <si>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</si>
  <si>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</si>
  <si>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</si>
  <si>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</si>
  <si>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</si>
  <si>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</si>
  <si>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</si>
  <si>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</si>
  <si>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</si>
  <si>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</si>
  <si>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</si>
  <si>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</si>
  <si>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</si>
  <si>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</si>
  <si>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</si>
  <si>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</si>
  <si>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</si>
  <si>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</si>
  <si>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</si>
  <si>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</si>
  <si>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</si>
  <si>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</si>
  <si>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</si>
  <si>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</si>
  <si>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</si>
  <si>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</si>
  <si>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</si>
  <si>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</si>
  <si>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</si>
  <si>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</si>
  <si>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</si>
  <si>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</si>
  <si>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</si>
  <si>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</si>
  <si>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</si>
  <si>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</si>
  <si>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</si>
  <si>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</si>
  <si>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</si>
  <si>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</si>
  <si>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</si>
  <si>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</si>
  <si>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</si>
  <si>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</si>
  <si>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</si>
  <si>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</si>
  <si>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</si>
  <si>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</si>
  <si>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</si>
  <si>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</si>
  <si>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</si>
  <si>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</si>
  <si>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</si>
  <si>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</si>
  <si>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</si>
  <si>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</si>
  <si>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</si>
  <si>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</si>
  <si>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</si>
  <si>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</si>
  <si>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</si>
  <si>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</si>
  <si>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</si>
  <si>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</si>
  <si>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</si>
  <si>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</si>
  <si>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</si>
  <si>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</si>
  <si>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</si>
  <si>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</si>
  <si>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</si>
  <si>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</si>
  <si>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</si>
  <si>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</si>
  <si>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</si>
  <si>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</si>
  <si>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</si>
  <si>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</si>
  <si>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</si>
  <si>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</si>
  <si>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</si>
  <si>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</si>
  <si>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</si>
  <si>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</si>
  <si>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</si>
  <si>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</si>
  <si>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</si>
  <si>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</si>
  <si>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</si>
  <si>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</si>
  <si>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</si>
  <si>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</si>
  <si>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</si>
  <si>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</si>
  <si>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</si>
  <si>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</si>
  <si>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</si>
  <si>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</si>
  <si>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</si>
  <si>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</si>
  <si>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</si>
  <si>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</si>
  <si>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</si>
  <si>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</si>
  <si>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</si>
  <si>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</si>
  <si>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</si>
  <si>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</si>
  <si>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</si>
  <si>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</si>
  <si>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</si>
  <si>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</si>
  <si>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</si>
  <si>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</si>
  <si>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</si>
  <si>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</si>
  <si>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</si>
  <si>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</si>
  <si>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</si>
  <si>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</si>
  <si>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</si>
  <si>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</si>
  <si>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</si>
  <si>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</si>
  <si>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</si>
  <si>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</si>
  <si>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46020</t>
  </si>
  <si>
    <t>SINT-GILLIS-WAAS</t>
  </si>
  <si>
    <t>Paarden&amp;pony's 200 - 600 kg</t>
  </si>
  <si>
    <t>Paarden&amp;pony's &lt; 200 kg</t>
  </si>
  <si>
    <t>Fluvius</t>
  </si>
  <si>
    <t>referentietaak LNE (2017); Jaarverslag De Lijn</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</si>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</sst>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162616.58833618485</c:v>
                </c:pt>
                <c:pt idx="1">
                  <c:v>34041.881656634214</c:v>
                </c:pt>
                <c:pt idx="2">
                  <c:v>1106.529</c:v>
                </c:pt>
                <c:pt idx="3">
                  <c:v>69609.134709321821</c:v>
                </c:pt>
                <c:pt idx="4">
                  <c:v>20381.878879176849</c:v>
                </c:pt>
                <c:pt idx="5">
                  <c:v>200056.39785367812</c:v>
                </c:pt>
                <c:pt idx="6">
                  <c:v>1920.9050781197166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162616.58833618485</c:v>
                </c:pt>
                <c:pt idx="1">
                  <c:v>34041.881656634214</c:v>
                </c:pt>
                <c:pt idx="2">
                  <c:v>1106.529</c:v>
                </c:pt>
                <c:pt idx="3">
                  <c:v>69609.134709321821</c:v>
                </c:pt>
                <c:pt idx="4">
                  <c:v>20381.878879176849</c:v>
                </c:pt>
                <c:pt idx="5">
                  <c:v>200056.39785367812</c:v>
                </c:pt>
                <c:pt idx="6">
                  <c:v>1920.9050781197166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26461.665194605681</c:v>
                </c:pt>
                <c:pt idx="2">
                  <c:v>6301.3657022702764</c:v>
                </c:pt>
                <c:pt idx="3">
                  <c:v>163.67664207903866</c:v>
                </c:pt>
                <c:pt idx="4">
                  <c:v>16728.714685006955</c:v>
                </c:pt>
                <c:pt idx="5">
                  <c:v>3821.7835600918734</c:v>
                </c:pt>
                <c:pt idx="6">
                  <c:v>51310.639519588934</c:v>
                </c:pt>
                <c:pt idx="7">
                  <c:v>497.47070633979092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26461.665194605681</c:v>
                </c:pt>
                <c:pt idx="2">
                  <c:v>6301.3657022702764</c:v>
                </c:pt>
                <c:pt idx="3">
                  <c:v>163.67664207903866</c:v>
                </c:pt>
                <c:pt idx="4">
                  <c:v>16728.714685006955</c:v>
                </c:pt>
                <c:pt idx="5">
                  <c:v>3821.7835600918734</c:v>
                </c:pt>
                <c:pt idx="6">
                  <c:v>51310.639519588934</c:v>
                </c:pt>
                <c:pt idx="7">
                  <c:v>497.47070633979092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46020</v>
      </c>
      <c r="B6" s="390"/>
      <c r="C6" s="391"/>
    </row>
    <row r="7" spans="1:7" s="388" customFormat="1" ht="15.75" customHeight="1">
      <c r="A7" s="392" t="str">
        <f>txtMunicipality</f>
        <v>SINT-GILLIS-WAAS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0.14791898095670214</v>
      </c>
      <c r="C17" s="498">
        <f ca="1">'EF ele_warmte'!B22</f>
        <v>0.23764705882352954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0.14791898095670214</v>
      </c>
      <c r="C29" s="499">
        <f ca="1">'EF ele_warmte'!B22</f>
        <v>0.23764705882352954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7608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3616.77</v>
      </c>
      <c r="C14" s="330"/>
      <c r="D14" s="330"/>
      <c r="E14" s="330"/>
      <c r="F14" s="330"/>
    </row>
    <row r="15" spans="1:6">
      <c r="A15" s="1291" t="s">
        <v>183</v>
      </c>
      <c r="B15" s="1292">
        <v>23</v>
      </c>
      <c r="C15" s="330"/>
      <c r="D15" s="330"/>
      <c r="E15" s="330"/>
      <c r="F15" s="330"/>
    </row>
    <row r="16" spans="1:6">
      <c r="A16" s="1291" t="s">
        <v>6</v>
      </c>
      <c r="B16" s="1292">
        <v>760</v>
      </c>
      <c r="C16" s="330"/>
      <c r="D16" s="330"/>
      <c r="E16" s="330"/>
      <c r="F16" s="330"/>
    </row>
    <row r="17" spans="1:6">
      <c r="A17" s="1291" t="s">
        <v>7</v>
      </c>
      <c r="B17" s="1292">
        <v>858</v>
      </c>
      <c r="C17" s="330"/>
      <c r="D17" s="330"/>
      <c r="E17" s="330"/>
      <c r="F17" s="330"/>
    </row>
    <row r="18" spans="1:6">
      <c r="A18" s="1291" t="s">
        <v>8</v>
      </c>
      <c r="B18" s="1292">
        <v>1359</v>
      </c>
      <c r="C18" s="330"/>
      <c r="D18" s="330"/>
      <c r="E18" s="330"/>
      <c r="F18" s="330"/>
    </row>
    <row r="19" spans="1:6">
      <c r="A19" s="1291" t="s">
        <v>9</v>
      </c>
      <c r="B19" s="1292">
        <v>1218</v>
      </c>
      <c r="C19" s="330"/>
      <c r="D19" s="330"/>
      <c r="E19" s="330"/>
      <c r="F19" s="330"/>
    </row>
    <row r="20" spans="1:6">
      <c r="A20" s="1291" t="s">
        <v>10</v>
      </c>
      <c r="B20" s="1292">
        <v>807</v>
      </c>
      <c r="C20" s="330"/>
      <c r="D20" s="330"/>
      <c r="E20" s="330"/>
      <c r="F20" s="330"/>
    </row>
    <row r="21" spans="1:6">
      <c r="A21" s="1291" t="s">
        <v>11</v>
      </c>
      <c r="B21" s="1292">
        <v>6896</v>
      </c>
      <c r="C21" s="330"/>
      <c r="D21" s="330"/>
      <c r="E21" s="330"/>
      <c r="F21" s="330"/>
    </row>
    <row r="22" spans="1:6">
      <c r="A22" s="1291" t="s">
        <v>12</v>
      </c>
      <c r="B22" s="1292">
        <v>27286</v>
      </c>
      <c r="C22" s="330"/>
      <c r="D22" s="330"/>
      <c r="E22" s="330"/>
      <c r="F22" s="330"/>
    </row>
    <row r="23" spans="1:6">
      <c r="A23" s="1291" t="s">
        <v>13</v>
      </c>
      <c r="B23" s="1292">
        <v>338</v>
      </c>
      <c r="C23" s="330"/>
      <c r="D23" s="330"/>
      <c r="E23" s="330"/>
      <c r="F23" s="330"/>
    </row>
    <row r="24" spans="1:6">
      <c r="A24" s="1291" t="s">
        <v>14</v>
      </c>
      <c r="B24" s="1292">
        <v>156</v>
      </c>
      <c r="C24" s="330"/>
      <c r="D24" s="330"/>
      <c r="E24" s="330"/>
      <c r="F24" s="330"/>
    </row>
    <row r="25" spans="1:6">
      <c r="A25" s="1291" t="s">
        <v>15</v>
      </c>
      <c r="B25" s="1292">
        <v>1719</v>
      </c>
      <c r="C25" s="330"/>
      <c r="D25" s="330"/>
      <c r="E25" s="330"/>
      <c r="F25" s="330"/>
    </row>
    <row r="26" spans="1:6">
      <c r="A26" s="1291" t="s">
        <v>16</v>
      </c>
      <c r="B26" s="1292">
        <v>267</v>
      </c>
      <c r="C26" s="330"/>
      <c r="D26" s="330"/>
      <c r="E26" s="330"/>
      <c r="F26" s="330"/>
    </row>
    <row r="27" spans="1:6">
      <c r="A27" s="1291" t="s">
        <v>17</v>
      </c>
      <c r="B27" s="1292">
        <v>3683</v>
      </c>
      <c r="C27" s="330"/>
      <c r="D27" s="330"/>
      <c r="E27" s="330"/>
      <c r="F27" s="330"/>
    </row>
    <row r="28" spans="1:6" s="43" customFormat="1">
      <c r="A28" s="1293" t="s">
        <v>18</v>
      </c>
      <c r="B28" s="1294">
        <v>385648</v>
      </c>
      <c r="C28" s="336"/>
      <c r="D28" s="336"/>
      <c r="E28" s="336"/>
      <c r="F28" s="336"/>
    </row>
    <row r="29" spans="1:6">
      <c r="A29" s="1293" t="s">
        <v>892</v>
      </c>
      <c r="B29" s="1294">
        <v>266</v>
      </c>
      <c r="C29" s="336"/>
      <c r="D29" s="336"/>
      <c r="E29" s="336"/>
      <c r="F29" s="336"/>
    </row>
    <row r="30" spans="1:6">
      <c r="A30" s="1286" t="s">
        <v>893</v>
      </c>
      <c r="B30" s="1295">
        <v>103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284113.36768000002</v>
      </c>
      <c r="E38" s="1292">
        <v>5</v>
      </c>
      <c r="F38" s="1292">
        <v>185061.81263</v>
      </c>
    </row>
    <row r="39" spans="1:6">
      <c r="A39" s="1291" t="s">
        <v>29</v>
      </c>
      <c r="B39" s="1291" t="s">
        <v>30</v>
      </c>
      <c r="C39" s="1292">
        <v>5507</v>
      </c>
      <c r="D39" s="1292">
        <v>85828164.857999995</v>
      </c>
      <c r="E39" s="1292">
        <v>7452</v>
      </c>
      <c r="F39" s="1292">
        <v>28787715.952440999</v>
      </c>
    </row>
    <row r="40" spans="1:6">
      <c r="A40" s="1291" t="s">
        <v>29</v>
      </c>
      <c r="B40" s="1291" t="s">
        <v>28</v>
      </c>
      <c r="C40" s="1292">
        <v>1</v>
      </c>
      <c r="D40" s="1292">
        <v>32683.236109000001</v>
      </c>
      <c r="E40" s="1292">
        <v>0</v>
      </c>
      <c r="F40" s="1292">
        <v>0</v>
      </c>
    </row>
    <row r="41" spans="1:6">
      <c r="A41" s="1291" t="s">
        <v>31</v>
      </c>
      <c r="B41" s="1291" t="s">
        <v>32</v>
      </c>
      <c r="C41" s="1292">
        <v>97</v>
      </c>
      <c r="D41" s="1292">
        <v>2156729.0063999998</v>
      </c>
      <c r="E41" s="1292">
        <v>173</v>
      </c>
      <c r="F41" s="1292">
        <v>2125489.9786999999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44936.442236000003</v>
      </c>
      <c r="E44" s="1292">
        <v>22</v>
      </c>
      <c r="F44" s="1292">
        <v>552369.44513999997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29</v>
      </c>
      <c r="D48" s="1292">
        <v>6752614.4793999996</v>
      </c>
      <c r="E48" s="1292">
        <v>33</v>
      </c>
      <c r="F48" s="1292">
        <v>2511143.7751000002</v>
      </c>
    </row>
    <row r="49" spans="1:6">
      <c r="A49" s="1291" t="s">
        <v>31</v>
      </c>
      <c r="B49" s="1291" t="s">
        <v>39</v>
      </c>
      <c r="C49" s="1292">
        <v>0</v>
      </c>
      <c r="D49" s="1292">
        <v>0</v>
      </c>
      <c r="E49" s="1292">
        <v>0</v>
      </c>
      <c r="F49" s="1292">
        <v>0</v>
      </c>
    </row>
    <row r="50" spans="1:6">
      <c r="A50" s="1291" t="s">
        <v>31</v>
      </c>
      <c r="B50" s="1291" t="s">
        <v>40</v>
      </c>
      <c r="C50" s="1292">
        <v>10</v>
      </c>
      <c r="D50" s="1292">
        <v>1649777.2237</v>
      </c>
      <c r="E50" s="1292">
        <v>15</v>
      </c>
      <c r="F50" s="1292">
        <v>1201456.6368</v>
      </c>
    </row>
    <row r="51" spans="1:6">
      <c r="A51" s="1291" t="s">
        <v>41</v>
      </c>
      <c r="B51" s="1291" t="s">
        <v>42</v>
      </c>
      <c r="C51" s="1292">
        <v>28</v>
      </c>
      <c r="D51" s="1292">
        <v>22939014.092999998</v>
      </c>
      <c r="E51" s="1292">
        <v>145</v>
      </c>
      <c r="F51" s="1292">
        <v>5009071.6519999998</v>
      </c>
    </row>
    <row r="52" spans="1:6">
      <c r="A52" s="1291" t="s">
        <v>41</v>
      </c>
      <c r="B52" s="1291" t="s">
        <v>28</v>
      </c>
      <c r="C52" s="1292">
        <v>6</v>
      </c>
      <c r="D52" s="1292">
        <v>319622.04843000002</v>
      </c>
      <c r="E52" s="1292">
        <v>11</v>
      </c>
      <c r="F52" s="1292">
        <v>464392.41687000002</v>
      </c>
    </row>
    <row r="53" spans="1:6">
      <c r="A53" s="1291" t="s">
        <v>43</v>
      </c>
      <c r="B53" s="1291" t="s">
        <v>44</v>
      </c>
      <c r="C53" s="1292">
        <v>140</v>
      </c>
      <c r="D53" s="1292">
        <v>2279232.3089999999</v>
      </c>
      <c r="E53" s="1292">
        <v>285</v>
      </c>
      <c r="F53" s="1292">
        <v>1631061.6472</v>
      </c>
    </row>
    <row r="54" spans="1:6">
      <c r="A54" s="1291" t="s">
        <v>45</v>
      </c>
      <c r="B54" s="1291" t="s">
        <v>46</v>
      </c>
      <c r="C54" s="1292">
        <v>0</v>
      </c>
      <c r="D54" s="1292">
        <v>0</v>
      </c>
      <c r="E54" s="1292">
        <v>1</v>
      </c>
      <c r="F54" s="1292">
        <v>1106529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60</v>
      </c>
      <c r="D57" s="1292">
        <v>4929248.8128000004</v>
      </c>
      <c r="E57" s="1292">
        <v>52</v>
      </c>
      <c r="F57" s="1292">
        <v>736294.35765999998</v>
      </c>
    </row>
    <row r="58" spans="1:6">
      <c r="A58" s="1291" t="s">
        <v>48</v>
      </c>
      <c r="B58" s="1291" t="s">
        <v>50</v>
      </c>
      <c r="C58" s="1292">
        <v>24</v>
      </c>
      <c r="D58" s="1292">
        <v>406231.67930999998</v>
      </c>
      <c r="E58" s="1292">
        <v>37</v>
      </c>
      <c r="F58" s="1292">
        <v>218576.54115</v>
      </c>
    </row>
    <row r="59" spans="1:6">
      <c r="A59" s="1291" t="s">
        <v>48</v>
      </c>
      <c r="B59" s="1291" t="s">
        <v>51</v>
      </c>
      <c r="C59" s="1292">
        <v>92</v>
      </c>
      <c r="D59" s="1292">
        <v>3464106.5129</v>
      </c>
      <c r="E59" s="1292">
        <v>171</v>
      </c>
      <c r="F59" s="1292">
        <v>4469647.9890000001</v>
      </c>
    </row>
    <row r="60" spans="1:6">
      <c r="A60" s="1291" t="s">
        <v>48</v>
      </c>
      <c r="B60" s="1291" t="s">
        <v>52</v>
      </c>
      <c r="C60" s="1292">
        <v>52</v>
      </c>
      <c r="D60" s="1292">
        <v>1840510.1183</v>
      </c>
      <c r="E60" s="1292">
        <v>63</v>
      </c>
      <c r="F60" s="1292">
        <v>1158259.8725999999</v>
      </c>
    </row>
    <row r="61" spans="1:6">
      <c r="A61" s="1291" t="s">
        <v>48</v>
      </c>
      <c r="B61" s="1291" t="s">
        <v>53</v>
      </c>
      <c r="C61" s="1292">
        <v>134</v>
      </c>
      <c r="D61" s="1292">
        <v>5715926.4545999998</v>
      </c>
      <c r="E61" s="1292">
        <v>228</v>
      </c>
      <c r="F61" s="1292">
        <v>2831215.2414000002</v>
      </c>
    </row>
    <row r="62" spans="1:6">
      <c r="A62" s="1291" t="s">
        <v>48</v>
      </c>
      <c r="B62" s="1291" t="s">
        <v>54</v>
      </c>
      <c r="C62" s="1292">
        <v>6</v>
      </c>
      <c r="D62" s="1292">
        <v>359837.54835</v>
      </c>
      <c r="E62" s="1292">
        <v>14</v>
      </c>
      <c r="F62" s="1292">
        <v>185409.80155999999</v>
      </c>
    </row>
    <row r="63" spans="1:6">
      <c r="A63" s="1291" t="s">
        <v>48</v>
      </c>
      <c r="B63" s="1291" t="s">
        <v>28</v>
      </c>
      <c r="C63" s="1292">
        <v>87</v>
      </c>
      <c r="D63" s="1292">
        <v>4216946.5044999998</v>
      </c>
      <c r="E63" s="1292">
        <v>95</v>
      </c>
      <c r="F63" s="1292">
        <v>1765342.7619</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8204.7208224999995</v>
      </c>
    </row>
    <row r="66" spans="1:6">
      <c r="A66" s="1291" t="s">
        <v>55</v>
      </c>
      <c r="B66" s="1291" t="s">
        <v>57</v>
      </c>
      <c r="C66" s="1292">
        <v>0</v>
      </c>
      <c r="D66" s="1292">
        <v>0</v>
      </c>
      <c r="E66" s="1292">
        <v>4</v>
      </c>
      <c r="F66" s="1292">
        <v>90926</v>
      </c>
    </row>
    <row r="67" spans="1:6">
      <c r="A67" s="1293" t="s">
        <v>55</v>
      </c>
      <c r="B67" s="1293" t="s">
        <v>58</v>
      </c>
      <c r="C67" s="1292">
        <v>0</v>
      </c>
      <c r="D67" s="1292">
        <v>0</v>
      </c>
      <c r="E67" s="1292">
        <v>0</v>
      </c>
      <c r="F67" s="1292">
        <v>0</v>
      </c>
    </row>
    <row r="68" spans="1:6">
      <c r="A68" s="1286" t="s">
        <v>55</v>
      </c>
      <c r="B68" s="1286" t="s">
        <v>59</v>
      </c>
      <c r="C68" s="1295">
        <v>9</v>
      </c>
      <c r="D68" s="1295">
        <v>209482.22227</v>
      </c>
      <c r="E68" s="1295">
        <v>23</v>
      </c>
      <c r="F68" s="1295">
        <v>617608.89023000002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27647752</v>
      </c>
      <c r="E73" s="449"/>
      <c r="F73" s="330"/>
    </row>
    <row r="74" spans="1:6">
      <c r="A74" s="1291" t="s">
        <v>63</v>
      </c>
      <c r="B74" s="1291" t="s">
        <v>664</v>
      </c>
      <c r="C74" s="1305" t="s">
        <v>666</v>
      </c>
      <c r="D74" s="1306">
        <v>3701247.8877134207</v>
      </c>
      <c r="E74" s="449"/>
      <c r="F74" s="330"/>
    </row>
    <row r="75" spans="1:6">
      <c r="A75" s="1291" t="s">
        <v>64</v>
      </c>
      <c r="B75" s="1291" t="s">
        <v>663</v>
      </c>
      <c r="C75" s="1305" t="s">
        <v>667</v>
      </c>
      <c r="D75" s="1306">
        <v>51362087</v>
      </c>
      <c r="E75" s="449"/>
      <c r="F75" s="330"/>
    </row>
    <row r="76" spans="1:6">
      <c r="A76" s="1291" t="s">
        <v>64</v>
      </c>
      <c r="B76" s="1291" t="s">
        <v>664</v>
      </c>
      <c r="C76" s="1305" t="s">
        <v>668</v>
      </c>
      <c r="D76" s="1306">
        <v>3025222.8877134207</v>
      </c>
      <c r="E76" s="449"/>
      <c r="F76" s="330"/>
    </row>
    <row r="77" spans="1:6">
      <c r="A77" s="1291" t="s">
        <v>65</v>
      </c>
      <c r="B77" s="1291" t="s">
        <v>663</v>
      </c>
      <c r="C77" s="1305" t="s">
        <v>669</v>
      </c>
      <c r="D77" s="1306">
        <v>86185340</v>
      </c>
      <c r="E77" s="449"/>
      <c r="F77" s="330"/>
    </row>
    <row r="78" spans="1:6">
      <c r="A78" s="1286" t="s">
        <v>65</v>
      </c>
      <c r="B78" s="1286" t="s">
        <v>664</v>
      </c>
      <c r="C78" s="1286" t="s">
        <v>670</v>
      </c>
      <c r="D78" s="1307">
        <v>21449428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521206.22457315883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14463.580619183042</v>
      </c>
      <c r="C90" s="330"/>
      <c r="D90" s="330"/>
      <c r="E90" s="330"/>
      <c r="F90" s="330"/>
    </row>
    <row r="91" spans="1:6">
      <c r="A91" s="1291" t="s">
        <v>67</v>
      </c>
      <c r="B91" s="1292">
        <v>5005.0605088239154</v>
      </c>
      <c r="C91" s="330"/>
      <c r="D91" s="330"/>
      <c r="E91" s="330"/>
      <c r="F91" s="330"/>
    </row>
    <row r="92" spans="1:6">
      <c r="A92" s="1286" t="s">
        <v>68</v>
      </c>
      <c r="B92" s="1287">
        <v>2626.5394740028642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3398</v>
      </c>
      <c r="C97" s="330"/>
      <c r="D97" s="330"/>
      <c r="E97" s="330"/>
      <c r="F97" s="330"/>
    </row>
    <row r="98" spans="1:6">
      <c r="A98" s="1291" t="s">
        <v>71</v>
      </c>
      <c r="B98" s="1292">
        <v>2</v>
      </c>
      <c r="C98" s="330"/>
      <c r="D98" s="330"/>
      <c r="E98" s="330"/>
      <c r="F98" s="330"/>
    </row>
    <row r="99" spans="1:6">
      <c r="A99" s="1291" t="s">
        <v>72</v>
      </c>
      <c r="B99" s="1292">
        <v>114</v>
      </c>
      <c r="C99" s="330"/>
      <c r="D99" s="330"/>
      <c r="E99" s="330"/>
      <c r="F99" s="330"/>
    </row>
    <row r="100" spans="1:6">
      <c r="A100" s="1291" t="s">
        <v>73</v>
      </c>
      <c r="B100" s="1292">
        <v>499</v>
      </c>
      <c r="C100" s="330"/>
      <c r="D100" s="330"/>
      <c r="E100" s="330"/>
      <c r="F100" s="330"/>
    </row>
    <row r="101" spans="1:6">
      <c r="A101" s="1291" t="s">
        <v>74</v>
      </c>
      <c r="B101" s="1292">
        <v>141</v>
      </c>
      <c r="C101" s="330"/>
      <c r="D101" s="330"/>
      <c r="E101" s="330"/>
      <c r="F101" s="330"/>
    </row>
    <row r="102" spans="1:6">
      <c r="A102" s="1291" t="s">
        <v>75</v>
      </c>
      <c r="B102" s="1292">
        <v>152</v>
      </c>
      <c r="C102" s="330"/>
      <c r="D102" s="330"/>
      <c r="E102" s="330"/>
      <c r="F102" s="330"/>
    </row>
    <row r="103" spans="1:6">
      <c r="A103" s="1291" t="s">
        <v>76</v>
      </c>
      <c r="B103" s="1292">
        <v>229</v>
      </c>
      <c r="C103" s="330"/>
      <c r="D103" s="330"/>
      <c r="E103" s="330"/>
      <c r="F103" s="330"/>
    </row>
    <row r="104" spans="1:6">
      <c r="A104" s="1291" t="s">
        <v>77</v>
      </c>
      <c r="B104" s="1292">
        <v>1855</v>
      </c>
      <c r="C104" s="330"/>
      <c r="D104" s="330"/>
      <c r="E104" s="330"/>
      <c r="F104" s="330"/>
    </row>
    <row r="105" spans="1:6">
      <c r="A105" s="1286" t="s">
        <v>78</v>
      </c>
      <c r="B105" s="1295">
        <v>18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29</v>
      </c>
      <c r="C123" s="1292">
        <v>24</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118</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59903.276846641427</v>
      </c>
      <c r="C3" s="43" t="s">
        <v>169</v>
      </c>
      <c r="D3" s="43"/>
      <c r="E3" s="154"/>
      <c r="F3" s="43"/>
      <c r="G3" s="43"/>
      <c r="H3" s="43"/>
      <c r="I3" s="43"/>
      <c r="J3" s="43"/>
      <c r="K3" s="96"/>
    </row>
    <row r="4" spans="1:11">
      <c r="A4" s="358" t="s">
        <v>170</v>
      </c>
      <c r="B4" s="49">
        <f>IF(ISERROR('SEAP template'!B78+'SEAP template'!C78),0,'SEAP template'!B78+'SEAP template'!C78)</f>
        <v>52445.430602009823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7212.6476470588241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0.14791898095670214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10303.782352941182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43357.5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0.23764705882352954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1106.529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1106.529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0.14791898095670214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163.67664207903866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28787.715952440998</v>
      </c>
      <c r="C5" s="17">
        <f>IF(ISERROR('Eigen informatie GS &amp; warmtenet'!B57),0,'Eigen informatie GS &amp; warmtenet'!B57)</f>
        <v>0</v>
      </c>
      <c r="D5" s="30">
        <f>(SUM(HH_hh_gas_kWh,HH_rest_gas_kWh)/1000)*0.902</f>
        <v>77446.484980886322</v>
      </c>
      <c r="E5" s="17">
        <f>B46*B57</f>
        <v>25134.121210319179</v>
      </c>
      <c r="F5" s="17">
        <f>B51*B62</f>
        <v>0</v>
      </c>
      <c r="G5" s="18"/>
      <c r="H5" s="17"/>
      <c r="I5" s="17"/>
      <c r="J5" s="17">
        <f>B50*B61+C50*C61</f>
        <v>320.44253072388568</v>
      </c>
      <c r="K5" s="17"/>
      <c r="L5" s="17"/>
      <c r="M5" s="17"/>
      <c r="N5" s="17">
        <f>B48*B59+C48*C59</f>
        <v>24842.769819657162</v>
      </c>
      <c r="O5" s="17">
        <f>B69*B70*B71</f>
        <v>221.99333333333334</v>
      </c>
      <c r="P5" s="17">
        <f>B77*B78*B79/1000-B77*B78*B79/1000/B80</f>
        <v>858</v>
      </c>
    </row>
    <row r="6" spans="1:16">
      <c r="A6" s="16" t="s">
        <v>623</v>
      </c>
      <c r="B6" s="762">
        <f>kWh_PV_kleiner_dan_10kW</f>
        <v>5005.0605088239154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33792.776461264912</v>
      </c>
      <c r="C8" s="21">
        <f>C5</f>
        <v>0</v>
      </c>
      <c r="D8" s="21">
        <f>D5</f>
        <v>77446.484980886322</v>
      </c>
      <c r="E8" s="21">
        <f>E5</f>
        <v>25134.121210319179</v>
      </c>
      <c r="F8" s="21">
        <f>F5</f>
        <v>0</v>
      </c>
      <c r="G8" s="21"/>
      <c r="H8" s="21"/>
      <c r="I8" s="21"/>
      <c r="J8" s="21">
        <f>J5</f>
        <v>320.44253072388568</v>
      </c>
      <c r="K8" s="21"/>
      <c r="L8" s="21">
        <f>L5</f>
        <v>0</v>
      </c>
      <c r="M8" s="21">
        <f>M5</f>
        <v>0</v>
      </c>
      <c r="N8" s="21">
        <f>N5</f>
        <v>24842.769819657162</v>
      </c>
      <c r="O8" s="21">
        <f>O5</f>
        <v>221.99333333333334</v>
      </c>
      <c r="P8" s="21">
        <f>P5</f>
        <v>858</v>
      </c>
    </row>
    <row r="9" spans="1:16">
      <c r="B9" s="19"/>
      <c r="C9" s="19"/>
      <c r="D9" s="258"/>
      <c r="E9" s="19"/>
      <c r="F9" s="19"/>
      <c r="G9" s="19"/>
      <c r="H9" s="19"/>
      <c r="I9" s="19"/>
      <c r="J9" s="19"/>
      <c r="K9" s="19"/>
      <c r="L9" s="19"/>
      <c r="M9" s="19"/>
      <c r="N9" s="19"/>
      <c r="O9" s="19"/>
      <c r="P9" s="19"/>
    </row>
    <row r="10" spans="1:16">
      <c r="A10" s="24" t="s">
        <v>213</v>
      </c>
      <c r="B10" s="25">
        <f ca="1">'EF ele_warmte'!B12</f>
        <v>0.14791898095670214</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4998.5930578479365</v>
      </c>
      <c r="C12" s="23">
        <f ca="1">C10*C8</f>
        <v>0</v>
      </c>
      <c r="D12" s="23">
        <f>D8*D10</f>
        <v>15644.189966139038</v>
      </c>
      <c r="E12" s="23">
        <f>E10*E8</f>
        <v>5705.4455147424542</v>
      </c>
      <c r="F12" s="23">
        <f>F10*F8</f>
        <v>0</v>
      </c>
      <c r="G12" s="23"/>
      <c r="H12" s="23"/>
      <c r="I12" s="23"/>
      <c r="J12" s="23">
        <f>J10*J8</f>
        <v>113.43665587625553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3398</v>
      </c>
      <c r="C18" s="166" t="s">
        <v>110</v>
      </c>
      <c r="D18" s="228"/>
      <c r="E18" s="15"/>
    </row>
    <row r="19" spans="1:7">
      <c r="A19" s="171" t="s">
        <v>71</v>
      </c>
      <c r="B19" s="37">
        <f>aantalw2001_ander</f>
        <v>2</v>
      </c>
      <c r="C19" s="166" t="s">
        <v>110</v>
      </c>
      <c r="D19" s="229"/>
      <c r="E19" s="15"/>
    </row>
    <row r="20" spans="1:7">
      <c r="A20" s="171" t="s">
        <v>72</v>
      </c>
      <c r="B20" s="37">
        <f>aantalw2001_propaan</f>
        <v>114</v>
      </c>
      <c r="C20" s="167">
        <f>IF(ISERROR(B20/SUM($B$20,$B$21,$B$22)*100),0,B20/SUM($B$20,$B$21,$B$22)*100)</f>
        <v>15.119363395225463</v>
      </c>
      <c r="D20" s="229"/>
      <c r="E20" s="15"/>
    </row>
    <row r="21" spans="1:7">
      <c r="A21" s="171" t="s">
        <v>73</v>
      </c>
      <c r="B21" s="37">
        <f>aantalw2001_elektriciteit</f>
        <v>499</v>
      </c>
      <c r="C21" s="167">
        <f>IF(ISERROR(B21/SUM($B$20,$B$21,$B$22)*100),0,B21/SUM($B$20,$B$21,$B$22)*100)</f>
        <v>66.180371352785144</v>
      </c>
      <c r="D21" s="229"/>
      <c r="E21" s="15"/>
    </row>
    <row r="22" spans="1:7">
      <c r="A22" s="171" t="s">
        <v>74</v>
      </c>
      <c r="B22" s="37">
        <f>aantalw2001_hout</f>
        <v>141</v>
      </c>
      <c r="C22" s="167">
        <f>IF(ISERROR(B22/SUM($B$20,$B$21,$B$22)*100),0,B22/SUM($B$20,$B$21,$B$22)*100)</f>
        <v>18.700265251989389</v>
      </c>
      <c r="D22" s="229"/>
      <c r="E22" s="15"/>
    </row>
    <row r="23" spans="1:7">
      <c r="A23" s="171" t="s">
        <v>75</v>
      </c>
      <c r="B23" s="37">
        <f>aantalw2001_niet_gespec</f>
        <v>152</v>
      </c>
      <c r="C23" s="166" t="s">
        <v>110</v>
      </c>
      <c r="D23" s="228"/>
      <c r="E23" s="15"/>
    </row>
    <row r="24" spans="1:7">
      <c r="A24" s="171" t="s">
        <v>76</v>
      </c>
      <c r="B24" s="37">
        <f>aantalw2001_steenkool</f>
        <v>229</v>
      </c>
      <c r="C24" s="166" t="s">
        <v>110</v>
      </c>
      <c r="D24" s="229"/>
      <c r="E24" s="15"/>
    </row>
    <row r="25" spans="1:7">
      <c r="A25" s="171" t="s">
        <v>77</v>
      </c>
      <c r="B25" s="37">
        <f>aantalw2001_stookolie</f>
        <v>1855</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695</v>
      </c>
      <c r="B28" s="37">
        <f>aantalHuishoudens</f>
        <v>7608</v>
      </c>
      <c r="C28" s="36"/>
      <c r="D28" s="228"/>
    </row>
    <row r="29" spans="1:7" s="15" customFormat="1">
      <c r="A29" s="230" t="s">
        <v>696</v>
      </c>
      <c r="B29" s="37">
        <f>SUM(HH_hh_gas_aantal,HH_rest_gas_aantal)</f>
        <v>5508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5508</v>
      </c>
      <c r="C32" s="167">
        <f>IF(ISERROR(B32/SUM($B$32,$B$34,$B$35,$B$36,$B$38,$B$39)*100),0,B32/SUM($B$32,$B$34,$B$35,$B$36,$B$38,$B$39)*100)</f>
        <v>72.828242760809204</v>
      </c>
      <c r="D32" s="233"/>
      <c r="G32" s="15"/>
    </row>
    <row r="33" spans="1:7">
      <c r="A33" s="171" t="s">
        <v>71</v>
      </c>
      <c r="B33" s="34" t="s">
        <v>110</v>
      </c>
      <c r="C33" s="167"/>
      <c r="D33" s="233"/>
      <c r="G33" s="15"/>
    </row>
    <row r="34" spans="1:7">
      <c r="A34" s="171" t="s">
        <v>72</v>
      </c>
      <c r="B34" s="33">
        <f>IF((($B$28-$B$32-$B$39-$B$77-$B$38)*C20/100)&lt;0,0,($B$28-$B$32-$B$39-$B$77-$B$38)*C20/100)</f>
        <v>307.9814323607427</v>
      </c>
      <c r="C34" s="167">
        <f>IF(ISERROR(B34/SUM($B$32,$B$34,$B$35,$B$36,$B$38,$B$39)*100),0,B34/SUM($B$32,$B$34,$B$35,$B$36,$B$38,$B$39)*100)</f>
        <v>4.0722125130337528</v>
      </c>
      <c r="D34" s="233"/>
      <c r="G34" s="15"/>
    </row>
    <row r="35" spans="1:7">
      <c r="A35" s="171" t="s">
        <v>73</v>
      </c>
      <c r="B35" s="33">
        <f>IF((($B$28-$B$32-$B$39-$B$77-$B$38)*C21/100)&lt;0,0,($B$28-$B$32-$B$39-$B$77-$B$38)*C21/100)</f>
        <v>1348.0941644562333</v>
      </c>
      <c r="C35" s="167">
        <f>IF(ISERROR(B35/SUM($B$32,$B$34,$B$35,$B$36,$B$38,$B$39)*100),0,B35/SUM($B$32,$B$34,$B$35,$B$36,$B$38,$B$39)*100)</f>
        <v>17.824860035121421</v>
      </c>
      <c r="D35" s="233"/>
      <c r="G35" s="15"/>
    </row>
    <row r="36" spans="1:7">
      <c r="A36" s="171" t="s">
        <v>74</v>
      </c>
      <c r="B36" s="33">
        <f>IF((($B$28-$B$32-$B$39-$B$77-$B$38)*C22/100)&lt;0,0,($B$28-$B$32-$B$39-$B$77-$B$38)*C22/100)</f>
        <v>380.9244031830238</v>
      </c>
      <c r="C36" s="167">
        <f>IF(ISERROR(B36/SUM($B$32,$B$34,$B$35,$B$36,$B$38,$B$39)*100),0,B36/SUM($B$32,$B$34,$B$35,$B$36,$B$38,$B$39)*100)</f>
        <v>5.0366838976996409</v>
      </c>
      <c r="D36" s="233"/>
      <c r="G36" s="15"/>
    </row>
    <row r="37" spans="1:7">
      <c r="A37" s="171" t="s">
        <v>75</v>
      </c>
      <c r="B37" s="34" t="s">
        <v>110</v>
      </c>
      <c r="C37" s="167"/>
      <c r="D37" s="173"/>
      <c r="G37" s="15"/>
    </row>
    <row r="38" spans="1:7">
      <c r="A38" s="171" t="s">
        <v>76</v>
      </c>
      <c r="B38" s="33">
        <f>IF((B24-(B29-B18)*0.1)&lt;0,0,B24-(B29-B18)*0.1)</f>
        <v>18</v>
      </c>
      <c r="C38" s="167">
        <f>IF(ISERROR(B38/SUM($B$32,$B$34,$B$35,$B$36,$B$38,$B$39)*100),0,B38/SUM($B$32,$B$34,$B$35,$B$36,$B$38,$B$39)*100)</f>
        <v>0.23800079333597779</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5508</v>
      </c>
      <c r="C44" s="34" t="s">
        <v>110</v>
      </c>
      <c r="D44" s="174"/>
    </row>
    <row r="45" spans="1:7">
      <c r="A45" s="171" t="s">
        <v>71</v>
      </c>
      <c r="B45" s="33" t="str">
        <f t="shared" si="0"/>
        <v>-</v>
      </c>
      <c r="C45" s="34" t="s">
        <v>110</v>
      </c>
      <c r="D45" s="174"/>
    </row>
    <row r="46" spans="1:7">
      <c r="A46" s="171" t="s">
        <v>72</v>
      </c>
      <c r="B46" s="33">
        <f t="shared" si="0"/>
        <v>307.9814323607427</v>
      </c>
      <c r="C46" s="34" t="s">
        <v>110</v>
      </c>
      <c r="D46" s="174"/>
    </row>
    <row r="47" spans="1:7">
      <c r="A47" s="171" t="s">
        <v>73</v>
      </c>
      <c r="B47" s="33">
        <f t="shared" si="0"/>
        <v>1348.0941644562333</v>
      </c>
      <c r="C47" s="34" t="s">
        <v>110</v>
      </c>
      <c r="D47" s="174"/>
    </row>
    <row r="48" spans="1:7">
      <c r="A48" s="171" t="s">
        <v>74</v>
      </c>
      <c r="B48" s="33">
        <f t="shared" si="0"/>
        <v>380.9244031830238</v>
      </c>
      <c r="C48" s="33">
        <f>B48*10</f>
        <v>3809.2440318302379</v>
      </c>
      <c r="D48" s="234"/>
    </row>
    <row r="49" spans="1:6">
      <c r="A49" s="171" t="s">
        <v>75</v>
      </c>
      <c r="B49" s="33" t="str">
        <f t="shared" si="0"/>
        <v>-</v>
      </c>
      <c r="C49" s="34" t="s">
        <v>110</v>
      </c>
      <c r="D49" s="234"/>
    </row>
    <row r="50" spans="1:6">
      <c r="A50" s="171" t="s">
        <v>76</v>
      </c>
      <c r="B50" s="33">
        <f t="shared" si="0"/>
        <v>18</v>
      </c>
      <c r="C50" s="33">
        <f>B50*2</f>
        <v>36</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11364.746565269998</v>
      </c>
      <c r="C5" s="17">
        <f>IF(ISERROR('Eigen informatie GS &amp; warmtenet'!B58),0,'Eigen informatie GS &amp; warmtenet'!B58)</f>
        <v>0</v>
      </c>
      <c r="D5" s="30">
        <f>SUM(D6:D12)</f>
        <v>18881.392482945521</v>
      </c>
      <c r="E5" s="17">
        <f>SUM(E6:E12)</f>
        <v>249.00761911927489</v>
      </c>
      <c r="F5" s="17">
        <f>SUM(F6:F12)</f>
        <v>2845.0579812513283</v>
      </c>
      <c r="G5" s="18"/>
      <c r="H5" s="17"/>
      <c r="I5" s="17"/>
      <c r="J5" s="17">
        <f>SUM(J6:J12)</f>
        <v>0</v>
      </c>
      <c r="K5" s="17"/>
      <c r="L5" s="17"/>
      <c r="M5" s="17"/>
      <c r="N5" s="17">
        <f>SUM(N6:N12)</f>
        <v>747.36367471476228</v>
      </c>
      <c r="O5" s="17">
        <f>B38*B39*B40</f>
        <v>1.5633333333333335</v>
      </c>
      <c r="P5" s="17">
        <f>B46*B47*B48/1000-B46*B47*B48/1000/B49</f>
        <v>0</v>
      </c>
      <c r="R5" s="32"/>
    </row>
    <row r="6" spans="1:18">
      <c r="A6" s="32" t="s">
        <v>53</v>
      </c>
      <c r="B6" s="37">
        <f>B26</f>
        <v>2831.2152414000002</v>
      </c>
      <c r="C6" s="33"/>
      <c r="D6" s="37">
        <f>IF(ISERROR(TER_kantoor_gas_kWh/1000),0,TER_kantoor_gas_kWh/1000)*0.902</f>
        <v>5155.7656620491998</v>
      </c>
      <c r="E6" s="33">
        <f>$C$26*'E Balans VL '!I12/100/3.6*1000000</f>
        <v>37.064095061394404</v>
      </c>
      <c r="F6" s="33">
        <f>$C$26*('E Balans VL '!L12+'E Balans VL '!N12)/100/3.6*1000000</f>
        <v>721.930629871576</v>
      </c>
      <c r="G6" s="34"/>
      <c r="H6" s="33"/>
      <c r="I6" s="33"/>
      <c r="J6" s="33">
        <f>$C$26*('E Balans VL '!D12+'E Balans VL '!E12)/100/3.6*1000000</f>
        <v>0</v>
      </c>
      <c r="K6" s="33"/>
      <c r="L6" s="33"/>
      <c r="M6" s="33"/>
      <c r="N6" s="33">
        <f>$C$26*'E Balans VL '!Y12/100/3.6*1000000</f>
        <v>2.8407492070775717</v>
      </c>
      <c r="O6" s="33"/>
      <c r="P6" s="33"/>
      <c r="R6" s="32"/>
    </row>
    <row r="7" spans="1:18">
      <c r="A7" s="32" t="s">
        <v>52</v>
      </c>
      <c r="B7" s="37">
        <f t="shared" ref="B7:B12" si="0">B27</f>
        <v>1158.2598725999999</v>
      </c>
      <c r="C7" s="33"/>
      <c r="D7" s="37">
        <f>IF(ISERROR(TER_horeca_gas_kWh/1000),0,TER_horeca_gas_kWh/1000)*0.902</f>
        <v>1660.1401267066001</v>
      </c>
      <c r="E7" s="33">
        <f>$C$27*'E Balans VL '!I9/100/3.6*1000000</f>
        <v>38.331356324601515</v>
      </c>
      <c r="F7" s="33">
        <f>$C$27*('E Balans VL '!L9+'E Balans VL '!N9)/100/3.6*1000000</f>
        <v>498.0473062284812</v>
      </c>
      <c r="G7" s="34"/>
      <c r="H7" s="33"/>
      <c r="I7" s="33"/>
      <c r="J7" s="33">
        <f>$C$27*('E Balans VL '!D9+'E Balans VL '!E9)/100/3.6*1000000</f>
        <v>0</v>
      </c>
      <c r="K7" s="33"/>
      <c r="L7" s="33"/>
      <c r="M7" s="33"/>
      <c r="N7" s="33">
        <f>$C$27*'E Balans VL '!Y9/100/3.6*1000000</f>
        <v>0.27880997111398753</v>
      </c>
      <c r="O7" s="33"/>
      <c r="P7" s="33"/>
      <c r="R7" s="32"/>
    </row>
    <row r="8" spans="1:18">
      <c r="A8" s="6" t="s">
        <v>51</v>
      </c>
      <c r="B8" s="37">
        <f t="shared" si="0"/>
        <v>4469.6479890000001</v>
      </c>
      <c r="C8" s="33"/>
      <c r="D8" s="37">
        <f>IF(ISERROR(TER_handel_gas_kWh/1000),0,TER_handel_gas_kWh/1000)*0.902</f>
        <v>3124.6240746357998</v>
      </c>
      <c r="E8" s="33">
        <f>$C$28*'E Balans VL '!I13/100/3.6*1000000</f>
        <v>141.06891995167868</v>
      </c>
      <c r="F8" s="33">
        <f>$C$28*('E Balans VL '!L13+'E Balans VL '!N13)/100/3.6*1000000</f>
        <v>876.57667625750832</v>
      </c>
      <c r="G8" s="34"/>
      <c r="H8" s="33"/>
      <c r="I8" s="33"/>
      <c r="J8" s="33">
        <f>$C$28*('E Balans VL '!D13+'E Balans VL '!E13)/100/3.6*1000000</f>
        <v>0</v>
      </c>
      <c r="K8" s="33"/>
      <c r="L8" s="33"/>
      <c r="M8" s="33"/>
      <c r="N8" s="33">
        <f>$C$28*'E Balans VL '!Y13/100/3.6*1000000</f>
        <v>5.3046043914391028</v>
      </c>
      <c r="O8" s="33"/>
      <c r="P8" s="33"/>
      <c r="R8" s="32"/>
    </row>
    <row r="9" spans="1:18">
      <c r="A9" s="32" t="s">
        <v>50</v>
      </c>
      <c r="B9" s="37">
        <f t="shared" si="0"/>
        <v>218.57654115</v>
      </c>
      <c r="C9" s="33"/>
      <c r="D9" s="37">
        <f>IF(ISERROR(TER_gezond_gas_kWh/1000),0,TER_gezond_gas_kWh/1000)*0.902</f>
        <v>366.42097473761999</v>
      </c>
      <c r="E9" s="33">
        <f>$C$29*'E Balans VL '!I10/100/3.6*1000000</f>
        <v>2.7984191582033482E-2</v>
      </c>
      <c r="F9" s="33">
        <f>$C$29*('E Balans VL '!L10+'E Balans VL '!N10)/100/3.6*1000000</f>
        <v>45.53865490396467</v>
      </c>
      <c r="G9" s="34"/>
      <c r="H9" s="33"/>
      <c r="I9" s="33"/>
      <c r="J9" s="33">
        <f>$C$29*('E Balans VL '!D10+'E Balans VL '!E10)/100/3.6*1000000</f>
        <v>0</v>
      </c>
      <c r="K9" s="33"/>
      <c r="L9" s="33"/>
      <c r="M9" s="33"/>
      <c r="N9" s="33">
        <f>$C$29*'E Balans VL '!Y10/100/3.6*1000000</f>
        <v>2.567284788662207</v>
      </c>
      <c r="O9" s="33"/>
      <c r="P9" s="33"/>
      <c r="R9" s="32"/>
    </row>
    <row r="10" spans="1:18">
      <c r="A10" s="32" t="s">
        <v>49</v>
      </c>
      <c r="B10" s="37">
        <f t="shared" si="0"/>
        <v>736.29435765999995</v>
      </c>
      <c r="C10" s="33"/>
      <c r="D10" s="37">
        <f>IF(ISERROR(TER_ander_gas_kWh/1000),0,TER_ander_gas_kWh/1000)*0.902</f>
        <v>4446.1824291456005</v>
      </c>
      <c r="E10" s="33">
        <f>$C$30*'E Balans VL '!I14/100/3.6*1000000</f>
        <v>1.1072135628251383</v>
      </c>
      <c r="F10" s="33">
        <f>$C$30*('E Balans VL '!L14+'E Balans VL '!N14)/100/3.6*1000000</f>
        <v>162.55006001944463</v>
      </c>
      <c r="G10" s="34"/>
      <c r="H10" s="33"/>
      <c r="I10" s="33"/>
      <c r="J10" s="33">
        <f>$C$30*('E Balans VL '!D14+'E Balans VL '!E14)/100/3.6*1000000</f>
        <v>0</v>
      </c>
      <c r="K10" s="33"/>
      <c r="L10" s="33"/>
      <c r="M10" s="33"/>
      <c r="N10" s="33">
        <f>$C$30*'E Balans VL '!Y14/100/3.6*1000000</f>
        <v>580.24950457810155</v>
      </c>
      <c r="O10" s="33"/>
      <c r="P10" s="33"/>
      <c r="R10" s="32"/>
    </row>
    <row r="11" spans="1:18">
      <c r="A11" s="32" t="s">
        <v>54</v>
      </c>
      <c r="B11" s="37">
        <f t="shared" si="0"/>
        <v>185.40980156000001</v>
      </c>
      <c r="C11" s="33"/>
      <c r="D11" s="37">
        <f>IF(ISERROR(TER_onderwijs_gas_kWh/1000),0,TER_onderwijs_gas_kWh/1000)*0.902</f>
        <v>324.57346861170004</v>
      </c>
      <c r="E11" s="33">
        <f>$C$31*'E Balans VL '!I11/100/3.6*1000000</f>
        <v>0.326522197834824</v>
      </c>
      <c r="F11" s="33">
        <f>$C$31*('E Balans VL '!L11+'E Balans VL '!N11)/100/3.6*1000000</f>
        <v>85.607060365062338</v>
      </c>
      <c r="G11" s="34"/>
      <c r="H11" s="33"/>
      <c r="I11" s="33"/>
      <c r="J11" s="33">
        <f>$C$31*('E Balans VL '!D11+'E Balans VL '!E11)/100/3.6*1000000</f>
        <v>0</v>
      </c>
      <c r="K11" s="33"/>
      <c r="L11" s="33"/>
      <c r="M11" s="33"/>
      <c r="N11" s="33">
        <f>$C$31*'E Balans VL '!Y11/100/3.6*1000000</f>
        <v>0.34542102429739663</v>
      </c>
      <c r="O11" s="33"/>
      <c r="P11" s="33"/>
      <c r="R11" s="32"/>
    </row>
    <row r="12" spans="1:18">
      <c r="A12" s="32" t="s">
        <v>259</v>
      </c>
      <c r="B12" s="37">
        <f t="shared" si="0"/>
        <v>1765.3427619000001</v>
      </c>
      <c r="C12" s="33"/>
      <c r="D12" s="37">
        <f>IF(ISERROR(TER_rest_gas_kWh/1000),0,TER_rest_gas_kWh/1000)*0.902</f>
        <v>3803.6857470589998</v>
      </c>
      <c r="E12" s="33">
        <f>$C$32*'E Balans VL '!I8/100/3.6*1000000</f>
        <v>31.081527829358283</v>
      </c>
      <c r="F12" s="33">
        <f>$C$32*('E Balans VL '!L8+'E Balans VL '!N8)/100/3.6*1000000</f>
        <v>454.80759360529146</v>
      </c>
      <c r="G12" s="34"/>
      <c r="H12" s="33"/>
      <c r="I12" s="33"/>
      <c r="J12" s="33">
        <f>$C$32*('E Balans VL '!D8+'E Balans VL '!E8)/100/3.6*1000000</f>
        <v>0</v>
      </c>
      <c r="K12" s="33"/>
      <c r="L12" s="33"/>
      <c r="M12" s="33"/>
      <c r="N12" s="33">
        <f>$C$32*'E Balans VL '!Y8/100/3.6*1000000</f>
        <v>155.77730075407052</v>
      </c>
      <c r="O12" s="33"/>
      <c r="P12" s="33"/>
      <c r="R12" s="32"/>
    </row>
    <row r="13" spans="1:18">
      <c r="A13" s="16" t="s">
        <v>490</v>
      </c>
      <c r="B13" s="247">
        <f ca="1">'lokale energieproductie'!N42+'lokale energieproductie'!N35</f>
        <v>110.25</v>
      </c>
      <c r="C13" s="247">
        <f ca="1">'lokale energieproductie'!O42+'lokale energieproductie'!O35</f>
        <v>157.5</v>
      </c>
      <c r="D13" s="308">
        <f ca="1">('lokale energieproductie'!P35+'lokale energieproductie'!P42)*(-1)</f>
        <v>-315</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11474.996565269998</v>
      </c>
      <c r="C16" s="21">
        <f t="shared" ca="1" si="1"/>
        <v>157.5</v>
      </c>
      <c r="D16" s="21">
        <f t="shared" ca="1" si="1"/>
        <v>18566.392482945521</v>
      </c>
      <c r="E16" s="21">
        <f t="shared" si="1"/>
        <v>249.00761911927489</v>
      </c>
      <c r="F16" s="21">
        <f t="shared" ca="1" si="1"/>
        <v>2845.0579812513283</v>
      </c>
      <c r="G16" s="21">
        <f t="shared" si="1"/>
        <v>0</v>
      </c>
      <c r="H16" s="21">
        <f t="shared" si="1"/>
        <v>0</v>
      </c>
      <c r="I16" s="21">
        <f t="shared" si="1"/>
        <v>0</v>
      </c>
      <c r="J16" s="21">
        <f t="shared" si="1"/>
        <v>0</v>
      </c>
      <c r="K16" s="21">
        <f t="shared" si="1"/>
        <v>0</v>
      </c>
      <c r="L16" s="21">
        <f t="shared" ca="1" si="1"/>
        <v>0</v>
      </c>
      <c r="M16" s="21">
        <f t="shared" si="1"/>
        <v>0</v>
      </c>
      <c r="N16" s="21">
        <f t="shared" ca="1" si="1"/>
        <v>747.36367471476228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0.14791898095670214</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1697.3697984163953</v>
      </c>
      <c r="C20" s="23">
        <f t="shared" ref="C20:P20" ca="1" si="2">C16*C18</f>
        <v>37.429411764705904</v>
      </c>
      <c r="D20" s="23">
        <f t="shared" ca="1" si="2"/>
        <v>3750.4112815549956</v>
      </c>
      <c r="E20" s="23">
        <f t="shared" si="2"/>
        <v>56.524729540075406</v>
      </c>
      <c r="F20" s="23">
        <f t="shared" ca="1" si="2"/>
        <v>759.63048099410469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2831.2152414000002</v>
      </c>
      <c r="C26" s="39">
        <f>IF(ISERROR(B26*3.6/1000000/'E Balans VL '!Z12*100),0,B26*3.6/1000000/'E Balans VL '!Z12*100)</f>
        <v>6.064682995626211E-2</v>
      </c>
      <c r="D26" s="237" t="s">
        <v>659</v>
      </c>
      <c r="F26" s="6"/>
    </row>
    <row r="27" spans="1:18">
      <c r="A27" s="231" t="s">
        <v>52</v>
      </c>
      <c r="B27" s="33">
        <f>IF(ISERROR(TER_horeca_ele_kWh/1000),0,TER_horeca_ele_kWh/1000)</f>
        <v>1158.2598725999999</v>
      </c>
      <c r="C27" s="39">
        <f>IF(ISERROR(B27*3.6/1000000/'E Balans VL '!Z9*100),0,B27*3.6/1000000/'E Balans VL '!Z9*100)</f>
        <v>9.2946328705927617E-2</v>
      </c>
      <c r="D27" s="237" t="s">
        <v>659</v>
      </c>
      <c r="F27" s="6"/>
    </row>
    <row r="28" spans="1:18">
      <c r="A28" s="171" t="s">
        <v>51</v>
      </c>
      <c r="B28" s="33">
        <f>IF(ISERROR(TER_handel_ele_kWh/1000),0,TER_handel_ele_kWh/1000)</f>
        <v>4469.6479890000001</v>
      </c>
      <c r="C28" s="39">
        <f>IF(ISERROR(B28*3.6/1000000/'E Balans VL '!Z13*100),0,B28*3.6/1000000/'E Balans VL '!Z13*100)</f>
        <v>0.13182897879720709</v>
      </c>
      <c r="D28" s="237" t="s">
        <v>659</v>
      </c>
      <c r="F28" s="6"/>
    </row>
    <row r="29" spans="1:18">
      <c r="A29" s="231" t="s">
        <v>50</v>
      </c>
      <c r="B29" s="33">
        <f>IF(ISERROR(TER_gezond_ele_kWh/1000),0,TER_gezond_ele_kWh/1000)</f>
        <v>218.57654115</v>
      </c>
      <c r="C29" s="39">
        <f>IF(ISERROR(B29*3.6/1000000/'E Balans VL '!Z10*100),0,B29*3.6/1000000/'E Balans VL '!Z10*100)</f>
        <v>2.3338114337993945E-2</v>
      </c>
      <c r="D29" s="237" t="s">
        <v>659</v>
      </c>
      <c r="F29" s="6"/>
    </row>
    <row r="30" spans="1:18">
      <c r="A30" s="231" t="s">
        <v>49</v>
      </c>
      <c r="B30" s="33">
        <f>IF(ISERROR(TER_ander_ele_kWh/1000),0,TER_ander_ele_kWh/1000)</f>
        <v>736.29435765999995</v>
      </c>
      <c r="C30" s="39">
        <f>IF(ISERROR(B30*3.6/1000000/'E Balans VL '!Z14*100),0,B30*3.6/1000000/'E Balans VL '!Z14*100)</f>
        <v>5.5615204145376441E-2</v>
      </c>
      <c r="D30" s="237" t="s">
        <v>659</v>
      </c>
      <c r="F30" s="6"/>
    </row>
    <row r="31" spans="1:18">
      <c r="A31" s="231" t="s">
        <v>54</v>
      </c>
      <c r="B31" s="33">
        <f>IF(ISERROR(TER_onderwijs_ele_kWh/1000),0,TER_onderwijs_ele_kWh/1000)</f>
        <v>185.40980156000001</v>
      </c>
      <c r="C31" s="39">
        <f>IF(ISERROR(B31*3.6/1000000/'E Balans VL '!Z11*100),0,B31*3.6/1000000/'E Balans VL '!Z11*100)</f>
        <v>3.7440428392301724E-2</v>
      </c>
      <c r="D31" s="237" t="s">
        <v>659</v>
      </c>
    </row>
    <row r="32" spans="1:18">
      <c r="A32" s="231" t="s">
        <v>259</v>
      </c>
      <c r="B32" s="33">
        <f>IF(ISERROR(TER_rest_ele_kWh/1000),0,TER_rest_ele_kWh/1000)</f>
        <v>1765.3427619000001</v>
      </c>
      <c r="C32" s="39">
        <f>IF(ISERROR(B32*3.6/1000000/'E Balans VL '!Z8*100),0,B32*3.6/1000000/'E Balans VL '!Z8*100)</f>
        <v>1.4637149718213038E-2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6390.4598357400009</v>
      </c>
      <c r="C5" s="17">
        <f>IF(ISERROR('Eigen informatie GS &amp; warmtenet'!B59),0,'Eigen informatie GS &amp; warmtenet'!B59)</f>
        <v>0</v>
      </c>
      <c r="D5" s="30">
        <f>SUM(D6:D15)</f>
        <v>9564.8595508658727</v>
      </c>
      <c r="E5" s="17">
        <f>SUM(E6:E15)</f>
        <v>729.08258290546087</v>
      </c>
      <c r="F5" s="17">
        <f>SUM(F6:F15)</f>
        <v>2890.2737781142923</v>
      </c>
      <c r="G5" s="18"/>
      <c r="H5" s="17"/>
      <c r="I5" s="17"/>
      <c r="J5" s="17">
        <f>SUM(J6:J15)</f>
        <v>20.358132750045943</v>
      </c>
      <c r="K5" s="17"/>
      <c r="L5" s="17"/>
      <c r="M5" s="17"/>
      <c r="N5" s="17">
        <f>SUM(N6:N15)</f>
        <v>786.84499880117369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552.36944513999993</v>
      </c>
      <c r="C8" s="33"/>
      <c r="D8" s="37">
        <f>IF( ISERROR(IND_metaal_Gas_kWH/1000),0,IND_metaal_Gas_kWH/1000)*0.902</f>
        <v>40.532670896872006</v>
      </c>
      <c r="E8" s="33">
        <f>C30*'E Balans VL '!I18/100/3.6*1000000</f>
        <v>19.87592366698459</v>
      </c>
      <c r="F8" s="33">
        <f>C30*'E Balans VL '!L18/100/3.6*1000000+C30*'E Balans VL '!N18/100/3.6*1000000</f>
        <v>241.20183080171901</v>
      </c>
      <c r="G8" s="34"/>
      <c r="H8" s="33"/>
      <c r="I8" s="33"/>
      <c r="J8" s="40">
        <f>C30*'E Balans VL '!D18/100/3.6*1000000+C30*'E Balans VL '!E18/100/3.6*1000000</f>
        <v>0</v>
      </c>
      <c r="K8" s="33"/>
      <c r="L8" s="33"/>
      <c r="M8" s="33"/>
      <c r="N8" s="33">
        <f>C30*'E Balans VL '!Y18/100/3.6*1000000</f>
        <v>27.684381215604255</v>
      </c>
      <c r="O8" s="33"/>
      <c r="P8" s="33"/>
      <c r="R8" s="32"/>
    </row>
    <row r="9" spans="1:18">
      <c r="A9" s="6" t="s">
        <v>32</v>
      </c>
      <c r="B9" s="37">
        <f t="shared" si="0"/>
        <v>2125.4899786999999</v>
      </c>
      <c r="C9" s="33"/>
      <c r="D9" s="37">
        <f>IF( ISERROR(IND_andere_gas_kWh/1000),0,IND_andere_gas_kWh/1000)*0.902</f>
        <v>1945.3695637727999</v>
      </c>
      <c r="E9" s="33">
        <f>C31*'E Balans VL '!I19/100/3.6*1000000</f>
        <v>542.37695200650546</v>
      </c>
      <c r="F9" s="33">
        <f>C31*'E Balans VL '!L19/100/3.6*1000000+C31*'E Balans VL '!N19/100/3.6*1000000</f>
        <v>1829.8871136230418</v>
      </c>
      <c r="G9" s="34"/>
      <c r="H9" s="33"/>
      <c r="I9" s="33"/>
      <c r="J9" s="40">
        <f>C31*'E Balans VL '!D19/100/3.6*1000000+C31*'E Balans VL '!E19/100/3.6*1000000</f>
        <v>0</v>
      </c>
      <c r="K9" s="33"/>
      <c r="L9" s="33"/>
      <c r="M9" s="33"/>
      <c r="N9" s="33">
        <f>C31*'E Balans VL '!Y19/100/3.6*1000000</f>
        <v>167.6762874387004</v>
      </c>
      <c r="O9" s="33"/>
      <c r="P9" s="33"/>
      <c r="R9" s="32"/>
    </row>
    <row r="10" spans="1:18">
      <c r="A10" s="6" t="s">
        <v>40</v>
      </c>
      <c r="B10" s="37">
        <f t="shared" si="0"/>
        <v>1201.4566368000001</v>
      </c>
      <c r="C10" s="33"/>
      <c r="D10" s="37">
        <f>IF( ISERROR(IND_voed_gas_kWh/1000),0,IND_voed_gas_kWh/1000)*0.902</f>
        <v>1488.0990557774001</v>
      </c>
      <c r="E10" s="33">
        <f>C32*'E Balans VL '!I20/100/3.6*1000000</f>
        <v>30.542677442611332</v>
      </c>
      <c r="F10" s="33">
        <f>C32*'E Balans VL '!L20/100/3.6*1000000+C32*'E Balans VL '!N20/100/3.6*1000000</f>
        <v>271.87160148834607</v>
      </c>
      <c r="G10" s="34"/>
      <c r="H10" s="33"/>
      <c r="I10" s="33"/>
      <c r="J10" s="40">
        <f>C32*'E Balans VL '!D20/100/3.6*1000000+C32*'E Balans VL '!E20/100/3.6*1000000</f>
        <v>0</v>
      </c>
      <c r="K10" s="33"/>
      <c r="L10" s="33"/>
      <c r="M10" s="33"/>
      <c r="N10" s="33">
        <f>C32*'E Balans VL '!Y20/100/3.6*1000000</f>
        <v>450.57880556311039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2511.1437751000003</v>
      </c>
      <c r="C15" s="33"/>
      <c r="D15" s="37">
        <f>IF( ISERROR(IND_rest_gas_kWh/1000),0,IND_rest_gas_kWh/1000)*0.902</f>
        <v>6090.8582604187995</v>
      </c>
      <c r="E15" s="33">
        <f>C37*'E Balans VL '!I15/100/3.6*1000000</f>
        <v>136.28702978935951</v>
      </c>
      <c r="F15" s="33">
        <f>C37*'E Balans VL '!L15/100/3.6*1000000+C37*'E Balans VL '!N15/100/3.6*1000000</f>
        <v>547.31323220118509</v>
      </c>
      <c r="G15" s="34"/>
      <c r="H15" s="33"/>
      <c r="I15" s="33"/>
      <c r="J15" s="40">
        <f>C37*'E Balans VL '!D15/100/3.6*1000000+C37*'E Balans VL '!E15/100/3.6*1000000</f>
        <v>20.358132750045943</v>
      </c>
      <c r="K15" s="33"/>
      <c r="L15" s="33"/>
      <c r="M15" s="33"/>
      <c r="N15" s="33">
        <f>C37*'E Balans VL '!Y15/100/3.6*1000000</f>
        <v>140.90552458375856</v>
      </c>
      <c r="O15" s="33"/>
      <c r="P15" s="33"/>
      <c r="R15" s="32"/>
    </row>
    <row r="16" spans="1:18">
      <c r="A16" s="16" t="s">
        <v>490</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6390.4598357400009</v>
      </c>
      <c r="C18" s="21">
        <f>C5+C16</f>
        <v>0</v>
      </c>
      <c r="D18" s="21">
        <f>MAX((D5+D16),0)</f>
        <v>9564.8595508658727</v>
      </c>
      <c r="E18" s="21">
        <f>MAX((E5+E16),0)</f>
        <v>729.08258290546087</v>
      </c>
      <c r="F18" s="21">
        <f>MAX((F5+F16),0)</f>
        <v>2890.2737781142923</v>
      </c>
      <c r="G18" s="21"/>
      <c r="H18" s="21"/>
      <c r="I18" s="21"/>
      <c r="J18" s="21">
        <f>MAX((J5+J16),0)</f>
        <v>20.358132750045943</v>
      </c>
      <c r="K18" s="21"/>
      <c r="L18" s="21">
        <f>MAX((L5+L16),0)</f>
        <v>0</v>
      </c>
      <c r="M18" s="21"/>
      <c r="N18" s="21">
        <f>MAX((N5+N16),0)</f>
        <v>786.84499880117369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0.14791898095670214</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945.27030674739513</v>
      </c>
      <c r="C22" s="23">
        <f ca="1">C18*C20</f>
        <v>0</v>
      </c>
      <c r="D22" s="23">
        <f>D18*D20</f>
        <v>1932.1016292749064</v>
      </c>
      <c r="E22" s="23">
        <f>E18*E20</f>
        <v>165.50174631953962</v>
      </c>
      <c r="F22" s="23">
        <f>F18*F20</f>
        <v>771.70309875651606</v>
      </c>
      <c r="G22" s="23"/>
      <c r="H22" s="23"/>
      <c r="I22" s="23"/>
      <c r="J22" s="23">
        <f>J18*J20</f>
        <v>7.2067789935162638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552.36944513999993</v>
      </c>
      <c r="C30" s="39">
        <f>IF(ISERROR(B30*3.6/1000000/'E Balans VL '!Z18*100),0,B30*3.6/1000000/'E Balans VL '!Z18*100)</f>
        <v>0.11703524293637739</v>
      </c>
      <c r="D30" s="237" t="s">
        <v>659</v>
      </c>
    </row>
    <row r="31" spans="1:18">
      <c r="A31" s="6" t="s">
        <v>32</v>
      </c>
      <c r="B31" s="37">
        <f>IF( ISERROR(IND_ander_ele_kWh/1000),0,IND_ander_ele_kWh/1000)</f>
        <v>2125.4899786999999</v>
      </c>
      <c r="C31" s="39">
        <f>IF(ISERROR(B31*3.6/1000000/'E Balans VL '!Z19*100),0,B31*3.6/1000000/'E Balans VL '!Z19*100)</f>
        <v>8.946669947947497E-2</v>
      </c>
      <c r="D31" s="237" t="s">
        <v>659</v>
      </c>
    </row>
    <row r="32" spans="1:18">
      <c r="A32" s="171" t="s">
        <v>40</v>
      </c>
      <c r="B32" s="37">
        <f>IF( ISERROR(IND_voed_ele_kWh/1000),0,IND_voed_ele_kWh/1000)</f>
        <v>1201.4566368000001</v>
      </c>
      <c r="C32" s="39">
        <f>IF(ISERROR(B32*3.6/1000000/'E Balans VL '!Z20*100),0,B32*3.6/1000000/'E Balans VL '!Z20*100)</f>
        <v>0.20071692472436647</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2511.1437751000003</v>
      </c>
      <c r="C37" s="39">
        <f>IF(ISERROR(B37*3.6/1000000/'E Balans VL '!Z15*100),0,B37*3.6/1000000/'E Balans VL '!Z15*100)</f>
        <v>2.0273436055818893E-2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5473.4640688699992</v>
      </c>
      <c r="C5" s="17">
        <f>'Eigen informatie GS &amp; warmtenet'!B60</f>
        <v>0</v>
      </c>
      <c r="D5" s="30">
        <f>IF(ISERROR(SUM(LB_lb_gas_kWh,LB_rest_gas_kWh)/1000),0,SUM(LB_lb_gas_kWh,LB_rest_gas_kWh)/1000)*0.902</f>
        <v>20979.289799569859</v>
      </c>
      <c r="E5" s="17">
        <f>B17*'E Balans VL '!I25/3.6*1000000/100</f>
        <v>141.13962266385471</v>
      </c>
      <c r="F5" s="17">
        <f>B17*('E Balans VL '!L25/3.6*1000000+'E Balans VL '!N25/3.6*1000000)/100</f>
        <v>20006.553542316382</v>
      </c>
      <c r="G5" s="18"/>
      <c r="H5" s="17"/>
      <c r="I5" s="17"/>
      <c r="J5" s="17">
        <f>('E Balans VL '!D25+'E Balans VL '!E25)/3.6*1000000*landbouw!B17/100</f>
        <v>787.9774754715711</v>
      </c>
      <c r="K5" s="17"/>
      <c r="L5" s="17">
        <f>L6*(-1)</f>
        <v>0</v>
      </c>
      <c r="M5" s="17"/>
      <c r="N5" s="17">
        <f>N6*(-1)</f>
        <v>0</v>
      </c>
      <c r="O5" s="17"/>
      <c r="P5" s="17"/>
      <c r="R5" s="32"/>
    </row>
    <row r="6" spans="1:18">
      <c r="A6" s="16" t="s">
        <v>490</v>
      </c>
      <c r="B6" s="17" t="s">
        <v>210</v>
      </c>
      <c r="C6" s="17">
        <f>'lokale energieproductie'!O43+'lokale energieproductie'!O36</f>
        <v>43200</v>
      </c>
      <c r="D6" s="308">
        <f>('lokale energieproductie'!P36+'lokale energieproductie'!P43)*(-1)</f>
        <v>-86400</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5473.4640688699992</v>
      </c>
      <c r="C8" s="21">
        <f>C5+C6</f>
        <v>43200</v>
      </c>
      <c r="D8" s="21">
        <f>MAX((D5+D6),0)</f>
        <v>0</v>
      </c>
      <c r="E8" s="21">
        <f>MAX((E5+E6),0)</f>
        <v>141.13962266385471</v>
      </c>
      <c r="F8" s="21">
        <f>MAX((F5+F6),0)</f>
        <v>20006.553542316382</v>
      </c>
      <c r="G8" s="21"/>
      <c r="H8" s="21"/>
      <c r="I8" s="21"/>
      <c r="J8" s="21">
        <f>MAX((J5+J6),0)</f>
        <v>787.9774754715711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0.14791898095670214</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809.62922737037479</v>
      </c>
      <c r="C12" s="23">
        <f ca="1">C8*C10</f>
        <v>10266.352941176476</v>
      </c>
      <c r="D12" s="23">
        <f>D8*D10</f>
        <v>0</v>
      </c>
      <c r="E12" s="23">
        <f>E8*E10</f>
        <v>32.038694344695017</v>
      </c>
      <c r="F12" s="23">
        <f>F8*F10</f>
        <v>5341.7497957984742</v>
      </c>
      <c r="G12" s="23"/>
      <c r="H12" s="23"/>
      <c r="I12" s="23"/>
      <c r="J12" s="23">
        <f>J8*J10</f>
        <v>278.94402631693617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0.77179468912371174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415.58766854774086</v>
      </c>
      <c r="C26" s="247">
        <f>B26*'GWP N2O_CH4'!B5</f>
        <v>8727.3410395025585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218.34685622170821</v>
      </c>
      <c r="C27" s="247">
        <f>B27*'GWP N2O_CH4'!B5</f>
        <v>4585.2839806558723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6.4038478426335308</v>
      </c>
      <c r="C28" s="247">
        <f>B28*'GWP N2O_CH4'!B4</f>
        <v>1985.1928312163946</v>
      </c>
      <c r="D28" s="50"/>
    </row>
    <row r="29" spans="1:4">
      <c r="A29" s="41" t="s">
        <v>276</v>
      </c>
      <c r="B29" s="247">
        <f>B34*'ha_N2O bodem landbouw'!B4</f>
        <v>23.860123259055595</v>
      </c>
      <c r="C29" s="247">
        <f>B29*'GWP N2O_CH4'!B4</f>
        <v>7396.6382103072347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5.3698243301026228E-3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1.2236136586745515E-4</v>
      </c>
      <c r="C5" s="437" t="s">
        <v>210</v>
      </c>
      <c r="D5" s="422">
        <f>SUM(D6:D11)</f>
        <v>2.6922977630013562E-4</v>
      </c>
      <c r="E5" s="422">
        <f>SUM(E6:E11)</f>
        <v>1.3177380522587162E-3</v>
      </c>
      <c r="F5" s="435" t="s">
        <v>210</v>
      </c>
      <c r="G5" s="422">
        <f>SUM(G6:G11)</f>
        <v>0.603607240096935</v>
      </c>
      <c r="H5" s="422">
        <f>SUM(H6:H11)</f>
        <v>9.3106661218536377E-2</v>
      </c>
      <c r="I5" s="437" t="s">
        <v>210</v>
      </c>
      <c r="J5" s="437" t="s">
        <v>210</v>
      </c>
      <c r="K5" s="437" t="s">
        <v>210</v>
      </c>
      <c r="L5" s="437" t="s">
        <v>210</v>
      </c>
      <c r="M5" s="422">
        <f>SUM(M6:M11)</f>
        <v>2.1779801763343602E-2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2.04789069412532E-5</v>
      </c>
      <c r="C6" s="423"/>
      <c r="D6" s="865">
        <f>vkm_GW_PW*SUMIFS(TableVerdeelsleutelVkm[CNG],TableVerdeelsleutelVkm[Voertuigtype],"Lichte voertuigen")*SUMIFS(TableECFTransport[EnergieConsumptieFactor (PJ per km)],TableECFTransport[Index],CONCATENATE($A6,"_CNG_CNG"))</f>
        <v>3.6916847801016541E-5</v>
      </c>
      <c r="E6" s="865">
        <f>vkm_GW_PW*SUMIFS(TableVerdeelsleutelVkm[LPG],TableVerdeelsleutelVkm[Voertuigtype],"Lichte voertuigen")*SUMIFS(TableECFTransport[EnergieConsumptieFactor (PJ per km)],TableECFTransport[Index],CONCATENATE($A6,"_LPG_LPG"))</f>
        <v>1.6676913849322531E-4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4.5561101007775537E-2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1.2675577422051259E-2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1.8132449746928584E-3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3.5723823392545193E-2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6.4462979163762491E-7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1.1238734864880981E-3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3.8044301033282947E-5</v>
      </c>
      <c r="C8" s="423"/>
      <c r="D8" s="425">
        <f>vkm_NGW_PW*SUMIFS(TableVerdeelsleutelVkm[CNG],TableVerdeelsleutelVkm[Voertuigtype],"Lichte voertuigen")*SUMIFS(TableECFTransport[EnergieConsumptieFactor (PJ per km)],TableECFTransport[Index],CONCATENATE($A8,"_CNG_CNG"))</f>
        <v>1.1656894422265639E-4</v>
      </c>
      <c r="E8" s="425">
        <f>vkm_NGW_PW*SUMIFS(TableVerdeelsleutelVkm[LPG],TableVerdeelsleutelVkm[Voertuigtype],"Lichte voertuigen")*SUMIFS(TableECFTransport[EnergieConsumptieFactor (PJ per km)],TableECFTransport[Index],CONCATENATE($A8,"_LPG_LPG"))</f>
        <v>4.9984805355693027E-4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0.12822235995464307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3.8894556125569676E-2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5.1995683391368539E-3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3.759226235711606E-2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8.3738992907012619E-7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1.1826594479641061E-3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6.3838157892919003E-5</v>
      </c>
      <c r="C10" s="423"/>
      <c r="D10" s="425">
        <f>vkm_SW_PW*SUMIFS(TableVerdeelsleutelVkm[CNG],TableVerdeelsleutelVkm[Voertuigtype],"Lichte voertuigen")*SUMIFS(TableECFTransport[EnergieConsumptieFactor (PJ per km)],TableECFTransport[Index],CONCATENATE($A10,"_CNG_CNG"))</f>
        <v>1.1574398427646267E-4</v>
      </c>
      <c r="E10" s="425">
        <f>vkm_SW_PW*SUMIFS(TableVerdeelsleutelVkm[LPG],TableVerdeelsleutelVkm[Voertuigtype],"Lichte voertuigen")*SUMIFS(TableECFTransport[EnergieConsumptieFactor (PJ per km)],TableECFTransport[Index],CONCATENATE($A10,"_LPG_LPG"))</f>
        <v>6.5112086020856067E-4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0.15964864979833404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4.1531251088700018E-2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6.2672517069816466E-3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0.19685904358652107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3.7945624947016907E-6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6.1932038080800382E-3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33.98926829651532</v>
      </c>
      <c r="C14" s="21"/>
      <c r="D14" s="21">
        <f t="shared" ref="D14:M14" si="0">((D5)*10^9/3600)+D12</f>
        <v>74.786048972259891</v>
      </c>
      <c r="E14" s="21">
        <f t="shared" si="0"/>
        <v>366.0383478496434</v>
      </c>
      <c r="F14" s="21"/>
      <c r="G14" s="21">
        <f t="shared" si="0"/>
        <v>167668.67780470417</v>
      </c>
      <c r="H14" s="21">
        <f t="shared" si="0"/>
        <v>25862.961449593437</v>
      </c>
      <c r="I14" s="21"/>
      <c r="J14" s="21"/>
      <c r="K14" s="21"/>
      <c r="L14" s="21"/>
      <c r="M14" s="21">
        <f t="shared" si="0"/>
        <v>6049.9449342621119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0.14791898095670214</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5.027657929884489</v>
      </c>
      <c r="C18" s="23"/>
      <c r="D18" s="23">
        <f t="shared" ref="D18:M18" si="1">D14*D16</f>
        <v>15.1067818923965</v>
      </c>
      <c r="E18" s="23">
        <f t="shared" si="1"/>
        <v>83.090704961869051</v>
      </c>
      <c r="F18" s="23"/>
      <c r="G18" s="23">
        <f t="shared" si="1"/>
        <v>44767.536973856018</v>
      </c>
      <c r="H18" s="23">
        <f t="shared" si="1"/>
        <v>6439.8774009487661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6.7074701978398765E-3</v>
      </c>
      <c r="H50" s="319">
        <f t="shared" si="2"/>
        <v>0</v>
      </c>
      <c r="I50" s="319">
        <f t="shared" si="2"/>
        <v>0</v>
      </c>
      <c r="J50" s="319">
        <f t="shared" si="2"/>
        <v>0</v>
      </c>
      <c r="K50" s="319">
        <f t="shared" si="2"/>
        <v>0</v>
      </c>
      <c r="L50" s="319">
        <f t="shared" si="2"/>
        <v>0</v>
      </c>
      <c r="M50" s="319">
        <f t="shared" si="2"/>
        <v>2.0778808339110274E-4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6.7074701978398765E-3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2.0778808339110274E-4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1863.1861660666325</v>
      </c>
      <c r="H54" s="21">
        <f t="shared" si="3"/>
        <v>0</v>
      </c>
      <c r="I54" s="21">
        <f t="shared" si="3"/>
        <v>0</v>
      </c>
      <c r="J54" s="21">
        <f t="shared" si="3"/>
        <v>0</v>
      </c>
      <c r="K54" s="21">
        <f t="shared" si="3"/>
        <v>0</v>
      </c>
      <c r="L54" s="21">
        <f t="shared" si="3"/>
        <v>0</v>
      </c>
      <c r="M54" s="21">
        <f t="shared" si="3"/>
        <v>57.71891205308409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0.14791898095670214</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497.47070633979092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12581.525565269998</v>
      </c>
      <c r="D10" s="978">
        <f ca="1">tertiair!C16</f>
        <v>157.5</v>
      </c>
      <c r="E10" s="978">
        <f ca="1">tertiair!D16</f>
        <v>18566.392482945521</v>
      </c>
      <c r="F10" s="978">
        <f>tertiair!E16</f>
        <v>249.00761911927489</v>
      </c>
      <c r="G10" s="978">
        <f ca="1">tertiair!F16</f>
        <v>2845.0579812513283</v>
      </c>
      <c r="H10" s="978">
        <f>tertiair!G16</f>
        <v>0</v>
      </c>
      <c r="I10" s="978">
        <f>tertiair!H16</f>
        <v>0</v>
      </c>
      <c r="J10" s="978">
        <f>tertiair!I16</f>
        <v>0</v>
      </c>
      <c r="K10" s="978">
        <f>tertiair!J16</f>
        <v>0</v>
      </c>
      <c r="L10" s="978">
        <f>tertiair!K16</f>
        <v>0</v>
      </c>
      <c r="M10" s="978">
        <f ca="1">tertiair!L16</f>
        <v>0</v>
      </c>
      <c r="N10" s="978">
        <f>tertiair!M16</f>
        <v>0</v>
      </c>
      <c r="O10" s="978">
        <f ca="1">tertiair!N16</f>
        <v>747.36367471476228</v>
      </c>
      <c r="P10" s="978">
        <f>tertiair!O16</f>
        <v>1.5633333333333335</v>
      </c>
      <c r="Q10" s="979">
        <f>tertiair!P16</f>
        <v>0</v>
      </c>
      <c r="R10" s="674">
        <f ca="1">SUM(C10:Q10)</f>
        <v>35148.410656634216</v>
      </c>
      <c r="S10" s="67"/>
    </row>
    <row r="11" spans="1:19" s="447" customFormat="1">
      <c r="A11" s="783" t="s">
        <v>224</v>
      </c>
      <c r="B11" s="788"/>
      <c r="C11" s="978">
        <f>huishoudens!B8</f>
        <v>33792.776461264912</v>
      </c>
      <c r="D11" s="978">
        <f>huishoudens!C8</f>
        <v>0</v>
      </c>
      <c r="E11" s="978">
        <f>huishoudens!D8</f>
        <v>77446.484980886322</v>
      </c>
      <c r="F11" s="978">
        <f>huishoudens!E8</f>
        <v>25134.121210319179</v>
      </c>
      <c r="G11" s="978">
        <f>huishoudens!F8</f>
        <v>0</v>
      </c>
      <c r="H11" s="978">
        <f>huishoudens!G8</f>
        <v>0</v>
      </c>
      <c r="I11" s="978">
        <f>huishoudens!H8</f>
        <v>0</v>
      </c>
      <c r="J11" s="978">
        <f>huishoudens!I8</f>
        <v>0</v>
      </c>
      <c r="K11" s="978">
        <f>huishoudens!J8</f>
        <v>320.44253072388568</v>
      </c>
      <c r="L11" s="978">
        <f>huishoudens!K8</f>
        <v>0</v>
      </c>
      <c r="M11" s="978">
        <f>huishoudens!L8</f>
        <v>0</v>
      </c>
      <c r="N11" s="978">
        <f>huishoudens!M8</f>
        <v>0</v>
      </c>
      <c r="O11" s="978">
        <f>huishoudens!N8</f>
        <v>24842.769819657162</v>
      </c>
      <c r="P11" s="978">
        <f>huishoudens!O8</f>
        <v>221.99333333333334</v>
      </c>
      <c r="Q11" s="979">
        <f>huishoudens!P8</f>
        <v>858</v>
      </c>
      <c r="R11" s="674">
        <f>SUM(C11:Q11)</f>
        <v>162616.58833618485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6390.4598357400009</v>
      </c>
      <c r="D13" s="978">
        <f>industrie!C18</f>
        <v>0</v>
      </c>
      <c r="E13" s="978">
        <f>industrie!D18</f>
        <v>9564.8595508658727</v>
      </c>
      <c r="F13" s="978">
        <f>industrie!E18</f>
        <v>729.08258290546087</v>
      </c>
      <c r="G13" s="978">
        <f>industrie!F18</f>
        <v>2890.2737781142923</v>
      </c>
      <c r="H13" s="978">
        <f>industrie!G18</f>
        <v>0</v>
      </c>
      <c r="I13" s="978">
        <f>industrie!H18</f>
        <v>0</v>
      </c>
      <c r="J13" s="978">
        <f>industrie!I18</f>
        <v>0</v>
      </c>
      <c r="K13" s="978">
        <f>industrie!J18</f>
        <v>20.358132750045943</v>
      </c>
      <c r="L13" s="978">
        <f>industrie!K18</f>
        <v>0</v>
      </c>
      <c r="M13" s="978">
        <f>industrie!L18</f>
        <v>0</v>
      </c>
      <c r="N13" s="978">
        <f>industrie!M18</f>
        <v>0</v>
      </c>
      <c r="O13" s="978">
        <f>industrie!N18</f>
        <v>786.84499880117369</v>
      </c>
      <c r="P13" s="978">
        <f>industrie!O18</f>
        <v>0</v>
      </c>
      <c r="Q13" s="979">
        <f>industrie!P18</f>
        <v>0</v>
      </c>
      <c r="R13" s="674">
        <f>SUM(C13:Q13)</f>
        <v>20381.878879176849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52764.761862274914</v>
      </c>
      <c r="D16" s="706">
        <f t="shared" ref="D16:R16" ca="1" si="0">SUM(D9:D15)</f>
        <v>157.5</v>
      </c>
      <c r="E16" s="706">
        <f t="shared" ca="1" si="0"/>
        <v>105577.73701469772</v>
      </c>
      <c r="F16" s="706">
        <f t="shared" si="0"/>
        <v>26112.211412343913</v>
      </c>
      <c r="G16" s="706">
        <f t="shared" ca="1" si="0"/>
        <v>5735.3317593656211</v>
      </c>
      <c r="H16" s="706">
        <f t="shared" si="0"/>
        <v>0</v>
      </c>
      <c r="I16" s="706">
        <f t="shared" si="0"/>
        <v>0</v>
      </c>
      <c r="J16" s="706">
        <f t="shared" si="0"/>
        <v>0</v>
      </c>
      <c r="K16" s="706">
        <f t="shared" si="0"/>
        <v>340.80066347393165</v>
      </c>
      <c r="L16" s="706">
        <f t="shared" si="0"/>
        <v>0</v>
      </c>
      <c r="M16" s="706">
        <f t="shared" ca="1" si="0"/>
        <v>0</v>
      </c>
      <c r="N16" s="706">
        <f t="shared" si="0"/>
        <v>0</v>
      </c>
      <c r="O16" s="706">
        <f t="shared" ca="1" si="0"/>
        <v>26376.978493173097</v>
      </c>
      <c r="P16" s="706">
        <f t="shared" si="0"/>
        <v>223.55666666666667</v>
      </c>
      <c r="Q16" s="706">
        <f t="shared" si="0"/>
        <v>858</v>
      </c>
      <c r="R16" s="706">
        <f t="shared" ca="1" si="0"/>
        <v>218146.87787199594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1863.1861660666325</v>
      </c>
      <c r="I19" s="978">
        <f>transport!H54</f>
        <v>0</v>
      </c>
      <c r="J19" s="978">
        <f>transport!I54</f>
        <v>0</v>
      </c>
      <c r="K19" s="978">
        <f>transport!J54</f>
        <v>0</v>
      </c>
      <c r="L19" s="978">
        <f>transport!K54</f>
        <v>0</v>
      </c>
      <c r="M19" s="978">
        <f>transport!L54</f>
        <v>0</v>
      </c>
      <c r="N19" s="978">
        <f>transport!M54</f>
        <v>57.71891205308409</v>
      </c>
      <c r="O19" s="978">
        <f>transport!N54</f>
        <v>0</v>
      </c>
      <c r="P19" s="978">
        <f>transport!O54</f>
        <v>0</v>
      </c>
      <c r="Q19" s="979">
        <f>transport!P54</f>
        <v>0</v>
      </c>
      <c r="R19" s="674">
        <f>SUM(C19:Q19)</f>
        <v>1920.9050781197166</v>
      </c>
      <c r="S19" s="67"/>
    </row>
    <row r="20" spans="1:19" s="447" customFormat="1">
      <c r="A20" s="783" t="s">
        <v>306</v>
      </c>
      <c r="B20" s="788"/>
      <c r="C20" s="978">
        <f>transport!B14</f>
        <v>33.98926829651532</v>
      </c>
      <c r="D20" s="978">
        <f>transport!C14</f>
        <v>0</v>
      </c>
      <c r="E20" s="978">
        <f>transport!D14</f>
        <v>74.786048972259891</v>
      </c>
      <c r="F20" s="978">
        <f>transport!E14</f>
        <v>366.0383478496434</v>
      </c>
      <c r="G20" s="978">
        <f>transport!F14</f>
        <v>0</v>
      </c>
      <c r="H20" s="978">
        <f>transport!G14</f>
        <v>167668.67780470417</v>
      </c>
      <c r="I20" s="978">
        <f>transport!H14</f>
        <v>25862.961449593437</v>
      </c>
      <c r="J20" s="978">
        <f>transport!I14</f>
        <v>0</v>
      </c>
      <c r="K20" s="978">
        <f>transport!J14</f>
        <v>0</v>
      </c>
      <c r="L20" s="978">
        <f>transport!K14</f>
        <v>0</v>
      </c>
      <c r="M20" s="978">
        <f>transport!L14</f>
        <v>0</v>
      </c>
      <c r="N20" s="978">
        <f>transport!M14</f>
        <v>6049.9449342621119</v>
      </c>
      <c r="O20" s="978">
        <f>transport!N14</f>
        <v>0</v>
      </c>
      <c r="P20" s="978">
        <f>transport!O14</f>
        <v>0</v>
      </c>
      <c r="Q20" s="979">
        <f>transport!P14</f>
        <v>0</v>
      </c>
      <c r="R20" s="674">
        <f>SUM(C20:Q20)</f>
        <v>200056.39785367812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33.98926829651532</v>
      </c>
      <c r="D22" s="786">
        <f t="shared" ref="D22:R22" si="1">SUM(D18:D21)</f>
        <v>0</v>
      </c>
      <c r="E22" s="786">
        <f t="shared" si="1"/>
        <v>74.786048972259891</v>
      </c>
      <c r="F22" s="786">
        <f t="shared" si="1"/>
        <v>366.0383478496434</v>
      </c>
      <c r="G22" s="786">
        <f t="shared" si="1"/>
        <v>0</v>
      </c>
      <c r="H22" s="786">
        <f t="shared" si="1"/>
        <v>169531.86397077079</v>
      </c>
      <c r="I22" s="786">
        <f t="shared" si="1"/>
        <v>25862.961449593437</v>
      </c>
      <c r="J22" s="786">
        <f t="shared" si="1"/>
        <v>0</v>
      </c>
      <c r="K22" s="786">
        <f t="shared" si="1"/>
        <v>0</v>
      </c>
      <c r="L22" s="786">
        <f t="shared" si="1"/>
        <v>0</v>
      </c>
      <c r="M22" s="786">
        <f t="shared" si="1"/>
        <v>0</v>
      </c>
      <c r="N22" s="786">
        <f t="shared" si="1"/>
        <v>6107.6638463151958</v>
      </c>
      <c r="O22" s="786">
        <f t="shared" si="1"/>
        <v>0</v>
      </c>
      <c r="P22" s="786">
        <f t="shared" si="1"/>
        <v>0</v>
      </c>
      <c r="Q22" s="786">
        <f t="shared" si="1"/>
        <v>0</v>
      </c>
      <c r="R22" s="786">
        <f t="shared" si="1"/>
        <v>201977.30293179784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5473.4640688699992</v>
      </c>
      <c r="D24" s="978">
        <f>+landbouw!C8</f>
        <v>43200</v>
      </c>
      <c r="E24" s="978">
        <f>+landbouw!D8</f>
        <v>0</v>
      </c>
      <c r="F24" s="978">
        <f>+landbouw!E8</f>
        <v>141.13962266385471</v>
      </c>
      <c r="G24" s="978">
        <f>+landbouw!F8</f>
        <v>20006.553542316382</v>
      </c>
      <c r="H24" s="978">
        <f>+landbouw!G8</f>
        <v>0</v>
      </c>
      <c r="I24" s="978">
        <f>+landbouw!H8</f>
        <v>0</v>
      </c>
      <c r="J24" s="978">
        <f>+landbouw!I8</f>
        <v>0</v>
      </c>
      <c r="K24" s="978">
        <f>+landbouw!J8</f>
        <v>787.9774754715711</v>
      </c>
      <c r="L24" s="978">
        <f>+landbouw!K8</f>
        <v>0</v>
      </c>
      <c r="M24" s="978">
        <f>+landbouw!L8</f>
        <v>0</v>
      </c>
      <c r="N24" s="978">
        <f>+landbouw!M8</f>
        <v>0</v>
      </c>
      <c r="O24" s="978">
        <f>+landbouw!N8</f>
        <v>0</v>
      </c>
      <c r="P24" s="978">
        <f>+landbouw!O8</f>
        <v>0</v>
      </c>
      <c r="Q24" s="979">
        <f>+landbouw!P8</f>
        <v>0</v>
      </c>
      <c r="R24" s="674">
        <f>SUM(C24:Q24)</f>
        <v>69609.134709321821</v>
      </c>
      <c r="S24" s="67"/>
    </row>
    <row r="25" spans="1:19" s="447" customFormat="1" ht="15" thickBot="1">
      <c r="A25" s="805" t="s">
        <v>834</v>
      </c>
      <c r="B25" s="981"/>
      <c r="C25" s="982">
        <f>IF(Onbekend_ele_kWh="---",0,Onbekend_ele_kWh)/1000+IF(REST_rest_ele_kWh="---",0,REST_rest_ele_kWh)/1000</f>
        <v>1631.0616471999999</v>
      </c>
      <c r="D25" s="982"/>
      <c r="E25" s="982">
        <f>IF(onbekend_gas_kWh="---",0,onbekend_gas_kWh)/1000+IF(REST_rest_gas_kWh="---",0,REST_rest_gas_kWh)/1000</f>
        <v>2279.232309</v>
      </c>
      <c r="F25" s="982"/>
      <c r="G25" s="982"/>
      <c r="H25" s="982"/>
      <c r="I25" s="982"/>
      <c r="J25" s="982"/>
      <c r="K25" s="982"/>
      <c r="L25" s="982"/>
      <c r="M25" s="982"/>
      <c r="N25" s="982"/>
      <c r="O25" s="982"/>
      <c r="P25" s="982"/>
      <c r="Q25" s="983"/>
      <c r="R25" s="674">
        <f>SUM(C25:Q25)</f>
        <v>3910.2939562000001</v>
      </c>
      <c r="S25" s="67"/>
    </row>
    <row r="26" spans="1:19" s="447" customFormat="1" ht="15.75" thickBot="1">
      <c r="A26" s="679" t="s">
        <v>835</v>
      </c>
      <c r="B26" s="791"/>
      <c r="C26" s="786">
        <f>SUM(C24:C25)</f>
        <v>7104.5257160699994</v>
      </c>
      <c r="D26" s="786">
        <f t="shared" ref="D26:R26" si="2">SUM(D24:D25)</f>
        <v>43200</v>
      </c>
      <c r="E26" s="786">
        <f t="shared" si="2"/>
        <v>2279.232309</v>
      </c>
      <c r="F26" s="786">
        <f t="shared" si="2"/>
        <v>141.13962266385471</v>
      </c>
      <c r="G26" s="786">
        <f t="shared" si="2"/>
        <v>20006.553542316382</v>
      </c>
      <c r="H26" s="786">
        <f t="shared" si="2"/>
        <v>0</v>
      </c>
      <c r="I26" s="786">
        <f t="shared" si="2"/>
        <v>0</v>
      </c>
      <c r="J26" s="786">
        <f t="shared" si="2"/>
        <v>0</v>
      </c>
      <c r="K26" s="786">
        <f t="shared" si="2"/>
        <v>787.9774754715711</v>
      </c>
      <c r="L26" s="786">
        <f t="shared" si="2"/>
        <v>0</v>
      </c>
      <c r="M26" s="786">
        <f t="shared" si="2"/>
        <v>0</v>
      </c>
      <c r="N26" s="786">
        <f t="shared" si="2"/>
        <v>0</v>
      </c>
      <c r="O26" s="786">
        <f t="shared" si="2"/>
        <v>0</v>
      </c>
      <c r="P26" s="786">
        <f t="shared" si="2"/>
        <v>0</v>
      </c>
      <c r="Q26" s="786">
        <f t="shared" si="2"/>
        <v>0</v>
      </c>
      <c r="R26" s="786">
        <f t="shared" si="2"/>
        <v>73519.428665521817</v>
      </c>
      <c r="S26" s="67"/>
    </row>
    <row r="27" spans="1:19" s="447" customFormat="1" ht="17.25" thickTop="1" thickBot="1">
      <c r="A27" s="680" t="s">
        <v>115</v>
      </c>
      <c r="B27" s="779"/>
      <c r="C27" s="681">
        <f ca="1">C22+C16+C26</f>
        <v>59903.276846641427</v>
      </c>
      <c r="D27" s="681">
        <f t="shared" ref="D27:R27" ca="1" si="3">D22+D16+D26</f>
        <v>43357.5</v>
      </c>
      <c r="E27" s="681">
        <f t="shared" ca="1" si="3"/>
        <v>107931.75537266998</v>
      </c>
      <c r="F27" s="681">
        <f t="shared" si="3"/>
        <v>26619.389382857411</v>
      </c>
      <c r="G27" s="681">
        <f t="shared" ca="1" si="3"/>
        <v>25741.885301682003</v>
      </c>
      <c r="H27" s="681">
        <f t="shared" si="3"/>
        <v>169531.86397077079</v>
      </c>
      <c r="I27" s="681">
        <f t="shared" si="3"/>
        <v>25862.961449593437</v>
      </c>
      <c r="J27" s="681">
        <f t="shared" si="3"/>
        <v>0</v>
      </c>
      <c r="K27" s="681">
        <f t="shared" si="3"/>
        <v>1128.7781389455026</v>
      </c>
      <c r="L27" s="681">
        <f t="shared" si="3"/>
        <v>0</v>
      </c>
      <c r="M27" s="681">
        <f t="shared" ca="1" si="3"/>
        <v>0</v>
      </c>
      <c r="N27" s="681">
        <f t="shared" si="3"/>
        <v>6107.6638463151958</v>
      </c>
      <c r="O27" s="681">
        <f t="shared" ca="1" si="3"/>
        <v>26376.978493173097</v>
      </c>
      <c r="P27" s="681">
        <f t="shared" si="3"/>
        <v>223.55666666666667</v>
      </c>
      <c r="Q27" s="681">
        <f t="shared" si="3"/>
        <v>858</v>
      </c>
      <c r="R27" s="681">
        <f t="shared" ca="1" si="3"/>
        <v>493643.60946931562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1861.0464404954339</v>
      </c>
      <c r="D40" s="978">
        <f ca="1">tertiair!C20</f>
        <v>37.429411764705904</v>
      </c>
      <c r="E40" s="978">
        <f ca="1">tertiair!D20</f>
        <v>3750.4112815549956</v>
      </c>
      <c r="F40" s="978">
        <f>tertiair!E20</f>
        <v>56.524729540075406</v>
      </c>
      <c r="G40" s="978">
        <f ca="1">tertiair!F20</f>
        <v>759.63048099410469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6465.0423443493155</v>
      </c>
    </row>
    <row r="41" spans="1:18">
      <c r="A41" s="796" t="s">
        <v>224</v>
      </c>
      <c r="B41" s="803"/>
      <c r="C41" s="978">
        <f ca="1">huishoudens!B12</f>
        <v>4998.5930578479365</v>
      </c>
      <c r="D41" s="978">
        <f ca="1">huishoudens!C12</f>
        <v>0</v>
      </c>
      <c r="E41" s="978">
        <f>huishoudens!D12</f>
        <v>15644.189966139038</v>
      </c>
      <c r="F41" s="978">
        <f>huishoudens!E12</f>
        <v>5705.4455147424542</v>
      </c>
      <c r="G41" s="978">
        <f>huishoudens!F12</f>
        <v>0</v>
      </c>
      <c r="H41" s="978">
        <f>huishoudens!G12</f>
        <v>0</v>
      </c>
      <c r="I41" s="978">
        <f>huishoudens!H12</f>
        <v>0</v>
      </c>
      <c r="J41" s="978">
        <f>huishoudens!I12</f>
        <v>0</v>
      </c>
      <c r="K41" s="978">
        <f>huishoudens!J12</f>
        <v>113.43665587625553</v>
      </c>
      <c r="L41" s="978">
        <f>huishoudens!K12</f>
        <v>0</v>
      </c>
      <c r="M41" s="978">
        <f>huishoudens!L12</f>
        <v>0</v>
      </c>
      <c r="N41" s="978">
        <f>huishoudens!M12</f>
        <v>0</v>
      </c>
      <c r="O41" s="978">
        <f>huishoudens!N12</f>
        <v>0</v>
      </c>
      <c r="P41" s="978">
        <f>huishoudens!O12</f>
        <v>0</v>
      </c>
      <c r="Q41" s="748">
        <f>huishoudens!P12</f>
        <v>0</v>
      </c>
      <c r="R41" s="824">
        <f t="shared" ca="1" si="4"/>
        <v>26461.665194605681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945.27030674739513</v>
      </c>
      <c r="D43" s="978">
        <f ca="1">industrie!C22</f>
        <v>0</v>
      </c>
      <c r="E43" s="978">
        <f>industrie!D22</f>
        <v>1932.1016292749064</v>
      </c>
      <c r="F43" s="978">
        <f>industrie!E22</f>
        <v>165.50174631953962</v>
      </c>
      <c r="G43" s="978">
        <f>industrie!F22</f>
        <v>771.70309875651606</v>
      </c>
      <c r="H43" s="978">
        <f>industrie!G22</f>
        <v>0</v>
      </c>
      <c r="I43" s="978">
        <f>industrie!H22</f>
        <v>0</v>
      </c>
      <c r="J43" s="978">
        <f>industrie!I22</f>
        <v>0</v>
      </c>
      <c r="K43" s="978">
        <f>industrie!J22</f>
        <v>7.2067789935162638</v>
      </c>
      <c r="L43" s="978">
        <f>industrie!K22</f>
        <v>0</v>
      </c>
      <c r="M43" s="978">
        <f>industrie!L22</f>
        <v>0</v>
      </c>
      <c r="N43" s="978">
        <f>industrie!M22</f>
        <v>0</v>
      </c>
      <c r="O43" s="978">
        <f>industrie!N22</f>
        <v>0</v>
      </c>
      <c r="P43" s="978">
        <f>industrie!O22</f>
        <v>0</v>
      </c>
      <c r="Q43" s="748">
        <f>industrie!P22</f>
        <v>0</v>
      </c>
      <c r="R43" s="823">
        <f t="shared" ca="1" si="4"/>
        <v>3821.7835600918734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7804.9098050907651</v>
      </c>
      <c r="D46" s="706">
        <f t="shared" ref="D46:Q46" ca="1" si="5">SUM(D39:D45)</f>
        <v>37.429411764705904</v>
      </c>
      <c r="E46" s="706">
        <f t="shared" ca="1" si="5"/>
        <v>21326.702876968942</v>
      </c>
      <c r="F46" s="706">
        <f t="shared" si="5"/>
        <v>5927.4719906020691</v>
      </c>
      <c r="G46" s="706">
        <f t="shared" ca="1" si="5"/>
        <v>1531.3335797506206</v>
      </c>
      <c r="H46" s="706">
        <f t="shared" si="5"/>
        <v>0</v>
      </c>
      <c r="I46" s="706">
        <f t="shared" si="5"/>
        <v>0</v>
      </c>
      <c r="J46" s="706">
        <f t="shared" si="5"/>
        <v>0</v>
      </c>
      <c r="K46" s="706">
        <f t="shared" si="5"/>
        <v>120.6434348697718</v>
      </c>
      <c r="L46" s="706">
        <f t="shared" si="5"/>
        <v>0</v>
      </c>
      <c r="M46" s="706">
        <f t="shared" ca="1" si="5"/>
        <v>0</v>
      </c>
      <c r="N46" s="706">
        <f t="shared" si="5"/>
        <v>0</v>
      </c>
      <c r="O46" s="706">
        <f t="shared" ca="1" si="5"/>
        <v>0</v>
      </c>
      <c r="P46" s="706">
        <f t="shared" si="5"/>
        <v>0</v>
      </c>
      <c r="Q46" s="706">
        <f t="shared" si="5"/>
        <v>0</v>
      </c>
      <c r="R46" s="706">
        <f ca="1">SUM(R39:R45)</f>
        <v>36748.491099046863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497.47070633979092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497.47070633979092</v>
      </c>
    </row>
    <row r="50" spans="1:18">
      <c r="A50" s="799" t="s">
        <v>306</v>
      </c>
      <c r="B50" s="809"/>
      <c r="C50" s="677">
        <f ca="1">transport!B18</f>
        <v>5.027657929884489</v>
      </c>
      <c r="D50" s="677">
        <f>transport!C18</f>
        <v>0</v>
      </c>
      <c r="E50" s="677">
        <f>transport!D18</f>
        <v>15.1067818923965</v>
      </c>
      <c r="F50" s="677">
        <f>transport!E18</f>
        <v>83.090704961869051</v>
      </c>
      <c r="G50" s="677">
        <f>transport!F18</f>
        <v>0</v>
      </c>
      <c r="H50" s="677">
        <f>transport!G18</f>
        <v>44767.536973856018</v>
      </c>
      <c r="I50" s="677">
        <f>transport!H18</f>
        <v>6439.8774009487661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51310.639519588934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5.027657929884489</v>
      </c>
      <c r="D52" s="706">
        <f t="shared" ref="D52:Q52" ca="1" si="6">SUM(D48:D51)</f>
        <v>0</v>
      </c>
      <c r="E52" s="706">
        <f t="shared" si="6"/>
        <v>15.1067818923965</v>
      </c>
      <c r="F52" s="706">
        <f t="shared" si="6"/>
        <v>83.090704961869051</v>
      </c>
      <c r="G52" s="706">
        <f t="shared" si="6"/>
        <v>0</v>
      </c>
      <c r="H52" s="706">
        <f t="shared" si="6"/>
        <v>45265.007680195806</v>
      </c>
      <c r="I52" s="706">
        <f t="shared" si="6"/>
        <v>6439.8774009487661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51808.110225928729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809.62922737037479</v>
      </c>
      <c r="D54" s="677">
        <f ca="1">+landbouw!C12</f>
        <v>10266.352941176476</v>
      </c>
      <c r="E54" s="677">
        <f>+landbouw!D12</f>
        <v>0</v>
      </c>
      <c r="F54" s="677">
        <f>+landbouw!E12</f>
        <v>32.038694344695017</v>
      </c>
      <c r="G54" s="677">
        <f>+landbouw!F12</f>
        <v>5341.7497957984742</v>
      </c>
      <c r="H54" s="677">
        <f>+landbouw!G12</f>
        <v>0</v>
      </c>
      <c r="I54" s="677">
        <f>+landbouw!H12</f>
        <v>0</v>
      </c>
      <c r="J54" s="677">
        <f>+landbouw!I12</f>
        <v>0</v>
      </c>
      <c r="K54" s="677">
        <f>+landbouw!J12</f>
        <v>278.94402631693617</v>
      </c>
      <c r="L54" s="677">
        <f>+landbouw!K12</f>
        <v>0</v>
      </c>
      <c r="M54" s="677">
        <f>+landbouw!L12</f>
        <v>0</v>
      </c>
      <c r="N54" s="677">
        <f>+landbouw!M12</f>
        <v>0</v>
      </c>
      <c r="O54" s="677">
        <f>+landbouw!N12</f>
        <v>0</v>
      </c>
      <c r="P54" s="677">
        <f>+landbouw!O12</f>
        <v>0</v>
      </c>
      <c r="Q54" s="678">
        <f>+landbouw!P12</f>
        <v>0</v>
      </c>
      <c r="R54" s="705">
        <f ca="1">SUM(C54:Q54)</f>
        <v>16728.714685006955</v>
      </c>
    </row>
    <row r="55" spans="1:18" ht="15" thickBot="1">
      <c r="A55" s="799" t="s">
        <v>834</v>
      </c>
      <c r="B55" s="809"/>
      <c r="C55" s="677">
        <f ca="1">C25*'EF ele_warmte'!B12</f>
        <v>241.26497673138402</v>
      </c>
      <c r="D55" s="677"/>
      <c r="E55" s="677">
        <f>E25*EF_CO2_aardgas</f>
        <v>460.404926418</v>
      </c>
      <c r="F55" s="677"/>
      <c r="G55" s="677"/>
      <c r="H55" s="677"/>
      <c r="I55" s="677"/>
      <c r="J55" s="677"/>
      <c r="K55" s="677"/>
      <c r="L55" s="677"/>
      <c r="M55" s="677"/>
      <c r="N55" s="677"/>
      <c r="O55" s="677"/>
      <c r="P55" s="677"/>
      <c r="Q55" s="678"/>
      <c r="R55" s="705">
        <f ca="1">SUM(C55:Q55)</f>
        <v>701.66990314938403</v>
      </c>
    </row>
    <row r="56" spans="1:18" ht="15.75" thickBot="1">
      <c r="A56" s="797" t="s">
        <v>835</v>
      </c>
      <c r="B56" s="810"/>
      <c r="C56" s="706">
        <f ca="1">SUM(C54:C55)</f>
        <v>1050.8942041017588</v>
      </c>
      <c r="D56" s="706">
        <f t="shared" ref="D56:Q56" ca="1" si="7">SUM(D54:D55)</f>
        <v>10266.352941176476</v>
      </c>
      <c r="E56" s="706">
        <f t="shared" si="7"/>
        <v>460.404926418</v>
      </c>
      <c r="F56" s="706">
        <f t="shared" si="7"/>
        <v>32.038694344695017</v>
      </c>
      <c r="G56" s="706">
        <f t="shared" si="7"/>
        <v>5341.7497957984742</v>
      </c>
      <c r="H56" s="706">
        <f t="shared" si="7"/>
        <v>0</v>
      </c>
      <c r="I56" s="706">
        <f t="shared" si="7"/>
        <v>0</v>
      </c>
      <c r="J56" s="706">
        <f t="shared" si="7"/>
        <v>0</v>
      </c>
      <c r="K56" s="706">
        <f t="shared" si="7"/>
        <v>278.94402631693617</v>
      </c>
      <c r="L56" s="706">
        <f t="shared" si="7"/>
        <v>0</v>
      </c>
      <c r="M56" s="706">
        <f t="shared" si="7"/>
        <v>0</v>
      </c>
      <c r="N56" s="706">
        <f t="shared" si="7"/>
        <v>0</v>
      </c>
      <c r="O56" s="706">
        <f t="shared" si="7"/>
        <v>0</v>
      </c>
      <c r="P56" s="706">
        <f t="shared" si="7"/>
        <v>0</v>
      </c>
      <c r="Q56" s="707">
        <f t="shared" si="7"/>
        <v>0</v>
      </c>
      <c r="R56" s="708">
        <f ca="1">SUM(R54:R55)</f>
        <v>17430.384588156339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8860.8316671224075</v>
      </c>
      <c r="D61" s="714">
        <f t="shared" ref="D61:Q61" ca="1" si="8">D46+D52+D56</f>
        <v>10303.782352941182</v>
      </c>
      <c r="E61" s="714">
        <f t="shared" ca="1" si="8"/>
        <v>21802.214585279336</v>
      </c>
      <c r="F61" s="714">
        <f t="shared" si="8"/>
        <v>6042.6013899086329</v>
      </c>
      <c r="G61" s="714">
        <f t="shared" ca="1" si="8"/>
        <v>6873.0833755490949</v>
      </c>
      <c r="H61" s="714">
        <f t="shared" si="8"/>
        <v>45265.007680195806</v>
      </c>
      <c r="I61" s="714">
        <f t="shared" si="8"/>
        <v>6439.8774009487661</v>
      </c>
      <c r="J61" s="714">
        <f t="shared" si="8"/>
        <v>0</v>
      </c>
      <c r="K61" s="714">
        <f t="shared" si="8"/>
        <v>399.58746118670797</v>
      </c>
      <c r="L61" s="714">
        <f t="shared" si="8"/>
        <v>0</v>
      </c>
      <c r="M61" s="714">
        <f t="shared" ca="1" si="8"/>
        <v>0</v>
      </c>
      <c r="N61" s="714">
        <f t="shared" si="8"/>
        <v>0</v>
      </c>
      <c r="O61" s="714">
        <f t="shared" ca="1" si="8"/>
        <v>0</v>
      </c>
      <c r="P61" s="714">
        <f t="shared" si="8"/>
        <v>0</v>
      </c>
      <c r="Q61" s="714">
        <f t="shared" si="8"/>
        <v>0</v>
      </c>
      <c r="R61" s="714">
        <f ca="1">R46+R52+R56</f>
        <v>105986.98591313194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0.14791898095670211</v>
      </c>
      <c r="D63" s="755">
        <f t="shared" ca="1" si="9"/>
        <v>0.23764705882352954</v>
      </c>
      <c r="E63" s="989">
        <f t="shared" ca="1" si="9"/>
        <v>0.20199999999999999</v>
      </c>
      <c r="F63" s="755">
        <f t="shared" si="9"/>
        <v>0.22700000000000004</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14463.580619183042</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7631.5999828267795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30350.25</v>
      </c>
      <c r="D76" s="999">
        <f>'lokale energieproductie'!C8</f>
        <v>35706.176470588238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7212.6476470588241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22095.180602009823</v>
      </c>
      <c r="C78" s="729">
        <f>SUM(C72:C77)</f>
        <v>30350.25</v>
      </c>
      <c r="D78" s="730">
        <f t="shared" ref="D78:H78" si="10">SUM(D76:D77)</f>
        <v>35706.176470588238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7212.6476470588241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43357.500000000007</v>
      </c>
      <c r="D87" s="751">
        <f>'lokale energieproductie'!C17</f>
        <v>51008.823529411784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10303.782352941182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43357.500000000007</v>
      </c>
      <c r="D90" s="729">
        <f t="shared" ref="D90:H90" si="12">SUM(D87:D89)</f>
        <v>51008.823529411784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10303.782352941182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7" zoomScale="65" zoomScaleNormal="65"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14463.580619183042</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7631.5999828267795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N33</f>
        <v>30350.25</v>
      </c>
      <c r="C8" s="544">
        <f>B52</f>
        <v>35706.176470588238</v>
      </c>
      <c r="D8" s="1009"/>
      <c r="E8" s="1009">
        <f>E52</f>
        <v>0</v>
      </c>
      <c r="F8" s="1010"/>
      <c r="G8" s="545"/>
      <c r="H8" s="1009">
        <f>I52</f>
        <v>0</v>
      </c>
      <c r="I8" s="1009">
        <f>G52+F52</f>
        <v>0</v>
      </c>
      <c r="J8" s="1009">
        <f>H52+D52+C52</f>
        <v>0</v>
      </c>
      <c r="K8" s="1009"/>
      <c r="L8" s="1009"/>
      <c r="M8" s="1009"/>
      <c r="N8" s="546"/>
      <c r="O8" s="547">
        <f>C8*$C$12+D8*$D$12+E8*$E$12+F8*$F$12+G8*$G$12+H8*$H$12+I8*$I$12+J8*$J$12</f>
        <v>7212.6476470588241</v>
      </c>
      <c r="P8" s="1239"/>
      <c r="Q8" s="1240"/>
      <c r="S8" s="973"/>
      <c r="T8" s="1260"/>
      <c r="U8" s="1260"/>
    </row>
    <row r="9" spans="1:21" s="533" customFormat="1" ht="17.45" customHeight="1" thickBot="1">
      <c r="A9" s="548" t="s">
        <v>247</v>
      </c>
      <c r="B9" s="549">
        <f>N40+'Eigen informatie GS &amp; warmtenet'!B12</f>
        <v>0</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52445.430602009823</v>
      </c>
      <c r="C10" s="557">
        <f t="shared" ref="C10:L10" si="0">SUM(C8:C9)</f>
        <v>35706.176470588238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7212.6476470588241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O33</f>
        <v>43357.500000000007</v>
      </c>
      <c r="C17" s="569">
        <f>B53</f>
        <v>51008.823529411784</v>
      </c>
      <c r="D17" s="570"/>
      <c r="E17" s="570">
        <f>E53</f>
        <v>0</v>
      </c>
      <c r="F17" s="1015"/>
      <c r="G17" s="571"/>
      <c r="H17" s="569">
        <f>I53</f>
        <v>0</v>
      </c>
      <c r="I17" s="570">
        <f>G53+F53</f>
        <v>0</v>
      </c>
      <c r="J17" s="570">
        <f>H53+D53+C53</f>
        <v>0</v>
      </c>
      <c r="K17" s="570"/>
      <c r="L17" s="570"/>
      <c r="M17" s="570"/>
      <c r="N17" s="1016"/>
      <c r="O17" s="572">
        <f>C17*$C$22+E17*$E$22+H17*$H$22+I17*$I$22+J17*$J$22+D17*$D$22+F17*$F$22+G17*$G$22+K17*$K$22+L17*$L$22</f>
        <v>10303.782352941182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43357.500000000007</v>
      </c>
      <c r="C20" s="556">
        <f>SUM(C17:C19)</f>
        <v>51008.823529411784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10303.782352941182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46020</v>
      </c>
      <c r="C28" s="770">
        <v>9170</v>
      </c>
      <c r="D28" s="627" t="s">
        <v>896</v>
      </c>
      <c r="E28" s="626" t="s">
        <v>897</v>
      </c>
      <c r="F28" s="626" t="s">
        <v>898</v>
      </c>
      <c r="G28" s="626" t="s">
        <v>899</v>
      </c>
      <c r="H28" s="626" t="s">
        <v>900</v>
      </c>
      <c r="I28" s="626" t="s">
        <v>897</v>
      </c>
      <c r="J28" s="769">
        <v>40374</v>
      </c>
      <c r="K28" s="769">
        <v>40374</v>
      </c>
      <c r="L28" s="626" t="s">
        <v>901</v>
      </c>
      <c r="M28" s="626">
        <v>1600</v>
      </c>
      <c r="N28" s="626">
        <v>7200</v>
      </c>
      <c r="O28" s="626">
        <v>10285.714285714286</v>
      </c>
      <c r="P28" s="626">
        <v>20571.428571428572</v>
      </c>
      <c r="Q28" s="626">
        <v>0</v>
      </c>
      <c r="R28" s="626">
        <v>0</v>
      </c>
      <c r="S28" s="626">
        <v>0</v>
      </c>
      <c r="T28" s="626">
        <v>0</v>
      </c>
      <c r="U28" s="626">
        <v>0</v>
      </c>
      <c r="V28" s="626">
        <v>0</v>
      </c>
      <c r="W28" s="626">
        <v>0</v>
      </c>
      <c r="X28" s="626">
        <v>10</v>
      </c>
      <c r="Y28" s="626" t="s">
        <v>111</v>
      </c>
      <c r="Z28" s="628" t="s">
        <v>111</v>
      </c>
    </row>
    <row r="29" spans="1:26" s="580" customFormat="1" ht="25.5">
      <c r="A29" s="579"/>
      <c r="B29" s="770">
        <v>46020</v>
      </c>
      <c r="C29" s="770">
        <v>9170</v>
      </c>
      <c r="D29" s="627" t="s">
        <v>902</v>
      </c>
      <c r="E29" s="626" t="s">
        <v>903</v>
      </c>
      <c r="F29" s="626" t="s">
        <v>904</v>
      </c>
      <c r="G29" s="626" t="s">
        <v>899</v>
      </c>
      <c r="H29" s="626" t="s">
        <v>900</v>
      </c>
      <c r="I29" s="626" t="s">
        <v>903</v>
      </c>
      <c r="J29" s="769">
        <v>40590</v>
      </c>
      <c r="K29" s="769">
        <v>40590</v>
      </c>
      <c r="L29" s="626" t="s">
        <v>901</v>
      </c>
      <c r="M29" s="626">
        <v>5120</v>
      </c>
      <c r="N29" s="626">
        <v>23040</v>
      </c>
      <c r="O29" s="626">
        <v>32914.285714285717</v>
      </c>
      <c r="P29" s="626">
        <v>65828.571428571435</v>
      </c>
      <c r="Q29" s="626">
        <v>0</v>
      </c>
      <c r="R29" s="626">
        <v>0</v>
      </c>
      <c r="S29" s="626">
        <v>0</v>
      </c>
      <c r="T29" s="626">
        <v>0</v>
      </c>
      <c r="U29" s="626">
        <v>0</v>
      </c>
      <c r="V29" s="626">
        <v>0</v>
      </c>
      <c r="W29" s="626">
        <v>0</v>
      </c>
      <c r="X29" s="626">
        <v>10</v>
      </c>
      <c r="Y29" s="626" t="s">
        <v>111</v>
      </c>
      <c r="Z29" s="628" t="s">
        <v>111</v>
      </c>
    </row>
    <row r="30" spans="1:26" s="580" customFormat="1" ht="51">
      <c r="A30" s="579"/>
      <c r="B30" s="770">
        <v>46020</v>
      </c>
      <c r="C30" s="770">
        <v>9170</v>
      </c>
      <c r="D30" s="627" t="s">
        <v>905</v>
      </c>
      <c r="E30" s="626" t="s">
        <v>906</v>
      </c>
      <c r="F30" s="626" t="s">
        <v>907</v>
      </c>
      <c r="G30" s="626" t="s">
        <v>899</v>
      </c>
      <c r="H30" s="626" t="s">
        <v>900</v>
      </c>
      <c r="I30" s="626" t="s">
        <v>906</v>
      </c>
      <c r="J30" s="769">
        <v>41561</v>
      </c>
      <c r="K30" s="769">
        <v>41565</v>
      </c>
      <c r="L30" s="626" t="s">
        <v>901</v>
      </c>
      <c r="M30" s="626">
        <v>5.5</v>
      </c>
      <c r="N30" s="626">
        <v>24.75</v>
      </c>
      <c r="O30" s="626">
        <v>35.357142857142861</v>
      </c>
      <c r="P30" s="626">
        <v>70.714285714285722</v>
      </c>
      <c r="Q30" s="626">
        <v>0</v>
      </c>
      <c r="R30" s="626">
        <v>0</v>
      </c>
      <c r="S30" s="626">
        <v>0</v>
      </c>
      <c r="T30" s="626">
        <v>0</v>
      </c>
      <c r="U30" s="626">
        <v>0</v>
      </c>
      <c r="V30" s="626">
        <v>0</v>
      </c>
      <c r="W30" s="626">
        <v>0</v>
      </c>
      <c r="X30" s="626">
        <v>1500</v>
      </c>
      <c r="Y30" s="626" t="s">
        <v>50</v>
      </c>
      <c r="Z30" s="628" t="s">
        <v>155</v>
      </c>
    </row>
    <row r="31" spans="1:26" s="580" customFormat="1" ht="51">
      <c r="A31" s="579"/>
      <c r="B31" s="770">
        <v>46020</v>
      </c>
      <c r="C31" s="770">
        <v>9170</v>
      </c>
      <c r="D31" s="627" t="s">
        <v>905</v>
      </c>
      <c r="E31" s="626" t="s">
        <v>906</v>
      </c>
      <c r="F31" s="626" t="s">
        <v>908</v>
      </c>
      <c r="G31" s="626" t="s">
        <v>899</v>
      </c>
      <c r="H31" s="626" t="s">
        <v>900</v>
      </c>
      <c r="I31" s="626" t="s">
        <v>909</v>
      </c>
      <c r="J31" s="769">
        <v>41561</v>
      </c>
      <c r="K31" s="769">
        <v>41565</v>
      </c>
      <c r="L31" s="626" t="s">
        <v>901</v>
      </c>
      <c r="M31" s="626">
        <v>10</v>
      </c>
      <c r="N31" s="626">
        <v>45</v>
      </c>
      <c r="O31" s="626">
        <v>64.285714285714292</v>
      </c>
      <c r="P31" s="626">
        <v>128.57142857142858</v>
      </c>
      <c r="Q31" s="626">
        <v>0</v>
      </c>
      <c r="R31" s="626">
        <v>0</v>
      </c>
      <c r="S31" s="626">
        <v>0</v>
      </c>
      <c r="T31" s="626">
        <v>0</v>
      </c>
      <c r="U31" s="626">
        <v>0</v>
      </c>
      <c r="V31" s="626">
        <v>0</v>
      </c>
      <c r="W31" s="626">
        <v>0</v>
      </c>
      <c r="X31" s="626">
        <v>1500</v>
      </c>
      <c r="Y31" s="626" t="s">
        <v>50</v>
      </c>
      <c r="Z31" s="628" t="s">
        <v>155</v>
      </c>
    </row>
    <row r="32" spans="1:26" s="580" customFormat="1" ht="63.75">
      <c r="A32" s="579"/>
      <c r="B32" s="770">
        <v>46020</v>
      </c>
      <c r="C32" s="770">
        <v>9170</v>
      </c>
      <c r="D32" s="627" t="s">
        <v>910</v>
      </c>
      <c r="E32" s="626" t="s">
        <v>911</v>
      </c>
      <c r="F32" s="626" t="s">
        <v>912</v>
      </c>
      <c r="G32" s="626" t="s">
        <v>899</v>
      </c>
      <c r="H32" s="626" t="s">
        <v>900</v>
      </c>
      <c r="I32" s="626" t="s">
        <v>911</v>
      </c>
      <c r="J32" s="769">
        <v>41807</v>
      </c>
      <c r="K32" s="769">
        <v>41807</v>
      </c>
      <c r="L32" s="626" t="s">
        <v>901</v>
      </c>
      <c r="M32" s="626">
        <v>9</v>
      </c>
      <c r="N32" s="626">
        <v>40.5</v>
      </c>
      <c r="O32" s="626">
        <v>57.857142857142861</v>
      </c>
      <c r="P32" s="626">
        <v>115.71428571428572</v>
      </c>
      <c r="Q32" s="626">
        <v>0</v>
      </c>
      <c r="R32" s="626">
        <v>0</v>
      </c>
      <c r="S32" s="626">
        <v>0</v>
      </c>
      <c r="T32" s="626">
        <v>0</v>
      </c>
      <c r="U32" s="626">
        <v>0</v>
      </c>
      <c r="V32" s="626">
        <v>0</v>
      </c>
      <c r="W32" s="626">
        <v>0</v>
      </c>
      <c r="X32" s="626">
        <v>1600</v>
      </c>
      <c r="Y32" s="626" t="s">
        <v>49</v>
      </c>
      <c r="Z32" s="628" t="s">
        <v>155</v>
      </c>
    </row>
    <row r="33" spans="1:27" s="564" customFormat="1">
      <c r="A33" s="582" t="s">
        <v>279</v>
      </c>
      <c r="B33" s="583"/>
      <c r="C33" s="583"/>
      <c r="D33" s="583"/>
      <c r="E33" s="583"/>
      <c r="F33" s="583"/>
      <c r="G33" s="583"/>
      <c r="H33" s="583"/>
      <c r="I33" s="583"/>
      <c r="J33" s="583"/>
      <c r="K33" s="583"/>
      <c r="L33" s="584"/>
      <c r="M33" s="584">
        <f>SUM(M28:M32)</f>
        <v>6744.5</v>
      </c>
      <c r="N33" s="584">
        <f>SUM(N28:N32)</f>
        <v>30350.25</v>
      </c>
      <c r="O33" s="584">
        <f>SUM(O28:O32)</f>
        <v>43357.500000000007</v>
      </c>
      <c r="P33" s="584">
        <f>SUM(P28:P32)</f>
        <v>86715.000000000015</v>
      </c>
      <c r="Q33" s="584">
        <f>SUM(Q28:Q32)</f>
        <v>0</v>
      </c>
      <c r="R33" s="584">
        <f>SUM(R28:R32)</f>
        <v>0</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0</v>
      </c>
      <c r="N34" s="584">
        <f>SUMIF($Z$28:$Z$32,"industrie",N28:N32)</f>
        <v>0</v>
      </c>
      <c r="O34" s="584">
        <f>SUMIF($Z$28:$Z$32,"industrie",O28:O32)</f>
        <v>0</v>
      </c>
      <c r="P34" s="584">
        <f>SUMIF($Z$28:$Z$32,"industrie",P28:P32)</f>
        <v>0</v>
      </c>
      <c r="Q34" s="584">
        <f>SUMIF($Z$28:$Z$32,"industrie",Q28:Q32)</f>
        <v>0</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24.5</v>
      </c>
      <c r="N35" s="584">
        <f ca="1">SUMIF($Z$28:AD32,"tertiair",N28:N32)</f>
        <v>110.25</v>
      </c>
      <c r="O35" s="584">
        <f ca="1">SUMIF($Z$28:AE32,"tertiair",O28:O32)</f>
        <v>157.5</v>
      </c>
      <c r="P35" s="584">
        <f ca="1">SUMIF($Z$28:AF32,"tertiair",P28:P32)</f>
        <v>315</v>
      </c>
      <c r="Q35" s="584">
        <f ca="1">SUMIF($Z$28:AG32,"tertiair",Q28:Q32)</f>
        <v>0</v>
      </c>
      <c r="R35" s="584">
        <f ca="1">SUMIF($Z$28:AH32,"tertiair",R28:R32)</f>
        <v>0</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6720</v>
      </c>
      <c r="N36" s="589">
        <f>SUMIF($Z$28:$Z$32,"landbouw",N28:N32)</f>
        <v>30240</v>
      </c>
      <c r="O36" s="589">
        <f>SUMIF($Z$28:$Z$32,"landbouw",O28:O32)</f>
        <v>43200</v>
      </c>
      <c r="P36" s="589">
        <f>SUMIF($Z$28:$Z$32,"landbouw",P28:P32)</f>
        <v>86400</v>
      </c>
      <c r="Q36" s="589">
        <f>SUMIF($Z$28:$Z$32,"landbouw",Q28:Q32)</f>
        <v>0</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536</v>
      </c>
      <c r="Q38" s="624" t="s">
        <v>102</v>
      </c>
      <c r="R38" s="624" t="s">
        <v>103</v>
      </c>
      <c r="S38" s="624" t="s">
        <v>104</v>
      </c>
      <c r="T38" s="624" t="s">
        <v>105</v>
      </c>
      <c r="U38" s="624" t="s">
        <v>106</v>
      </c>
      <c r="V38" s="624" t="s">
        <v>107</v>
      </c>
      <c r="W38" s="623" t="s">
        <v>108</v>
      </c>
      <c r="X38" s="623" t="s">
        <v>298</v>
      </c>
      <c r="Y38" s="623" t="s">
        <v>109</v>
      </c>
      <c r="Z38" s="625" t="s">
        <v>299</v>
      </c>
    </row>
    <row r="39" spans="1:27" s="595" customFormat="1" ht="12.75">
      <c r="A39" s="581"/>
      <c r="B39" s="770"/>
      <c r="C39" s="770"/>
      <c r="D39" s="629"/>
      <c r="E39" s="629"/>
      <c r="F39" s="629"/>
      <c r="G39" s="629"/>
      <c r="H39" s="629"/>
      <c r="I39" s="629"/>
      <c r="J39" s="769"/>
      <c r="K39" s="769"/>
      <c r="L39" s="629"/>
      <c r="M39" s="629"/>
      <c r="N39" s="629"/>
      <c r="O39" s="629"/>
      <c r="P39" s="629"/>
      <c r="Q39" s="629"/>
      <c r="R39" s="629"/>
      <c r="S39" s="629"/>
      <c r="T39" s="629"/>
      <c r="U39" s="629"/>
      <c r="V39" s="629"/>
      <c r="W39" s="629"/>
      <c r="X39" s="629"/>
      <c r="Y39" s="629"/>
      <c r="Z39" s="630"/>
    </row>
    <row r="40" spans="1:27" s="564" customFormat="1">
      <c r="A40" s="582" t="s">
        <v>279</v>
      </c>
      <c r="B40" s="583"/>
      <c r="C40" s="583"/>
      <c r="D40" s="583"/>
      <c r="E40" s="583"/>
      <c r="F40" s="583"/>
      <c r="G40" s="583"/>
      <c r="H40" s="583"/>
      <c r="I40" s="583"/>
      <c r="J40" s="583"/>
      <c r="K40" s="583"/>
      <c r="L40" s="584"/>
      <c r="M40" s="584">
        <f>SUM(M39:M39)</f>
        <v>0</v>
      </c>
      <c r="N40" s="584">
        <f>SUM(N39:N39)</f>
        <v>0</v>
      </c>
      <c r="O40" s="584">
        <f>SUM(O39:O39)</f>
        <v>0</v>
      </c>
      <c r="P40" s="584">
        <f>SUM(P39:P39)</f>
        <v>0</v>
      </c>
      <c r="Q40" s="584">
        <f>SUM(Q39:Q39)</f>
        <v>0</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0</v>
      </c>
      <c r="N42" s="584">
        <f>SUMIF($Z$39:$Z$40,"tertiair",N39:N40)</f>
        <v>0</v>
      </c>
      <c r="O42" s="584">
        <f>SUMIF($Z$39:$Z$40,"tertiair",O39:O40)</f>
        <v>0</v>
      </c>
      <c r="P42" s="584">
        <f>SUMIF($Z$39:$Z$40,"tertiair",P39:P40)</f>
        <v>0</v>
      </c>
      <c r="Q42" s="584">
        <f>SUMIF($Z$39:$Z$40,"tertiair",Q39:Q40)</f>
        <v>0</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0.58823529411764719</v>
      </c>
      <c r="C49" s="609">
        <f>IF(ISERROR(N33/(O33+N33)),0,N33/(N33+O33))</f>
        <v>0.41176470588235292</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536</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35706.176470588238</v>
      </c>
      <c r="C52" s="618">
        <f t="shared" si="2"/>
        <v>0</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51008.823529411784</v>
      </c>
      <c r="C53" s="621">
        <f t="shared" si="3"/>
        <v>0</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33792.776461264912</v>
      </c>
      <c r="C4" s="451">
        <f>huishoudens!C8</f>
        <v>0</v>
      </c>
      <c r="D4" s="451">
        <f>huishoudens!D8</f>
        <v>77446.484980886322</v>
      </c>
      <c r="E4" s="451">
        <f>huishoudens!E8</f>
        <v>25134.121210319179</v>
      </c>
      <c r="F4" s="451">
        <f>huishoudens!F8</f>
        <v>0</v>
      </c>
      <c r="G4" s="451">
        <f>huishoudens!G8</f>
        <v>0</v>
      </c>
      <c r="H4" s="451">
        <f>huishoudens!H8</f>
        <v>0</v>
      </c>
      <c r="I4" s="451">
        <f>huishoudens!I8</f>
        <v>0</v>
      </c>
      <c r="J4" s="451">
        <f>huishoudens!J8</f>
        <v>320.44253072388568</v>
      </c>
      <c r="K4" s="451">
        <f>huishoudens!K8</f>
        <v>0</v>
      </c>
      <c r="L4" s="451">
        <f>huishoudens!L8</f>
        <v>0</v>
      </c>
      <c r="M4" s="451">
        <f>huishoudens!M8</f>
        <v>0</v>
      </c>
      <c r="N4" s="451">
        <f>huishoudens!N8</f>
        <v>24842.769819657162</v>
      </c>
      <c r="O4" s="451">
        <f>huishoudens!O8</f>
        <v>221.99333333333334</v>
      </c>
      <c r="P4" s="452">
        <f>huishoudens!P8</f>
        <v>858</v>
      </c>
      <c r="Q4" s="453">
        <f>SUM(B4:P4)</f>
        <v>162616.58833618485</v>
      </c>
    </row>
    <row r="5" spans="1:17">
      <c r="A5" s="450" t="s">
        <v>155</v>
      </c>
      <c r="B5" s="451">
        <f ca="1">tertiair!B16</f>
        <v>11474.996565269998</v>
      </c>
      <c r="C5" s="451">
        <f ca="1">tertiair!C16</f>
        <v>157.5</v>
      </c>
      <c r="D5" s="451">
        <f ca="1">tertiair!D16</f>
        <v>18566.392482945521</v>
      </c>
      <c r="E5" s="451">
        <f>tertiair!E16</f>
        <v>249.00761911927489</v>
      </c>
      <c r="F5" s="451">
        <f ca="1">tertiair!F16</f>
        <v>2845.0579812513283</v>
      </c>
      <c r="G5" s="451">
        <f>tertiair!G16</f>
        <v>0</v>
      </c>
      <c r="H5" s="451">
        <f>tertiair!H16</f>
        <v>0</v>
      </c>
      <c r="I5" s="451">
        <f>tertiair!I16</f>
        <v>0</v>
      </c>
      <c r="J5" s="451">
        <f>tertiair!J16</f>
        <v>0</v>
      </c>
      <c r="K5" s="451">
        <f>tertiair!K16</f>
        <v>0</v>
      </c>
      <c r="L5" s="451">
        <f ca="1">tertiair!L16</f>
        <v>0</v>
      </c>
      <c r="M5" s="451">
        <f>tertiair!M16</f>
        <v>0</v>
      </c>
      <c r="N5" s="451">
        <f ca="1">tertiair!N16</f>
        <v>747.36367471476228</v>
      </c>
      <c r="O5" s="451">
        <f>tertiair!O16</f>
        <v>1.5633333333333335</v>
      </c>
      <c r="P5" s="452">
        <f>tertiair!P16</f>
        <v>0</v>
      </c>
      <c r="Q5" s="450">
        <f t="shared" ref="Q5:Q14" ca="1" si="0">SUM(B5:P5)</f>
        <v>34041.881656634214</v>
      </c>
    </row>
    <row r="6" spans="1:17">
      <c r="A6" s="450" t="s">
        <v>193</v>
      </c>
      <c r="B6" s="451">
        <f>'openbare verlichting'!B8</f>
        <v>1106.529</v>
      </c>
      <c r="C6" s="451"/>
      <c r="D6" s="451"/>
      <c r="E6" s="451"/>
      <c r="F6" s="451"/>
      <c r="G6" s="451"/>
      <c r="H6" s="451"/>
      <c r="I6" s="451"/>
      <c r="J6" s="451"/>
      <c r="K6" s="451"/>
      <c r="L6" s="451"/>
      <c r="M6" s="451"/>
      <c r="N6" s="451"/>
      <c r="O6" s="451"/>
      <c r="P6" s="452"/>
      <c r="Q6" s="450">
        <f t="shared" si="0"/>
        <v>1106.529</v>
      </c>
    </row>
    <row r="7" spans="1:17">
      <c r="A7" s="450" t="s">
        <v>111</v>
      </c>
      <c r="B7" s="451">
        <f>landbouw!B8</f>
        <v>5473.4640688699992</v>
      </c>
      <c r="C7" s="451">
        <f>landbouw!C8</f>
        <v>43200</v>
      </c>
      <c r="D7" s="451">
        <f>landbouw!D8</f>
        <v>0</v>
      </c>
      <c r="E7" s="451">
        <f>landbouw!E8</f>
        <v>141.13962266385471</v>
      </c>
      <c r="F7" s="451">
        <f>landbouw!F8</f>
        <v>20006.553542316382</v>
      </c>
      <c r="G7" s="451">
        <f>landbouw!G8</f>
        <v>0</v>
      </c>
      <c r="H7" s="451">
        <f>landbouw!H8</f>
        <v>0</v>
      </c>
      <c r="I7" s="451">
        <f>landbouw!I8</f>
        <v>0</v>
      </c>
      <c r="J7" s="451">
        <f>landbouw!J8</f>
        <v>787.9774754715711</v>
      </c>
      <c r="K7" s="451">
        <f>landbouw!K8</f>
        <v>0</v>
      </c>
      <c r="L7" s="451">
        <f>landbouw!L8</f>
        <v>0</v>
      </c>
      <c r="M7" s="451">
        <f>landbouw!M8</f>
        <v>0</v>
      </c>
      <c r="N7" s="451">
        <f>landbouw!N8</f>
        <v>0</v>
      </c>
      <c r="O7" s="451">
        <f>landbouw!O8</f>
        <v>0</v>
      </c>
      <c r="P7" s="452">
        <f>landbouw!P8</f>
        <v>0</v>
      </c>
      <c r="Q7" s="450">
        <f t="shared" si="0"/>
        <v>69609.134709321821</v>
      </c>
    </row>
    <row r="8" spans="1:17">
      <c r="A8" s="450" t="s">
        <v>637</v>
      </c>
      <c r="B8" s="451">
        <f>industrie!B18</f>
        <v>6390.4598357400009</v>
      </c>
      <c r="C8" s="451">
        <f>industrie!C18</f>
        <v>0</v>
      </c>
      <c r="D8" s="451">
        <f>industrie!D18</f>
        <v>9564.8595508658727</v>
      </c>
      <c r="E8" s="451">
        <f>industrie!E18</f>
        <v>729.08258290546087</v>
      </c>
      <c r="F8" s="451">
        <f>industrie!F18</f>
        <v>2890.2737781142923</v>
      </c>
      <c r="G8" s="451">
        <f>industrie!G18</f>
        <v>0</v>
      </c>
      <c r="H8" s="451">
        <f>industrie!H18</f>
        <v>0</v>
      </c>
      <c r="I8" s="451">
        <f>industrie!I18</f>
        <v>0</v>
      </c>
      <c r="J8" s="451">
        <f>industrie!J18</f>
        <v>20.358132750045943</v>
      </c>
      <c r="K8" s="451">
        <f>industrie!K18</f>
        <v>0</v>
      </c>
      <c r="L8" s="451">
        <f>industrie!L18</f>
        <v>0</v>
      </c>
      <c r="M8" s="451">
        <f>industrie!M18</f>
        <v>0</v>
      </c>
      <c r="N8" s="451">
        <f>industrie!N18</f>
        <v>786.84499880117369</v>
      </c>
      <c r="O8" s="451">
        <f>industrie!O18</f>
        <v>0</v>
      </c>
      <c r="P8" s="452">
        <f>industrie!P18</f>
        <v>0</v>
      </c>
      <c r="Q8" s="450">
        <f t="shared" si="0"/>
        <v>20381.878879176849</v>
      </c>
    </row>
    <row r="9" spans="1:17" s="456" customFormat="1">
      <c r="A9" s="454" t="s">
        <v>563</v>
      </c>
      <c r="B9" s="455">
        <f>transport!B14</f>
        <v>33.98926829651532</v>
      </c>
      <c r="C9" s="455">
        <f>transport!C14</f>
        <v>0</v>
      </c>
      <c r="D9" s="455">
        <f>transport!D14</f>
        <v>74.786048972259891</v>
      </c>
      <c r="E9" s="455">
        <f>transport!E14</f>
        <v>366.0383478496434</v>
      </c>
      <c r="F9" s="455">
        <f>transport!F14</f>
        <v>0</v>
      </c>
      <c r="G9" s="455">
        <f>transport!G14</f>
        <v>167668.67780470417</v>
      </c>
      <c r="H9" s="455">
        <f>transport!H14</f>
        <v>25862.961449593437</v>
      </c>
      <c r="I9" s="455">
        <f>transport!I14</f>
        <v>0</v>
      </c>
      <c r="J9" s="455">
        <f>transport!J14</f>
        <v>0</v>
      </c>
      <c r="K9" s="455">
        <f>transport!K14</f>
        <v>0</v>
      </c>
      <c r="L9" s="455">
        <f>transport!L14</f>
        <v>0</v>
      </c>
      <c r="M9" s="455">
        <f>transport!M14</f>
        <v>6049.9449342621119</v>
      </c>
      <c r="N9" s="455">
        <f>transport!N14</f>
        <v>0</v>
      </c>
      <c r="O9" s="455">
        <f>transport!O14</f>
        <v>0</v>
      </c>
      <c r="P9" s="455">
        <f>transport!P14</f>
        <v>0</v>
      </c>
      <c r="Q9" s="454">
        <f>SUM(B9:P9)</f>
        <v>200056.39785367812</v>
      </c>
    </row>
    <row r="10" spans="1:17">
      <c r="A10" s="450" t="s">
        <v>553</v>
      </c>
      <c r="B10" s="451">
        <f>transport!B54</f>
        <v>0</v>
      </c>
      <c r="C10" s="451">
        <f>transport!C54</f>
        <v>0</v>
      </c>
      <c r="D10" s="451">
        <f>transport!D54</f>
        <v>0</v>
      </c>
      <c r="E10" s="451">
        <f>transport!E54</f>
        <v>0</v>
      </c>
      <c r="F10" s="451">
        <f>transport!F54</f>
        <v>0</v>
      </c>
      <c r="G10" s="451">
        <f>transport!G54</f>
        <v>1863.1861660666325</v>
      </c>
      <c r="H10" s="451">
        <f>transport!H54</f>
        <v>0</v>
      </c>
      <c r="I10" s="451">
        <f>transport!I54</f>
        <v>0</v>
      </c>
      <c r="J10" s="451">
        <f>transport!J54</f>
        <v>0</v>
      </c>
      <c r="K10" s="451">
        <f>transport!K54</f>
        <v>0</v>
      </c>
      <c r="L10" s="451">
        <f>transport!L54</f>
        <v>0</v>
      </c>
      <c r="M10" s="451">
        <f>transport!M54</f>
        <v>57.71891205308409</v>
      </c>
      <c r="N10" s="451">
        <f>transport!N54</f>
        <v>0</v>
      </c>
      <c r="O10" s="451">
        <f>transport!O54</f>
        <v>0</v>
      </c>
      <c r="P10" s="452">
        <f>transport!P54</f>
        <v>0</v>
      </c>
      <c r="Q10" s="450">
        <f t="shared" si="0"/>
        <v>1920.9050781197166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1631.0616471999999</v>
      </c>
      <c r="C14" s="458"/>
      <c r="D14" s="458">
        <f>'SEAP template'!E25</f>
        <v>2279.232309</v>
      </c>
      <c r="E14" s="458"/>
      <c r="F14" s="458"/>
      <c r="G14" s="458"/>
      <c r="H14" s="458"/>
      <c r="I14" s="458"/>
      <c r="J14" s="458"/>
      <c r="K14" s="458"/>
      <c r="L14" s="458"/>
      <c r="M14" s="458"/>
      <c r="N14" s="458"/>
      <c r="O14" s="458"/>
      <c r="P14" s="459"/>
      <c r="Q14" s="450">
        <f t="shared" si="0"/>
        <v>3910.2939562000001</v>
      </c>
    </row>
    <row r="15" spans="1:17" s="460" customFormat="1">
      <c r="A15" s="1004" t="s">
        <v>557</v>
      </c>
      <c r="B15" s="944">
        <f ca="1">SUM(B4:B14)</f>
        <v>59903.276846641427</v>
      </c>
      <c r="C15" s="944">
        <f t="shared" ref="C15:Q15" ca="1" si="1">SUM(C4:C14)</f>
        <v>43357.5</v>
      </c>
      <c r="D15" s="944">
        <f t="shared" ca="1" si="1"/>
        <v>107931.75537266998</v>
      </c>
      <c r="E15" s="944">
        <f t="shared" si="1"/>
        <v>26619.389382857411</v>
      </c>
      <c r="F15" s="944">
        <f t="shared" ca="1" si="1"/>
        <v>25741.885301682003</v>
      </c>
      <c r="G15" s="944">
        <f t="shared" si="1"/>
        <v>169531.86397077079</v>
      </c>
      <c r="H15" s="944">
        <f t="shared" si="1"/>
        <v>25862.961449593437</v>
      </c>
      <c r="I15" s="944">
        <f t="shared" si="1"/>
        <v>0</v>
      </c>
      <c r="J15" s="944">
        <f t="shared" si="1"/>
        <v>1128.7781389455029</v>
      </c>
      <c r="K15" s="944">
        <f t="shared" si="1"/>
        <v>0</v>
      </c>
      <c r="L15" s="944">
        <f t="shared" ca="1" si="1"/>
        <v>0</v>
      </c>
      <c r="M15" s="944">
        <f t="shared" si="1"/>
        <v>6107.6638463151958</v>
      </c>
      <c r="N15" s="944">
        <f t="shared" ca="1" si="1"/>
        <v>26376.978493173097</v>
      </c>
      <c r="O15" s="944">
        <f t="shared" si="1"/>
        <v>223.55666666666667</v>
      </c>
      <c r="P15" s="944">
        <f t="shared" si="1"/>
        <v>858</v>
      </c>
      <c r="Q15" s="944">
        <f t="shared" ca="1" si="1"/>
        <v>493643.60946931562</v>
      </c>
    </row>
    <row r="17" spans="1:17">
      <c r="A17" s="461" t="s">
        <v>558</v>
      </c>
      <c r="B17" s="760">
        <f ca="1">huishoudens!B10</f>
        <v>0.14791898095670214</v>
      </c>
      <c r="C17" s="760">
        <f ca="1">huishoudens!C10</f>
        <v>0.23764705882352954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4998.5930578479365</v>
      </c>
      <c r="C22" s="451">
        <f t="shared" ref="C22:C32" ca="1" si="3">C4*$C$17</f>
        <v>0</v>
      </c>
      <c r="D22" s="451">
        <f t="shared" ref="D22:D32" si="4">D4*$D$17</f>
        <v>15644.189966139038</v>
      </c>
      <c r="E22" s="451">
        <f t="shared" ref="E22:E32" si="5">E4*$E$17</f>
        <v>5705.4455147424542</v>
      </c>
      <c r="F22" s="451">
        <f t="shared" ref="F22:F32" si="6">F4*$F$17</f>
        <v>0</v>
      </c>
      <c r="G22" s="451">
        <f t="shared" ref="G22:G32" si="7">G4*$G$17</f>
        <v>0</v>
      </c>
      <c r="H22" s="451">
        <f t="shared" ref="H22:H32" si="8">H4*$H$17</f>
        <v>0</v>
      </c>
      <c r="I22" s="451">
        <f t="shared" ref="I22:I32" si="9">I4*$I$17</f>
        <v>0</v>
      </c>
      <c r="J22" s="451">
        <f t="shared" ref="J22:J32" si="10">J4*$J$17</f>
        <v>113.43665587625553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26461.665194605681</v>
      </c>
    </row>
    <row r="23" spans="1:17">
      <c r="A23" s="450" t="s">
        <v>155</v>
      </c>
      <c r="B23" s="451">
        <f t="shared" ca="1" si="2"/>
        <v>1697.3697984163953</v>
      </c>
      <c r="C23" s="451">
        <f t="shared" ca="1" si="3"/>
        <v>37.429411764705904</v>
      </c>
      <c r="D23" s="451">
        <f t="shared" ca="1" si="4"/>
        <v>3750.4112815549956</v>
      </c>
      <c r="E23" s="451">
        <f t="shared" si="5"/>
        <v>56.524729540075406</v>
      </c>
      <c r="F23" s="451">
        <f t="shared" ca="1" si="6"/>
        <v>759.63048099410469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6301.3657022702764</v>
      </c>
    </row>
    <row r="24" spans="1:17">
      <c r="A24" s="450" t="s">
        <v>193</v>
      </c>
      <c r="B24" s="451">
        <f t="shared" ca="1" si="2"/>
        <v>163.67664207903866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163.67664207903866</v>
      </c>
    </row>
    <row r="25" spans="1:17">
      <c r="A25" s="450" t="s">
        <v>111</v>
      </c>
      <c r="B25" s="451">
        <f t="shared" ca="1" si="2"/>
        <v>809.62922737037479</v>
      </c>
      <c r="C25" s="451">
        <f t="shared" ca="1" si="3"/>
        <v>10266.352941176476</v>
      </c>
      <c r="D25" s="451">
        <f t="shared" si="4"/>
        <v>0</v>
      </c>
      <c r="E25" s="451">
        <f t="shared" si="5"/>
        <v>32.038694344695017</v>
      </c>
      <c r="F25" s="451">
        <f t="shared" si="6"/>
        <v>5341.7497957984742</v>
      </c>
      <c r="G25" s="451">
        <f t="shared" si="7"/>
        <v>0</v>
      </c>
      <c r="H25" s="451">
        <f t="shared" si="8"/>
        <v>0</v>
      </c>
      <c r="I25" s="451">
        <f t="shared" si="9"/>
        <v>0</v>
      </c>
      <c r="J25" s="451">
        <f t="shared" si="10"/>
        <v>278.94402631693617</v>
      </c>
      <c r="K25" s="451">
        <f t="shared" si="11"/>
        <v>0</v>
      </c>
      <c r="L25" s="451">
        <f t="shared" si="12"/>
        <v>0</v>
      </c>
      <c r="M25" s="451">
        <f t="shared" si="13"/>
        <v>0</v>
      </c>
      <c r="N25" s="451">
        <f t="shared" si="14"/>
        <v>0</v>
      </c>
      <c r="O25" s="451">
        <f t="shared" si="15"/>
        <v>0</v>
      </c>
      <c r="P25" s="452">
        <f t="shared" si="16"/>
        <v>0</v>
      </c>
      <c r="Q25" s="450">
        <f t="shared" ca="1" si="17"/>
        <v>16728.714685006955</v>
      </c>
    </row>
    <row r="26" spans="1:17">
      <c r="A26" s="450" t="s">
        <v>637</v>
      </c>
      <c r="B26" s="451">
        <f t="shared" ca="1" si="2"/>
        <v>945.27030674739513</v>
      </c>
      <c r="C26" s="451">
        <f t="shared" ca="1" si="3"/>
        <v>0</v>
      </c>
      <c r="D26" s="451">
        <f t="shared" si="4"/>
        <v>1932.1016292749064</v>
      </c>
      <c r="E26" s="451">
        <f t="shared" si="5"/>
        <v>165.50174631953962</v>
      </c>
      <c r="F26" s="451">
        <f t="shared" si="6"/>
        <v>771.70309875651606</v>
      </c>
      <c r="G26" s="451">
        <f t="shared" si="7"/>
        <v>0</v>
      </c>
      <c r="H26" s="451">
        <f t="shared" si="8"/>
        <v>0</v>
      </c>
      <c r="I26" s="451">
        <f t="shared" si="9"/>
        <v>0</v>
      </c>
      <c r="J26" s="451">
        <f t="shared" si="10"/>
        <v>7.2067789935162638</v>
      </c>
      <c r="K26" s="451">
        <f t="shared" si="11"/>
        <v>0</v>
      </c>
      <c r="L26" s="451">
        <f t="shared" si="12"/>
        <v>0</v>
      </c>
      <c r="M26" s="451">
        <f t="shared" si="13"/>
        <v>0</v>
      </c>
      <c r="N26" s="451">
        <f t="shared" si="14"/>
        <v>0</v>
      </c>
      <c r="O26" s="451">
        <f t="shared" si="15"/>
        <v>0</v>
      </c>
      <c r="P26" s="452">
        <f t="shared" si="16"/>
        <v>0</v>
      </c>
      <c r="Q26" s="450">
        <f t="shared" ca="1" si="17"/>
        <v>3821.7835600918734</v>
      </c>
    </row>
    <row r="27" spans="1:17" s="456" customFormat="1">
      <c r="A27" s="454" t="s">
        <v>563</v>
      </c>
      <c r="B27" s="754">
        <f t="shared" ca="1" si="2"/>
        <v>5.027657929884489</v>
      </c>
      <c r="C27" s="455">
        <f t="shared" ca="1" si="3"/>
        <v>0</v>
      </c>
      <c r="D27" s="455">
        <f t="shared" si="4"/>
        <v>15.1067818923965</v>
      </c>
      <c r="E27" s="455">
        <f t="shared" si="5"/>
        <v>83.090704961869051</v>
      </c>
      <c r="F27" s="455">
        <f t="shared" si="6"/>
        <v>0</v>
      </c>
      <c r="G27" s="455">
        <f t="shared" si="7"/>
        <v>44767.536973856018</v>
      </c>
      <c r="H27" s="455">
        <f t="shared" si="8"/>
        <v>6439.8774009487661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51310.639519588934</v>
      </c>
    </row>
    <row r="28" spans="1:17">
      <c r="A28" s="450" t="s">
        <v>553</v>
      </c>
      <c r="B28" s="451">
        <f t="shared" ca="1" si="2"/>
        <v>0</v>
      </c>
      <c r="C28" s="451">
        <f t="shared" ca="1" si="3"/>
        <v>0</v>
      </c>
      <c r="D28" s="451">
        <f t="shared" si="4"/>
        <v>0</v>
      </c>
      <c r="E28" s="451">
        <f t="shared" si="5"/>
        <v>0</v>
      </c>
      <c r="F28" s="451">
        <f t="shared" si="6"/>
        <v>0</v>
      </c>
      <c r="G28" s="451">
        <f t="shared" si="7"/>
        <v>497.47070633979092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497.47070633979092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241.26497673138402</v>
      </c>
      <c r="C32" s="451">
        <f t="shared" ca="1" si="3"/>
        <v>0</v>
      </c>
      <c r="D32" s="451">
        <f t="shared" si="4"/>
        <v>460.404926418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701.66990314938403</v>
      </c>
    </row>
    <row r="33" spans="1:17" s="460" customFormat="1">
      <c r="A33" s="1004" t="s">
        <v>557</v>
      </c>
      <c r="B33" s="944">
        <f ca="1">SUM(B22:B32)</f>
        <v>8860.8316671224093</v>
      </c>
      <c r="C33" s="944">
        <f t="shared" ref="C33:Q33" ca="1" si="18">SUM(C22:C32)</f>
        <v>10303.782352941182</v>
      </c>
      <c r="D33" s="944">
        <f t="shared" ca="1" si="18"/>
        <v>21802.214585279336</v>
      </c>
      <c r="E33" s="944">
        <f t="shared" si="18"/>
        <v>6042.6013899086329</v>
      </c>
      <c r="F33" s="944">
        <f t="shared" ca="1" si="18"/>
        <v>6873.0833755490949</v>
      </c>
      <c r="G33" s="944">
        <f t="shared" si="18"/>
        <v>45265.007680195806</v>
      </c>
      <c r="H33" s="944">
        <f t="shared" si="18"/>
        <v>6439.8774009487661</v>
      </c>
      <c r="I33" s="944">
        <f t="shared" si="18"/>
        <v>0</v>
      </c>
      <c r="J33" s="944">
        <f t="shared" si="18"/>
        <v>399.58746118670797</v>
      </c>
      <c r="K33" s="944">
        <f t="shared" si="18"/>
        <v>0</v>
      </c>
      <c r="L33" s="944">
        <f t="shared" ca="1" si="18"/>
        <v>0</v>
      </c>
      <c r="M33" s="944">
        <f t="shared" si="18"/>
        <v>0</v>
      </c>
      <c r="N33" s="944">
        <f t="shared" ca="1" si="18"/>
        <v>0</v>
      </c>
      <c r="O33" s="944">
        <f t="shared" si="18"/>
        <v>0</v>
      </c>
      <c r="P33" s="944">
        <f t="shared" si="18"/>
        <v>0</v>
      </c>
      <c r="Q33" s="944">
        <f t="shared" ca="1" si="18"/>
        <v>105986.98591313192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14463.580619183042</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7631.5999828267795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30350.25</v>
      </c>
      <c r="D8" s="1021">
        <f>'SEAP template'!D76</f>
        <v>35706.176470588238</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7212.6476470588241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22095.180602009823</v>
      </c>
      <c r="C10" s="1025">
        <f>SUM(C4:C9)</f>
        <v>30350.25</v>
      </c>
      <c r="D10" s="1025">
        <f t="shared" ref="D10:H10" si="0">SUM(D8:D9)</f>
        <v>35706.176470588238</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7212.6476470588241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0.14791898095670214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43357.500000000007</v>
      </c>
      <c r="D17" s="1022">
        <f>'SEAP template'!D87</f>
        <v>51008.823529411784</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10303.782352941182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43357.500000000007</v>
      </c>
      <c r="D20" s="1025">
        <f t="shared" ref="D20:H20" si="2">SUM(D17:D19)</f>
        <v>51008.823529411784</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10303.782352941182</v>
      </c>
    </row>
    <row r="22" spans="1:16">
      <c r="A22" s="461" t="s">
        <v>857</v>
      </c>
      <c r="B22" s="760" t="s">
        <v>851</v>
      </c>
      <c r="C22" s="760">
        <f ca="1">'EF ele_warmte'!B22</f>
        <v>0.23764705882352954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0.14791898095670214</v>
      </c>
      <c r="C17" s="498">
        <f ca="1">'EF ele_warmte'!B22</f>
        <v>0.23764705882352954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2020-06-20T15:59:07Z</dcterms:modified>
</cp:coreProperties>
</file>