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F20" i="18"/>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B48" i="18"/>
  <c r="C8" i="18" s="1"/>
  <c r="C10" i="18" s="1"/>
  <c r="F49" i="18"/>
  <c r="D48" i="18"/>
  <c r="J8" i="18" s="1"/>
  <c r="C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J20" i="15"/>
  <c r="K40" i="14" s="1"/>
  <c r="N63" i="14"/>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23" i="48" l="1"/>
  <c r="E33" i="48" s="1"/>
  <c r="E8" i="48"/>
  <c r="E26" i="48" s="1"/>
  <c r="F13" i="14"/>
  <c r="F16" i="14" s="1"/>
  <c r="F27" i="14" s="1"/>
  <c r="J22" i="16"/>
  <c r="K43" i="14" s="1"/>
  <c r="K46" i="14" s="1"/>
  <c r="K61" i="14" s="1"/>
  <c r="K63" i="14" s="1"/>
  <c r="J8" i="48"/>
  <c r="K13" i="14"/>
  <c r="K16" i="14" s="1"/>
  <c r="K27" i="14" s="1"/>
  <c r="E22" i="16"/>
  <c r="F43" i="14" s="1"/>
  <c r="F46" i="14" s="1"/>
  <c r="F61" i="14" s="1"/>
  <c r="F63" i="14" s="1"/>
  <c r="G33" i="48"/>
  <c r="N8" i="48"/>
  <c r="N26" i="48" s="1"/>
  <c r="O13" i="14"/>
  <c r="N22" i="16"/>
  <c r="O43" i="14" s="1"/>
  <c r="G13" i="14"/>
  <c r="R13" i="14" s="1"/>
  <c r="F8" i="48"/>
  <c r="E15" i="48" l="1"/>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<sst xmlns="http://schemas.openxmlformats.org/spreadsheetml/2006/main" count="2416" uniqueCount="903">
  <si>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</si>
  <si>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</si>
  <si>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</si>
  <si>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</si>
  <si>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</si>
  <si>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</si>
  <si>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</si>
  <si>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</si>
  <si>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</si>
  <si>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</si>
  <si>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</si>
  <si>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</si>
  <si>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</si>
  <si>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</si>
  <si>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</si>
  <si>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</si>
  <si>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</si>
  <si>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</si>
  <si>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</si>
  <si>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</si>
  <si>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</si>
  <si>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</si>
  <si>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</si>
  <si>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</si>
  <si>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</si>
  <si>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</si>
  <si>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</si>
  <si>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</si>
  <si>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</si>
  <si>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</si>
  <si>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</si>
  <si>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</si>
  <si>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</si>
  <si>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</si>
  <si>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</si>
  <si>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</si>
  <si>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</si>
  <si>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</si>
  <si>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</si>
  <si>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</si>
  <si>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</si>
  <si>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</si>
  <si>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</si>
  <si>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</si>
  <si>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</si>
  <si>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</si>
  <si>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</si>
  <si>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</si>
  <si>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</si>
  <si>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</si>
  <si>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</si>
  <si>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</si>
  <si>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</si>
  <si>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</si>
  <si>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</si>
  <si>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</si>
  <si>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</si>
  <si>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</si>
  <si>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</si>
  <si>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</si>
  <si>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</si>
  <si>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</si>
  <si>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</si>
  <si>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</si>
  <si>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</si>
  <si>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</si>
  <si>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</si>
  <si>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</si>
  <si>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</si>
  <si>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</si>
  <si>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</si>
  <si>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</si>
  <si>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</si>
  <si>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</si>
  <si>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</si>
  <si>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</si>
  <si>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</si>
  <si>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</si>
  <si>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</si>
  <si>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</si>
  <si>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</si>
  <si>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</si>
  <si>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</si>
  <si>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</si>
  <si>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</si>
  <si>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</si>
  <si>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</si>
  <si>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</si>
  <si>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</si>
  <si>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</si>
  <si>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</si>
  <si>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</si>
  <si>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</si>
  <si>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</si>
  <si>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</si>
  <si>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</si>
  <si>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</si>
  <si>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</si>
  <si>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</si>
  <si>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</si>
  <si>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</si>
  <si>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</si>
  <si>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</si>
  <si>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</si>
  <si>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</si>
  <si>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</si>
  <si>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</si>
  <si>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</si>
  <si>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</si>
  <si>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</si>
  <si>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</si>
  <si>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</si>
  <si>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</si>
  <si>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</si>
  <si>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</si>
  <si>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</si>
  <si>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</si>
  <si>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</si>
  <si>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</si>
  <si>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</si>
  <si>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</si>
  <si>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</si>
  <si>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</si>
  <si>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</si>
  <si>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</si>
  <si>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</si>
  <si>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</si>
  <si>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</si>
  <si>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</si>
  <si>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</si>
  <si>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</si>
  <si>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</si>
  <si>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</si>
  <si>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</si>
  <si>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</si>
  <si>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</si>
  <si>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</si>
  <si>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</si>
  <si>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</si>
  <si>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</si>
  <si>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</si>
  <si>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</si>
  <si>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</si>
  <si>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</si>
  <si>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</si>
  <si>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</si>
  <si>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</si>
  <si>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</si>
  <si>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</si>
  <si>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</si>
  <si>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</si>
  <si>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</si>
  <si>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</si>
  <si>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</si>
  <si>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</si>
  <si>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</si>
  <si>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</si>
  <si>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</si>
  <si>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</si>
  <si>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</si>
  <si>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</si>
  <si>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</si>
  <si>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</si>
  <si>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</si>
  <si>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</si>
  <si>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</si>
  <si>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</si>
  <si>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</si>
  <si>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</si>
  <si>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</si>
  <si>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</si>
  <si>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</si>
  <si>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</si>
  <si>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</si>
  <si>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</si>
  <si>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</si>
  <si>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</si>
  <si>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</si>
  <si>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</si>
  <si>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</si>
  <si>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</si>
  <si>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</si>
  <si>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</si>
  <si>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</si>
  <si>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</si>
  <si>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</si>
  <si>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</si>
  <si>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</si>
  <si>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</si>
  <si>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</si>
  <si>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</si>
  <si>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</si>
  <si>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</si>
  <si>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</si>
  <si>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</si>
  <si>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</si>
  <si>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</si>
  <si>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</si>
  <si>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</si>
  <si>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</si>
  <si>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</si>
  <si>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</si>
  <si>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</si>
  <si>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</si>
  <si>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</si>
  <si>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</si>
  <si>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</si>
  <si>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</si>
  <si>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</si>
  <si>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</si>
  <si>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</si>
  <si>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</si>
  <si>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</si>
  <si>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</si>
  <si>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</si>
  <si>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</si>
  <si>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</si>
  <si>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</si>
  <si>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</si>
  <si>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</si>
  <si>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</si>
  <si>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</si>
  <si>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</si>
  <si>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</si>
  <si>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</si>
  <si>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</si>
  <si>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</si>
  <si>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</si>
  <si>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</si>
  <si>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</si>
  <si>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</si>
  <si>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</si>
  <si>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</si>
  <si>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</si>
  <si>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</si>
  <si>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</si>
  <si>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</si>
  <si>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</si>
  <si>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</si>
  <si>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</si>
  <si>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</si>
  <si>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</si>
  <si>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</si>
  <si>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</si>
  <si>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</si>
  <si>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</si>
  <si>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</si>
  <si>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</si>
  <si>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</si>
  <si>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</si>
  <si>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</si>
  <si>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</si>
  <si>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</si>
  <si>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</si>
  <si>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</si>
  <si>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</si>
  <si>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</si>
  <si>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</si>
  <si>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</si>
  <si>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</si>
  <si>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</si>
  <si>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</si>
  <si>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</si>
  <si>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</si>
  <si>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</si>
  <si>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</si>
  <si>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</si>
  <si>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</si>
  <si>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</si>
  <si>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</si>
  <si>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</si>
  <si>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</si>
  <si>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</si>
  <si>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</si>
  <si>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</si>
  <si>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</si>
  <si>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</si>
  <si>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</si>
  <si>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</si>
  <si>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</si>
  <si>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</si>
  <si>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</si>
  <si>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</si>
  <si>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</si>
  <si>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</si>
  <si>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</si>
  <si>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</si>
  <si>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</si>
  <si>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</si>
  <si>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</si>
  <si>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</si>
  <si>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</si>
  <si>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</si>
  <si>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</si>
  <si>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</si>
  <si>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</si>
  <si>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</si>
  <si>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</si>
  <si>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</si>
  <si>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</si>
  <si>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</si>
  <si>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</si>
  <si>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</si>
  <si>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</si>
  <si>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</si>
  <si>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</si>
  <si>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</si>
  <si>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</si>
  <si>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</si>
  <si>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</si>
  <si>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</si>
  <si>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</si>
  <si>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</si>
  <si>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</si>
  <si>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</si>
  <si>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</si>
  <si>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</si>
  <si>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</si>
  <si>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</si>
  <si>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</si>
  <si>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</si>
  <si>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</si>
  <si>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</si>
  <si>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</si>
  <si>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</si>
  <si>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</si>
  <si>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</si>
  <si>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</si>
  <si>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</si>
  <si>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</si>
  <si>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</si>
  <si>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</si>
  <si>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</si>
  <si>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</si>
  <si>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</si>
  <si>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</si>
  <si>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</si>
  <si>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</si>
  <si>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</si>
  <si>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</si>
  <si>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</si>
  <si>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</si>
  <si>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</si>
  <si>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</si>
  <si>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</si>
  <si>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</si>
  <si>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</si>
  <si>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</si>
  <si>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</si>
  <si>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</si>
  <si>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</si>
  <si>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</si>
  <si>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</si>
  <si>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</si>
  <si>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</si>
  <si>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</si>
  <si>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</si>
  <si>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</si>
  <si>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</si>
  <si>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</si>
  <si>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</si>
  <si>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</si>
  <si>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</si>
  <si>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</si>
  <si>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</si>
  <si>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</si>
  <si>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</si>
  <si>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</si>
  <si>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</si>
  <si>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</si>
  <si>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</si>
  <si>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</si>
  <si>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</si>
  <si>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</si>
  <si>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</si>
  <si>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</si>
  <si>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</si>
  <si>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</si>
  <si>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</si>
  <si>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</si>
  <si>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</si>
  <si>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</si>
  <si>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</si>
  <si>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</si>
  <si>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</si>
  <si>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</si>
  <si>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</si>
  <si>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</si>
  <si>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</si>
  <si>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</si>
  <si>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</si>
  <si>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</si>
  <si>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</si>
  <si>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</si>
  <si>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</si>
  <si>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</si>
  <si>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</si>
  <si>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</si>
  <si>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</si>
  <si>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</si>
  <si>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</si>
  <si>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</si>
  <si>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</si>
  <si>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</si>
  <si>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</si>
  <si>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</si>
  <si>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</si>
  <si>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</si>
  <si>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</si>
  <si>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</si>
  <si>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</si>
  <si>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</si>
  <si>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</si>
  <si>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</si>
  <si>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</si>
  <si>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</si>
  <si>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</si>
  <si>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</si>
  <si>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</si>
  <si>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</si>
  <si>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</si>
  <si>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</si>
  <si>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</si>
  <si>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</si>
  <si>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</si>
  <si>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</si>
  <si>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</si>
  <si>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</si>
  <si>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</si>
  <si>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</si>
  <si>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</si>
  <si>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</si>
  <si>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</si>
  <si>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</si>
  <si>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</si>
  <si>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</si>
  <si>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</si>
  <si>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</si>
  <si>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</si>
  <si>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</si>
  <si>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</si>
  <si>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</si>
  <si>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</si>
  <si>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</si>
  <si>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</si>
  <si>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</si>
  <si>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</si>
  <si>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</si>
  <si>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</si>
  <si>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</si>
  <si>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</si>
  <si>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</si>
  <si>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</si>
  <si>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</si>
  <si>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</si>
  <si>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</si>
  <si>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</si>
  <si>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</si>
  <si>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</si>
  <si>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</si>
  <si>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</si>
  <si>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</si>
  <si>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</si>
  <si>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</si>
  <si>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</si>
  <si>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</si>
  <si>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</si>
  <si>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</si>
  <si>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</si>
  <si>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</si>
  <si>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</si>
  <si>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</si>
  <si>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</si>
  <si>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</si>
  <si>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</si>
  <si>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</si>
  <si>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</si>
  <si>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</si>
  <si>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</si>
  <si>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</si>
  <si>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</si>
  <si>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</si>
  <si>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</si>
  <si>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</si>
  <si>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</si>
  <si>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</si>
  <si>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</si>
  <si>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</si>
  <si>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</si>
  <si>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</si>
  <si>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</si>
  <si>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</si>
  <si>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</si>
  <si>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</si>
  <si>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</si>
  <si>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</si>
  <si>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</si>
  <si>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</si>
  <si>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</si>
  <si>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</si>
  <si>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</si>
  <si>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</si>
  <si>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</si>
  <si>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</si>
  <si>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</si>
  <si>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</si>
  <si>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</si>
  <si>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</si>
  <si>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</si>
  <si>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</si>
  <si>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</si>
  <si>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</si>
  <si>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</si>
  <si>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</si>
  <si>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</si>
  <si>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</si>
  <si>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</si>
  <si>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</si>
  <si>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</si>
  <si>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</si>
  <si>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</si>
  <si>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</si>
  <si>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</si>
  <si>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</si>
  <si>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</si>
  <si>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</si>
  <si>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</si>
  <si>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</si>
  <si>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</si>
  <si>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</si>
  <si>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</si>
  <si>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</si>
  <si>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</si>
  <si>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</si>
  <si>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</si>
  <si>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</si>
  <si>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</si>
  <si>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</si>
  <si>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</si>
  <si>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</si>
  <si>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</si>
  <si>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</si>
  <si>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</si>
  <si>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</si>
  <si>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</si>
  <si>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</si>
  <si>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</si>
  <si>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</si>
  <si>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</si>
  <si>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</si>
  <si>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</si>
  <si>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</si>
  <si>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</si>
  <si>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</si>
  <si>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</si>
  <si>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</si>
  <si>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</si>
  <si>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</si>
  <si>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</si>
  <si>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</si>
  <si>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</si>
  <si>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</si>
  <si>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</si>
  <si>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</si>
  <si>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</si>
  <si>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</si>
  <si>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</si>
  <si>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</si>
  <si>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</si>
  <si>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</si>
  <si>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</si>
  <si>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</si>
  <si>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</si>
  <si>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</si>
  <si>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</si>
  <si>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</si>
  <si>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</si>
  <si>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</si>
  <si>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</si>
  <si>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</si>
  <si>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</si>
  <si>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</si>
  <si>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</si>
  <si>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</si>
  <si>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</si>
  <si>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</si>
  <si>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</si>
  <si>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</si>
  <si>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</si>
  <si>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</si>
  <si>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</si>
  <si>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</si>
  <si>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</si>
  <si>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</si>
  <si>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</si>
  <si>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</si>
  <si>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</si>
  <si>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</si>
  <si>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</si>
  <si>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</si>
  <si>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</si>
  <si>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</si>
  <si>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</si>
  <si>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</si>
  <si>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</si>
  <si>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</si>
  <si>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</si>
  <si>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</si>
  <si>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</si>
  <si>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</si>
  <si>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</si>
  <si>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</si>
  <si>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</si>
  <si>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</si>
  <si>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</si>
  <si>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</si>
  <si>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</si>
  <si>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</si>
  <si>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</si>
  <si>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</si>
  <si>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</si>
  <si>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</si>
  <si>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</si>
  <si>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</si>
  <si>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</si>
  <si>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</si>
  <si>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</si>
  <si>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</si>
  <si>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</si>
  <si>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</si>
  <si>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</si>
  <si>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</si>
  <si>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</si>
  <si>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</si>
  <si>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</si>
  <si>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</si>
  <si>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</si>
  <si>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</si>
  <si>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</si>
  <si>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</si>
  <si>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</si>
  <si>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</si>
  <si>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</si>
  <si>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</si>
  <si>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</si>
  <si>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</si>
  <si>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</si>
  <si>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</si>
  <si>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</si>
  <si>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</si>
  <si>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</si>
  <si>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</si>
  <si>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</si>
  <si>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</si>
  <si>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</si>
  <si>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</si>
  <si>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</si>
  <si>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</si>
  <si>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</si>
  <si>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</si>
  <si>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</si>
  <si>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</si>
  <si>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</si>
  <si>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</si>
  <si>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</si>
  <si>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</si>
  <si>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</si>
  <si>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</si>
  <si>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</si>
  <si>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</si>
  <si>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</si>
  <si>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</si>
  <si>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</si>
  <si>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</si>
  <si>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</si>
  <si>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</si>
  <si>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</si>
  <si>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</si>
  <si>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</si>
  <si>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</si>
  <si>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</si>
  <si>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</si>
  <si>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</si>
  <si>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</si>
  <si>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</si>
  <si>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</si>
  <si>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</si>
  <si>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</si>
  <si>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</si>
  <si>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</si>
  <si>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</si>
  <si>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</si>
  <si>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</si>
  <si>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</si>
  <si>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</si>
  <si>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</si>
  <si>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</si>
  <si>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</si>
  <si>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</si>
  <si>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</si>
  <si>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</si>
  <si>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</si>
  <si>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</si>
  <si>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</si>
  <si>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</si>
  <si>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</si>
  <si>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</si>
  <si>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</si>
  <si>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</si>
  <si>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</si>
  <si>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</si>
  <si>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</si>
  <si>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</si>
  <si>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</si>
  <si>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</si>
  <si>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</si>
  <si>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</si>
  <si>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</si>
  <si>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</si>
  <si>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</si>
  <si>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</si>
  <si>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</si>
  <si>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</si>
  <si>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</si>
  <si>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</si>
  <si>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</si>
  <si>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</si>
  <si>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</si>
  <si>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</si>
  <si>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</si>
  <si>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</si>
  <si>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</si>
  <si>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</si>
  <si>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</si>
  <si>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</si>
  <si>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</si>
  <si>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</si>
  <si>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</si>
  <si>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</si>
  <si>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</si>
  <si>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</si>
  <si>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</si>
  <si>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</si>
  <si>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</si>
  <si>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</si>
  <si>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</si>
  <si>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</si>
  <si>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</si>
  <si>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</si>
  <si>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</si>
  <si>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</si>
  <si>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</si>
  <si>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</si>
  <si>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</si>
  <si>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</si>
  <si>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</si>
  <si>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</si>
  <si>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</si>
  <si>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</si>
  <si>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</si>
  <si>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</si>
  <si>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</si>
  <si>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</si>
  <si>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</si>
  <si>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</si>
  <si>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</si>
  <si>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</si>
  <si>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</si>
  <si>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</si>
  <si>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</si>
  <si>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</si>
  <si>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</si>
  <si>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</si>
  <si>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</si>
  <si>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</si>
  <si>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</si>
  <si>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</si>
  <si>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</si>
  <si>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</si>
  <si>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</si>
  <si>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</si>
  <si>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</si>
  <si>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</si>
  <si>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</si>
  <si>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</si>
  <si>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</si>
  <si>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</si>
  <si>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</si>
  <si>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</si>
  <si>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</si>
  <si>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</si>
  <si>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</si>
  <si>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</si>
  <si>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</si>
  <si>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</si>
  <si>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</si>
  <si>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</si>
  <si>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</si>
  <si>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</si>
  <si>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</si>
  <si>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</si>
  <si>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</si>
  <si>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</si>
  <si>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</si>
  <si>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</si>
  <si>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</si>
  <si>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</si>
  <si>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</si>
  <si>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</si>
  <si>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</si>
  <si>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</si>
  <si>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</si>
  <si>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</si>
  <si>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</si>
  <si>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</si>
  <si>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</si>
  <si>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</si>
  <si>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</si>
  <si>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</si>
  <si>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</si>
  <si>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</si>
  <si>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</si>
  <si>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</si>
  <si>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</si>
  <si>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</si>
  <si>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</si>
  <si>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</si>
  <si>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</si>
  <si>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</si>
  <si>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</si>
  <si>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</si>
  <si>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</si>
  <si>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</si>
  <si>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</si>
  <si>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</si>
  <si>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</si>
  <si>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</si>
  <si>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</si>
  <si>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</si>
  <si>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</si>
  <si>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</si>
  <si>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</si>
  <si>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</si>
  <si>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</si>
  <si>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</si>
  <si>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</si>
  <si>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</si>
  <si>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</si>
  <si>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</si>
  <si>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</si>
  <si>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</si>
  <si>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</si>
  <si>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</si>
  <si>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</si>
  <si>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</si>
  <si>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</si>
  <si>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</si>
  <si>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</si>
  <si>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</si>
  <si>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</si>
  <si>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</si>
  <si>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</si>
  <si>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</si>
  <si>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</si>
  <si>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</si>
  <si>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</si>
  <si>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</si>
  <si>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</si>
  <si>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</si>
  <si>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</si>
  <si>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</si>
  <si>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</si>
  <si>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</si>
  <si>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</si>
  <si>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</si>
  <si>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</si>
  <si>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</si>
  <si>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</si>
  <si>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</si>
  <si>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</si>
  <si>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</si>
  <si>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</si>
  <si>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</si>
  <si>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</si>
  <si>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</si>
  <si>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</si>
  <si>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</si>
  <si>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</si>
  <si>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</si>
  <si>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</si>
  <si>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46014</t>
  </si>
  <si>
    <t>LOKEREN</t>
  </si>
  <si>
    <t>Paarden&amp;pony's 200 - 600 kg</t>
  </si>
  <si>
    <t>Paarden&amp;pony's &lt; 200 kg</t>
  </si>
  <si>
    <t>Fluvius</t>
  </si>
  <si>
    <t>referentietaak LNE (2017); Jaarverslag De Lijn</t>
  </si>
  <si>
    <t>Biolectric nv</t>
  </si>
  <si>
    <t>Jan de Malschelaan 4 B, 9140 Temse</t>
  </si>
  <si>
    <t>WKK-0391 Danny De Cleene(Inpandgeving)</t>
  </si>
  <si>
    <t>interne verbrandingsmotor</t>
  </si>
  <si>
    <t>WKK interne verbrandinsgmotor (gas)</t>
  </si>
  <si>
    <t>Vijverstraat 13 E, 9160 Lokeren</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</si>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</sst>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292710.55588296696</c:v>
                </c:pt>
                <c:pt idx="1">
                  <c:v>200963.66177928631</c:v>
                </c:pt>
                <c:pt idx="2">
                  <c:v>2396.4819087000001</c:v>
                </c:pt>
                <c:pt idx="3">
                  <c:v>23316.876905648707</c:v>
                </c:pt>
                <c:pt idx="4">
                  <c:v>155303.73183299432</c:v>
                </c:pt>
                <c:pt idx="5">
                  <c:v>459155.47621838329</c:v>
                </c:pt>
                <c:pt idx="6">
                  <c:v>2049.2719091732097</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292710.55588296696</c:v>
                </c:pt>
                <c:pt idx="1">
                  <c:v>200963.66177928631</c:v>
                </c:pt>
                <c:pt idx="2">
                  <c:v>2396.4819087000001</c:v>
                </c:pt>
                <c:pt idx="3">
                  <c:v>23316.876905648707</c:v>
                </c:pt>
                <c:pt idx="4">
                  <c:v>155303.73183299432</c:v>
                </c:pt>
                <c:pt idx="5">
                  <c:v>459155.47621838329</c:v>
                </c:pt>
                <c:pt idx="6">
                  <c:v>2049.2719091732097</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52517.468299168133</c:v>
                </c:pt>
                <c:pt idx="2">
                  <c:v>40232.726630701836</c:v>
                </c:pt>
                <c:pt idx="3">
                  <c:v>491.7919688008833</c:v>
                </c:pt>
                <c:pt idx="4">
                  <c:v>5667.0207277963946</c:v>
                </c:pt>
                <c:pt idx="5">
                  <c:v>31372.172785497354</c:v>
                </c:pt>
                <c:pt idx="6">
                  <c:v>117825.10329572092</c:v>
                </c:pt>
                <c:pt idx="7">
                  <c:v>530.71479468240182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52517.468299168133</c:v>
                </c:pt>
                <c:pt idx="2">
                  <c:v>40232.726630701836</c:v>
                </c:pt>
                <c:pt idx="3">
                  <c:v>491.7919688008833</c:v>
                </c:pt>
                <c:pt idx="4">
                  <c:v>5667.0207277963946</c:v>
                </c:pt>
                <c:pt idx="5">
                  <c:v>31372.172785497354</c:v>
                </c:pt>
                <c:pt idx="6">
                  <c:v>117825.10329572092</c:v>
                </c:pt>
                <c:pt idx="7">
                  <c:v>530.71479468240182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46014</v>
      </c>
      <c r="B6" s="390"/>
      <c r="C6" s="391"/>
    </row>
    <row r="7" spans="1:7" s="388" customFormat="1" ht="15.75" customHeight="1">
      <c r="A7" s="392" t="str">
        <f>txtMunicipality</f>
        <v>LOKEREN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80292.341347299996</v>
      </c>
      <c r="D10" s="978">
        <f ca="1">tertiair!C16</f>
        <v>0</v>
      </c>
      <c r="E10" s="978">
        <f ca="1">tertiair!D16</f>
        <v>93473.651385602396</v>
      </c>
      <c r="F10" s="978">
        <f>tertiair!E16</f>
        <v>1634.9413804982505</v>
      </c>
      <c r="G10" s="978">
        <f ca="1">tertiair!F16</f>
        <v>18706.313556398451</v>
      </c>
      <c r="H10" s="978">
        <f>tertiair!G16</f>
        <v>0</v>
      </c>
      <c r="I10" s="978">
        <f>tertiair!H16</f>
        <v>0</v>
      </c>
      <c r="J10" s="978">
        <f>tertiair!I16</f>
        <v>0</v>
      </c>
      <c r="K10" s="978">
        <f>tertiair!J16</f>
        <v>0</v>
      </c>
      <c r="L10" s="978">
        <f>tertiair!K16</f>
        <v>0</v>
      </c>
      <c r="M10" s="978">
        <f ca="1">tertiair!L16</f>
        <v>0</v>
      </c>
      <c r="N10" s="978">
        <f>tertiair!M16</f>
        <v>0</v>
      </c>
      <c r="O10" s="978">
        <f ca="1">tertiair!N16</f>
        <v>9089.4193515205552</v>
      </c>
      <c r="P10" s="978">
        <f>tertiair!O16</f>
        <v>10.943333333333335</v>
      </c>
      <c r="Q10" s="979">
        <f>tertiair!P16</f>
        <v>152.53333333333333</v>
      </c>
      <c r="R10" s="674">
        <f ca="1">SUM(C10:Q10)</f>
        <v>203360.14368798633</v>
      </c>
      <c r="S10" s="67"/>
    </row>
    <row r="11" spans="1:19" s="447" customFormat="1">
      <c r="A11" s="783" t="s">
        <v>224</v>
      </c>
      <c r="B11" s="788"/>
      <c r="C11" s="978">
        <f>huishoudens!B8</f>
        <v>70262.942252261157</v>
      </c>
      <c r="D11" s="978">
        <f>huishoudens!C8</f>
        <v>0</v>
      </c>
      <c r="E11" s="978">
        <f>huishoudens!D8</f>
        <v>143512.05466994</v>
      </c>
      <c r="F11" s="978">
        <f>huishoudens!E8</f>
        <v>35103.152169798996</v>
      </c>
      <c r="G11" s="978">
        <f>huishoudens!F8</f>
        <v>0</v>
      </c>
      <c r="H11" s="978">
        <f>huishoudens!G8</f>
        <v>0</v>
      </c>
      <c r="I11" s="978">
        <f>huishoudens!H8</f>
        <v>0</v>
      </c>
      <c r="J11" s="978">
        <f>huishoudens!I8</f>
        <v>0</v>
      </c>
      <c r="K11" s="978">
        <f>huishoudens!J8</f>
        <v>3222.22767005685</v>
      </c>
      <c r="L11" s="978">
        <f>huishoudens!K8</f>
        <v>0</v>
      </c>
      <c r="M11" s="978">
        <f>huishoudens!L8</f>
        <v>0</v>
      </c>
      <c r="N11" s="978">
        <f>huishoudens!M8</f>
        <v>0</v>
      </c>
      <c r="O11" s="978">
        <f>huishoudens!N8</f>
        <v>38169.495787576663</v>
      </c>
      <c r="P11" s="978">
        <f>huishoudens!O8</f>
        <v>476.81666666666666</v>
      </c>
      <c r="Q11" s="979">
        <f>huishoudens!P8</f>
        <v>1963.8666666666668</v>
      </c>
      <c r="R11" s="674">
        <f>SUM(C11:Q11)</f>
        <v>292710.55588296696</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67445.133111949996</v>
      </c>
      <c r="D13" s="978">
        <f>industrie!C18</f>
        <v>0</v>
      </c>
      <c r="E13" s="978">
        <f>industrie!D18</f>
        <v>53042.587100632802</v>
      </c>
      <c r="F13" s="978">
        <f>industrie!E18</f>
        <v>3921.6479991589194</v>
      </c>
      <c r="G13" s="978">
        <f>industrie!F18</f>
        <v>21869.568933313178</v>
      </c>
      <c r="H13" s="978">
        <f>industrie!G18</f>
        <v>0</v>
      </c>
      <c r="I13" s="978">
        <f>industrie!H18</f>
        <v>0</v>
      </c>
      <c r="J13" s="978">
        <f>industrie!I18</f>
        <v>0</v>
      </c>
      <c r="K13" s="978">
        <f>industrie!J18</f>
        <v>247.1365691094272</v>
      </c>
      <c r="L13" s="978">
        <f>industrie!K18</f>
        <v>0</v>
      </c>
      <c r="M13" s="978">
        <f>industrie!L18</f>
        <v>0</v>
      </c>
      <c r="N13" s="978">
        <f>industrie!M18</f>
        <v>0</v>
      </c>
      <c r="O13" s="978">
        <f>industrie!N18</f>
        <v>8777.6581188300079</v>
      </c>
      <c r="P13" s="978">
        <f>industrie!O18</f>
        <v>0</v>
      </c>
      <c r="Q13" s="979">
        <f>industrie!P18</f>
        <v>0</v>
      </c>
      <c r="R13" s="674">
        <f>SUM(C13:Q13)</f>
        <v>155303.73183299432</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218000.41671151115</v>
      </c>
      <c r="D16" s="706">
        <f t="shared" ref="D16:R16" ca="1" si="0">SUM(D9:D15)</f>
        <v>0</v>
      </c>
      <c r="E16" s="706">
        <f t="shared" ca="1" si="0"/>
        <v>290028.29315617518</v>
      </c>
      <c r="F16" s="706">
        <f t="shared" si="0"/>
        <v>40659.741549456165</v>
      </c>
      <c r="G16" s="706">
        <f t="shared" ca="1" si="0"/>
        <v>40575.882489711628</v>
      </c>
      <c r="H16" s="706">
        <f t="shared" si="0"/>
        <v>0</v>
      </c>
      <c r="I16" s="706">
        <f t="shared" si="0"/>
        <v>0</v>
      </c>
      <c r="J16" s="706">
        <f t="shared" si="0"/>
        <v>0</v>
      </c>
      <c r="K16" s="706">
        <f t="shared" si="0"/>
        <v>3469.364239166277</v>
      </c>
      <c r="L16" s="706">
        <f t="shared" si="0"/>
        <v>0</v>
      </c>
      <c r="M16" s="706">
        <f t="shared" ca="1" si="0"/>
        <v>0</v>
      </c>
      <c r="N16" s="706">
        <f t="shared" si="0"/>
        <v>0</v>
      </c>
      <c r="O16" s="706">
        <f t="shared" ca="1" si="0"/>
        <v>56036.57325792723</v>
      </c>
      <c r="P16" s="706">
        <f t="shared" si="0"/>
        <v>487.76</v>
      </c>
      <c r="Q16" s="706">
        <f t="shared" si="0"/>
        <v>2116.4</v>
      </c>
      <c r="R16" s="706">
        <f t="shared" ca="1" si="0"/>
        <v>651374.43140394753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1987.6958602337145</v>
      </c>
      <c r="I19" s="978">
        <f>transport!H54</f>
        <v>0</v>
      </c>
      <c r="J19" s="978">
        <f>transport!I54</f>
        <v>0</v>
      </c>
      <c r="K19" s="978">
        <f>transport!J54</f>
        <v>0</v>
      </c>
      <c r="L19" s="978">
        <f>transport!K54</f>
        <v>0</v>
      </c>
      <c r="M19" s="978">
        <f>transport!L54</f>
        <v>0</v>
      </c>
      <c r="N19" s="978">
        <f>transport!M54</f>
        <v>61.576048939495038</v>
      </c>
      <c r="O19" s="978">
        <f>transport!N54</f>
        <v>0</v>
      </c>
      <c r="P19" s="978">
        <f>transport!O54</f>
        <v>0</v>
      </c>
      <c r="Q19" s="979">
        <f>transport!P54</f>
        <v>0</v>
      </c>
      <c r="R19" s="674">
        <f>SUM(C19:Q19)</f>
        <v>2049.2719091732097</v>
      </c>
      <c r="S19" s="67"/>
    </row>
    <row r="20" spans="1:19" s="447" customFormat="1">
      <c r="A20" s="783" t="s">
        <v>306</v>
      </c>
      <c r="B20" s="788"/>
      <c r="C20" s="978">
        <f>transport!B14</f>
        <v>79.821036041741337</v>
      </c>
      <c r="D20" s="978">
        <f>transport!C14</f>
        <v>0</v>
      </c>
      <c r="E20" s="978">
        <f>transport!D14</f>
        <v>161.15733781474424</v>
      </c>
      <c r="F20" s="978">
        <f>transport!E14</f>
        <v>812.73815324513487</v>
      </c>
      <c r="G20" s="978">
        <f>transport!F14</f>
        <v>0</v>
      </c>
      <c r="H20" s="978">
        <f>transport!G14</f>
        <v>387955.26404515275</v>
      </c>
      <c r="I20" s="978">
        <f>transport!H14</f>
        <v>56255.510231105145</v>
      </c>
      <c r="J20" s="978">
        <f>transport!I14</f>
        <v>0</v>
      </c>
      <c r="K20" s="978">
        <f>transport!J14</f>
        <v>0</v>
      </c>
      <c r="L20" s="978">
        <f>transport!K14</f>
        <v>0</v>
      </c>
      <c r="M20" s="978">
        <f>transport!L14</f>
        <v>0</v>
      </c>
      <c r="N20" s="978">
        <f>transport!M14</f>
        <v>13890.985415023737</v>
      </c>
      <c r="O20" s="978">
        <f>transport!N14</f>
        <v>0</v>
      </c>
      <c r="P20" s="978">
        <f>transport!O14</f>
        <v>0</v>
      </c>
      <c r="Q20" s="979">
        <f>transport!P14</f>
        <v>0</v>
      </c>
      <c r="R20" s="674">
        <f>SUM(C20:Q20)</f>
        <v>459155.47621838329</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79.821036041741337</v>
      </c>
      <c r="D22" s="786">
        <f t="shared" ref="D22:R22" si="1">SUM(D18:D21)</f>
        <v>0</v>
      </c>
      <c r="E22" s="786">
        <f t="shared" si="1"/>
        <v>161.15733781474424</v>
      </c>
      <c r="F22" s="786">
        <f t="shared" si="1"/>
        <v>812.73815324513487</v>
      </c>
      <c r="G22" s="786">
        <f t="shared" si="1"/>
        <v>0</v>
      </c>
      <c r="H22" s="786">
        <f t="shared" si="1"/>
        <v>389942.95990538649</v>
      </c>
      <c r="I22" s="786">
        <f t="shared" si="1"/>
        <v>56255.510231105145</v>
      </c>
      <c r="J22" s="786">
        <f t="shared" si="1"/>
        <v>0</v>
      </c>
      <c r="K22" s="786">
        <f t="shared" si="1"/>
        <v>0</v>
      </c>
      <c r="L22" s="786">
        <f t="shared" si="1"/>
        <v>0</v>
      </c>
      <c r="M22" s="786">
        <f t="shared" si="1"/>
        <v>0</v>
      </c>
      <c r="N22" s="786">
        <f t="shared" si="1"/>
        <v>13952.561463963231</v>
      </c>
      <c r="O22" s="786">
        <f t="shared" si="1"/>
        <v>0</v>
      </c>
      <c r="P22" s="786">
        <f t="shared" si="1"/>
        <v>0</v>
      </c>
      <c r="Q22" s="786">
        <f t="shared" si="1"/>
        <v>0</v>
      </c>
      <c r="R22" s="786">
        <f t="shared" si="1"/>
        <v>461204.74812755652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3682.1211718499999</v>
      </c>
      <c r="D24" s="978">
        <f>+landbouw!C8</f>
        <v>62.357142857142847</v>
      </c>
      <c r="E24" s="978">
        <f>+landbouw!D8</f>
        <v>5488.5067187874001</v>
      </c>
      <c r="F24" s="978">
        <f>+landbouw!E8</f>
        <v>94.947767311239602</v>
      </c>
      <c r="G24" s="978">
        <f>+landbouw!F8</f>
        <v>13458.854109025378</v>
      </c>
      <c r="H24" s="978">
        <f>+landbouw!G8</f>
        <v>0</v>
      </c>
      <c r="I24" s="978">
        <f>+landbouw!H8</f>
        <v>0</v>
      </c>
      <c r="J24" s="978">
        <f>+landbouw!I8</f>
        <v>0</v>
      </c>
      <c r="K24" s="978">
        <f>+landbouw!J8</f>
        <v>530.08999581754586</v>
      </c>
      <c r="L24" s="978">
        <f>+landbouw!K8</f>
        <v>0</v>
      </c>
      <c r="M24" s="978">
        <f>+landbouw!L8</f>
        <v>0</v>
      </c>
      <c r="N24" s="978">
        <f>+landbouw!M8</f>
        <v>0</v>
      </c>
      <c r="O24" s="978">
        <f>+landbouw!N8</f>
        <v>0</v>
      </c>
      <c r="P24" s="978">
        <f>+landbouw!O8</f>
        <v>0</v>
      </c>
      <c r="Q24" s="979">
        <f>+landbouw!P8</f>
        <v>0</v>
      </c>
      <c r="R24" s="674">
        <f>SUM(C24:Q24)</f>
        <v>23316.876905648707</v>
      </c>
      <c r="S24" s="67"/>
    </row>
    <row r="25" spans="1:19" s="447" customFormat="1" ht="15" thickBot="1">
      <c r="A25" s="805" t="s">
        <v>834</v>
      </c>
      <c r="B25" s="981"/>
      <c r="C25" s="982">
        <f>IF(Onbekend_ele_kWh="---",0,Onbekend_ele_kWh)/1000+IF(REST_rest_ele_kWh="---",0,REST_rest_ele_kWh)/1000</f>
        <v>2284.2436963999999</v>
      </c>
      <c r="D25" s="982"/>
      <c r="E25" s="982">
        <f>IF(onbekend_gas_kWh="---",0,onbekend_gas_kWh)/1000+IF(REST_rest_gas_kWh="---",0,REST_rest_gas_kWh)/1000</f>
        <v>5677.1911694999999</v>
      </c>
      <c r="F25" s="982"/>
      <c r="G25" s="982"/>
      <c r="H25" s="982"/>
      <c r="I25" s="982"/>
      <c r="J25" s="982"/>
      <c r="K25" s="982"/>
      <c r="L25" s="982"/>
      <c r="M25" s="982"/>
      <c r="N25" s="982"/>
      <c r="O25" s="982"/>
      <c r="P25" s="982"/>
      <c r="Q25" s="983"/>
      <c r="R25" s="674">
        <f>SUM(C25:Q25)</f>
        <v>7961.4348658999997</v>
      </c>
      <c r="S25" s="67"/>
    </row>
    <row r="26" spans="1:19" s="447" customFormat="1" ht="15.75" thickBot="1">
      <c r="A26" s="679" t="s">
        <v>835</v>
      </c>
      <c r="B26" s="791"/>
      <c r="C26" s="786">
        <f>SUM(C24:C25)</f>
        <v>5966.3648682499997</v>
      </c>
      <c r="D26" s="786">
        <f t="shared" ref="D26:R26" si="2">SUM(D24:D25)</f>
        <v>62.357142857142847</v>
      </c>
      <c r="E26" s="786">
        <f t="shared" si="2"/>
        <v>11165.697888287399</v>
      </c>
      <c r="F26" s="786">
        <f t="shared" si="2"/>
        <v>94.947767311239602</v>
      </c>
      <c r="G26" s="786">
        <f t="shared" si="2"/>
        <v>13458.854109025378</v>
      </c>
      <c r="H26" s="786">
        <f t="shared" si="2"/>
        <v>0</v>
      </c>
      <c r="I26" s="786">
        <f t="shared" si="2"/>
        <v>0</v>
      </c>
      <c r="J26" s="786">
        <f t="shared" si="2"/>
        <v>0</v>
      </c>
      <c r="K26" s="786">
        <f t="shared" si="2"/>
        <v>530.08999581754586</v>
      </c>
      <c r="L26" s="786">
        <f t="shared" si="2"/>
        <v>0</v>
      </c>
      <c r="M26" s="786">
        <f t="shared" si="2"/>
        <v>0</v>
      </c>
      <c r="N26" s="786">
        <f t="shared" si="2"/>
        <v>0</v>
      </c>
      <c r="O26" s="786">
        <f t="shared" si="2"/>
        <v>0</v>
      </c>
      <c r="P26" s="786">
        <f t="shared" si="2"/>
        <v>0</v>
      </c>
      <c r="Q26" s="786">
        <f t="shared" si="2"/>
        <v>0</v>
      </c>
      <c r="R26" s="786">
        <f t="shared" si="2"/>
        <v>31278.311771548706</v>
      </c>
      <c r="S26" s="67"/>
    </row>
    <row r="27" spans="1:19" s="447" customFormat="1" ht="17.25" thickTop="1" thickBot="1">
      <c r="A27" s="680" t="s">
        <v>115</v>
      </c>
      <c r="B27" s="779"/>
      <c r="C27" s="681">
        <f ca="1">C22+C16+C26</f>
        <v>224046.6026158029</v>
      </c>
      <c r="D27" s="681">
        <f t="shared" ref="D27:R27" ca="1" si="3">D22+D16+D26</f>
        <v>62.357142857142847</v>
      </c>
      <c r="E27" s="681">
        <f t="shared" ca="1" si="3"/>
        <v>301355.14838227734</v>
      </c>
      <c r="F27" s="681">
        <f t="shared" si="3"/>
        <v>41567.427470012539</v>
      </c>
      <c r="G27" s="681">
        <f t="shared" ca="1" si="3"/>
        <v>54034.736598737007</v>
      </c>
      <c r="H27" s="681">
        <f t="shared" si="3"/>
        <v>389942.95990538649</v>
      </c>
      <c r="I27" s="681">
        <f t="shared" si="3"/>
        <v>56255.510231105145</v>
      </c>
      <c r="J27" s="681">
        <f t="shared" si="3"/>
        <v>0</v>
      </c>
      <c r="K27" s="681">
        <f t="shared" si="3"/>
        <v>3999.454234983823</v>
      </c>
      <c r="L27" s="681">
        <f t="shared" si="3"/>
        <v>0</v>
      </c>
      <c r="M27" s="681">
        <f t="shared" ca="1" si="3"/>
        <v>0</v>
      </c>
      <c r="N27" s="681">
        <f t="shared" si="3"/>
        <v>13952.561463963231</v>
      </c>
      <c r="O27" s="681">
        <f t="shared" ca="1" si="3"/>
        <v>56036.57325792723</v>
      </c>
      <c r="P27" s="681">
        <f t="shared" si="3"/>
        <v>487.76</v>
      </c>
      <c r="Q27" s="681">
        <f t="shared" si="3"/>
        <v>2116.4</v>
      </c>
      <c r="R27" s="681">
        <f t="shared" ca="1" si="3"/>
        <v>1143857.4913030528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16477.123606679546</v>
      </c>
      <c r="D40" s="978">
        <f ca="1">tertiair!C20</f>
        <v>0</v>
      </c>
      <c r="E40" s="978">
        <f ca="1">tertiair!D20</f>
        <v>18881.677579891686</v>
      </c>
      <c r="F40" s="978">
        <f>tertiair!E20</f>
        <v>371.13169337310291</v>
      </c>
      <c r="G40" s="978">
        <f ca="1">tertiair!F20</f>
        <v>4994.5857195583867</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40724.51859950272</v>
      </c>
    </row>
    <row r="41" spans="1:18">
      <c r="A41" s="796" t="s">
        <v>224</v>
      </c>
      <c r="B41" s="803"/>
      <c r="C41" s="978">
        <f ca="1">huishoudens!B12</f>
        <v>14418.94911809575</v>
      </c>
      <c r="D41" s="978">
        <f ca="1">huishoudens!C12</f>
        <v>0</v>
      </c>
      <c r="E41" s="978">
        <f>huishoudens!D12</f>
        <v>28989.435043327881</v>
      </c>
      <c r="F41" s="978">
        <f>huishoudens!E12</f>
        <v>7968.4155425443723</v>
      </c>
      <c r="G41" s="978">
        <f>huishoudens!F12</f>
        <v>0</v>
      </c>
      <c r="H41" s="978">
        <f>huishoudens!G12</f>
        <v>0</v>
      </c>
      <c r="I41" s="978">
        <f>huishoudens!H12</f>
        <v>0</v>
      </c>
      <c r="J41" s="978">
        <f>huishoudens!I12</f>
        <v>0</v>
      </c>
      <c r="K41" s="978">
        <f>huishoudens!J12</f>
        <v>1140.6685952001249</v>
      </c>
      <c r="L41" s="978">
        <f>huishoudens!K12</f>
        <v>0</v>
      </c>
      <c r="M41" s="978">
        <f>huishoudens!L12</f>
        <v>0</v>
      </c>
      <c r="N41" s="978">
        <f>huishoudens!M12</f>
        <v>0</v>
      </c>
      <c r="O41" s="978">
        <f>huishoudens!N12</f>
        <v>0</v>
      </c>
      <c r="P41" s="978">
        <f>huishoudens!O12</f>
        <v>0</v>
      </c>
      <c r="Q41" s="748">
        <f>huishoudens!P12</f>
        <v>0</v>
      </c>
      <c r="R41" s="824">
        <f t="shared" ca="1" si="4"/>
        <v>52517.468299168133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13840.694844701096</v>
      </c>
      <c r="D43" s="978">
        <f ca="1">industrie!C22</f>
        <v>0</v>
      </c>
      <c r="E43" s="978">
        <f>industrie!D22</f>
        <v>10714.602594327827</v>
      </c>
      <c r="F43" s="978">
        <f>industrie!E22</f>
        <v>890.21409580907471</v>
      </c>
      <c r="G43" s="978">
        <f>industrie!F22</f>
        <v>5839.174905194619</v>
      </c>
      <c r="H43" s="978">
        <f>industrie!G22</f>
        <v>0</v>
      </c>
      <c r="I43" s="978">
        <f>industrie!H22</f>
        <v>0</v>
      </c>
      <c r="J43" s="978">
        <f>industrie!I22</f>
        <v>0</v>
      </c>
      <c r="K43" s="978">
        <f>industrie!J22</f>
        <v>87.486345464737227</v>
      </c>
      <c r="L43" s="978">
        <f>industrie!K22</f>
        <v>0</v>
      </c>
      <c r="M43" s="978">
        <f>industrie!L22</f>
        <v>0</v>
      </c>
      <c r="N43" s="978">
        <f>industrie!M22</f>
        <v>0</v>
      </c>
      <c r="O43" s="978">
        <f>industrie!N22</f>
        <v>0</v>
      </c>
      <c r="P43" s="978">
        <f>industrie!O22</f>
        <v>0</v>
      </c>
      <c r="Q43" s="748">
        <f>industrie!P22</f>
        <v>0</v>
      </c>
      <c r="R43" s="823">
        <f t="shared" ca="1" si="4"/>
        <v>31372.172785497354</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44736.767569476389</v>
      </c>
      <c r="D46" s="706">
        <f t="shared" ref="D46:Q46" ca="1" si="5">SUM(D39:D45)</f>
        <v>0</v>
      </c>
      <c r="E46" s="706">
        <f t="shared" ca="1" si="5"/>
        <v>58585.715217547397</v>
      </c>
      <c r="F46" s="706">
        <f t="shared" si="5"/>
        <v>9229.7613317265495</v>
      </c>
      <c r="G46" s="706">
        <f t="shared" ca="1" si="5"/>
        <v>10833.760624753006</v>
      </c>
      <c r="H46" s="706">
        <f t="shared" si="5"/>
        <v>0</v>
      </c>
      <c r="I46" s="706">
        <f t="shared" si="5"/>
        <v>0</v>
      </c>
      <c r="J46" s="706">
        <f t="shared" si="5"/>
        <v>0</v>
      </c>
      <c r="K46" s="706">
        <f t="shared" si="5"/>
        <v>1228.1549406648621</v>
      </c>
      <c r="L46" s="706">
        <f t="shared" si="5"/>
        <v>0</v>
      </c>
      <c r="M46" s="706">
        <f t="shared" ca="1" si="5"/>
        <v>0</v>
      </c>
      <c r="N46" s="706">
        <f t="shared" si="5"/>
        <v>0</v>
      </c>
      <c r="O46" s="706">
        <f t="shared" ca="1" si="5"/>
        <v>0</v>
      </c>
      <c r="P46" s="706">
        <f t="shared" si="5"/>
        <v>0</v>
      </c>
      <c r="Q46" s="706">
        <f t="shared" si="5"/>
        <v>0</v>
      </c>
      <c r="R46" s="706">
        <f ca="1">SUM(R39:R45)</f>
        <v>124614.1596841682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530.71479468240182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530.71479468240182</v>
      </c>
    </row>
    <row r="50" spans="1:18">
      <c r="A50" s="799" t="s">
        <v>306</v>
      </c>
      <c r="B50" s="809"/>
      <c r="C50" s="677">
        <f ca="1">transport!B18</f>
        <v>16.38040509472853</v>
      </c>
      <c r="D50" s="677">
        <f>transport!C18</f>
        <v>0</v>
      </c>
      <c r="E50" s="677">
        <f>transport!D18</f>
        <v>32.553782238578336</v>
      </c>
      <c r="F50" s="677">
        <f>transport!E18</f>
        <v>184.49156078664561</v>
      </c>
      <c r="G50" s="677">
        <f>transport!F18</f>
        <v>0</v>
      </c>
      <c r="H50" s="677">
        <f>transport!G18</f>
        <v>103584.05550005579</v>
      </c>
      <c r="I50" s="677">
        <f>transport!H18</f>
        <v>14007.622047545181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117825.10329572092</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16.38040509472853</v>
      </c>
      <c r="D52" s="706">
        <f t="shared" ref="D52:Q52" ca="1" si="6">SUM(D48:D51)</f>
        <v>0</v>
      </c>
      <c r="E52" s="706">
        <f t="shared" si="6"/>
        <v>32.553782238578336</v>
      </c>
      <c r="F52" s="706">
        <f t="shared" si="6"/>
        <v>184.49156078664561</v>
      </c>
      <c r="G52" s="706">
        <f t="shared" si="6"/>
        <v>0</v>
      </c>
      <c r="H52" s="706">
        <f t="shared" si="6"/>
        <v>104114.77029473819</v>
      </c>
      <c r="I52" s="706">
        <f t="shared" si="6"/>
        <v>14007.622047545181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118355.81809040332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755.62332179250097</v>
      </c>
      <c r="D54" s="677">
        <f ca="1">+landbouw!C12</f>
        <v>0</v>
      </c>
      <c r="E54" s="677">
        <f>+landbouw!D12</f>
        <v>1108.6783571950548</v>
      </c>
      <c r="F54" s="677">
        <f>+landbouw!E12</f>
        <v>21.553143179651389</v>
      </c>
      <c r="G54" s="677">
        <f>+landbouw!F12</f>
        <v>3593.5140471097761</v>
      </c>
      <c r="H54" s="677">
        <f>+landbouw!G12</f>
        <v>0</v>
      </c>
      <c r="I54" s="677">
        <f>+landbouw!H12</f>
        <v>0</v>
      </c>
      <c r="J54" s="677">
        <f>+landbouw!I12</f>
        <v>0</v>
      </c>
      <c r="K54" s="677">
        <f>+landbouw!J12</f>
        <v>187.65185851941123</v>
      </c>
      <c r="L54" s="677">
        <f>+landbouw!K12</f>
        <v>0</v>
      </c>
      <c r="M54" s="677">
        <f>+landbouw!L12</f>
        <v>0</v>
      </c>
      <c r="N54" s="677">
        <f>+landbouw!M12</f>
        <v>0</v>
      </c>
      <c r="O54" s="677">
        <f>+landbouw!N12</f>
        <v>0</v>
      </c>
      <c r="P54" s="677">
        <f>+landbouw!O12</f>
        <v>0</v>
      </c>
      <c r="Q54" s="678">
        <f>+landbouw!P12</f>
        <v>0</v>
      </c>
      <c r="R54" s="705">
        <f ca="1">SUM(C54:Q54)</f>
        <v>5667.0207277963946</v>
      </c>
    </row>
    <row r="55" spans="1:18" ht="15" thickBot="1">
      <c r="A55" s="799" t="s">
        <v>834</v>
      </c>
      <c r="B55" s="809"/>
      <c r="C55" s="677">
        <f ca="1">C25*'EF ele_warmte'!B12</f>
        <v>468.75910082832627</v>
      </c>
      <c r="D55" s="677"/>
      <c r="E55" s="677">
        <f>E25*EF_CO2_aardgas</f>
        <v>1146.7926162390002</v>
      </c>
      <c r="F55" s="677"/>
      <c r="G55" s="677"/>
      <c r="H55" s="677"/>
      <c r="I55" s="677"/>
      <c r="J55" s="677"/>
      <c r="K55" s="677"/>
      <c r="L55" s="677"/>
      <c r="M55" s="677"/>
      <c r="N55" s="677"/>
      <c r="O55" s="677"/>
      <c r="P55" s="677"/>
      <c r="Q55" s="678"/>
      <c r="R55" s="705">
        <f ca="1">SUM(C55:Q55)</f>
        <v>1615.5517170673265</v>
      </c>
    </row>
    <row r="56" spans="1:18" ht="15.75" thickBot="1">
      <c r="A56" s="797" t="s">
        <v>835</v>
      </c>
      <c r="B56" s="810"/>
      <c r="C56" s="706">
        <f ca="1">SUM(C54:C55)</f>
        <v>1224.3824226208271</v>
      </c>
      <c r="D56" s="706">
        <f t="shared" ref="D56:Q56" ca="1" si="7">SUM(D54:D55)</f>
        <v>0</v>
      </c>
      <c r="E56" s="706">
        <f t="shared" si="7"/>
        <v>2255.4709734340549</v>
      </c>
      <c r="F56" s="706">
        <f t="shared" si="7"/>
        <v>21.553143179651389</v>
      </c>
      <c r="G56" s="706">
        <f t="shared" si="7"/>
        <v>3593.5140471097761</v>
      </c>
      <c r="H56" s="706">
        <f t="shared" si="7"/>
        <v>0</v>
      </c>
      <c r="I56" s="706">
        <f t="shared" si="7"/>
        <v>0</v>
      </c>
      <c r="J56" s="706">
        <f t="shared" si="7"/>
        <v>0</v>
      </c>
      <c r="K56" s="706">
        <f t="shared" si="7"/>
        <v>187.65185851941123</v>
      </c>
      <c r="L56" s="706">
        <f t="shared" si="7"/>
        <v>0</v>
      </c>
      <c r="M56" s="706">
        <f t="shared" si="7"/>
        <v>0</v>
      </c>
      <c r="N56" s="706">
        <f t="shared" si="7"/>
        <v>0</v>
      </c>
      <c r="O56" s="706">
        <f t="shared" si="7"/>
        <v>0</v>
      </c>
      <c r="P56" s="706">
        <f t="shared" si="7"/>
        <v>0</v>
      </c>
      <c r="Q56" s="707">
        <f t="shared" si="7"/>
        <v>0</v>
      </c>
      <c r="R56" s="708">
        <f ca="1">SUM(R54:R55)</f>
        <v>7282.5724448637211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45977.530397191949</v>
      </c>
      <c r="D61" s="714">
        <f t="shared" ref="D61:Q61" ca="1" si="8">D46+D52+D56</f>
        <v>0</v>
      </c>
      <c r="E61" s="714">
        <f t="shared" ca="1" si="8"/>
        <v>60873.739973220036</v>
      </c>
      <c r="F61" s="714">
        <f t="shared" si="8"/>
        <v>9435.8060356928472</v>
      </c>
      <c r="G61" s="714">
        <f t="shared" ca="1" si="8"/>
        <v>14427.274671862782</v>
      </c>
      <c r="H61" s="714">
        <f t="shared" si="8"/>
        <v>104114.77029473819</v>
      </c>
      <c r="I61" s="714">
        <f t="shared" si="8"/>
        <v>14007.622047545181</v>
      </c>
      <c r="J61" s="714">
        <f t="shared" si="8"/>
        <v>0</v>
      </c>
      <c r="K61" s="714">
        <f t="shared" si="8"/>
        <v>1415.8067991842734</v>
      </c>
      <c r="L61" s="714">
        <f t="shared" si="8"/>
        <v>0</v>
      </c>
      <c r="M61" s="714">
        <f t="shared" ca="1" si="8"/>
        <v>0</v>
      </c>
      <c r="N61" s="714">
        <f t="shared" si="8"/>
        <v>0</v>
      </c>
      <c r="O61" s="714">
        <f t="shared" ca="1" si="8"/>
        <v>0</v>
      </c>
      <c r="P61" s="714">
        <f t="shared" si="8"/>
        <v>0</v>
      </c>
      <c r="Q61" s="714">
        <f t="shared" si="8"/>
        <v>0</v>
      </c>
      <c r="R61" s="714">
        <f ca="1">R46+R52+R56</f>
        <v>250252.55021943524</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0.20521413786414172</v>
      </c>
      <c r="D63" s="755">
        <f t="shared" ca="1" si="9"/>
        <v>0</v>
      </c>
      <c r="E63" s="989">
        <f t="shared" ca="1" si="9"/>
        <v>0.20200000000000004</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15959.828646608566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43.649999999999991</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51.35294117647058</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16003.478646608566</v>
      </c>
      <c r="C78" s="729">
        <f>SUM(C72:C77)</f>
        <v>0</v>
      </c>
      <c r="D78" s="730">
        <f t="shared" ref="D78:H78" si="10">SUM(D76:D77)</f>
        <v>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70262.942252261157</v>
      </c>
      <c r="C4" s="451">
        <f>huishoudens!C8</f>
        <v>0</v>
      </c>
      <c r="D4" s="451">
        <f>huishoudens!D8</f>
        <v>143512.05466994</v>
      </c>
      <c r="E4" s="451">
        <f>huishoudens!E8</f>
        <v>35103.152169798996</v>
      </c>
      <c r="F4" s="451">
        <f>huishoudens!F8</f>
        <v>0</v>
      </c>
      <c r="G4" s="451">
        <f>huishoudens!G8</f>
        <v>0</v>
      </c>
      <c r="H4" s="451">
        <f>huishoudens!H8</f>
        <v>0</v>
      </c>
      <c r="I4" s="451">
        <f>huishoudens!I8</f>
        <v>0</v>
      </c>
      <c r="J4" s="451">
        <f>huishoudens!J8</f>
        <v>3222.22767005685</v>
      </c>
      <c r="K4" s="451">
        <f>huishoudens!K8</f>
        <v>0</v>
      </c>
      <c r="L4" s="451">
        <f>huishoudens!L8</f>
        <v>0</v>
      </c>
      <c r="M4" s="451">
        <f>huishoudens!M8</f>
        <v>0</v>
      </c>
      <c r="N4" s="451">
        <f>huishoudens!N8</f>
        <v>38169.495787576663</v>
      </c>
      <c r="O4" s="451">
        <f>huishoudens!O8</f>
        <v>476.81666666666666</v>
      </c>
      <c r="P4" s="452">
        <f>huishoudens!P8</f>
        <v>1963.8666666666668</v>
      </c>
      <c r="Q4" s="453">
        <f>SUM(B4:P4)</f>
        <v>292710.55588296696</v>
      </c>
    </row>
    <row r="5" spans="1:17">
      <c r="A5" s="450" t="s">
        <v>155</v>
      </c>
      <c r="B5" s="451">
        <f ca="1">tertiair!B16</f>
        <v>77895.85943859999</v>
      </c>
      <c r="C5" s="451">
        <f ca="1">tertiair!C16</f>
        <v>0</v>
      </c>
      <c r="D5" s="451">
        <f ca="1">tertiair!D16</f>
        <v>93473.651385602396</v>
      </c>
      <c r="E5" s="451">
        <f>tertiair!E16</f>
        <v>1634.9413804982505</v>
      </c>
      <c r="F5" s="451">
        <f ca="1">tertiair!F16</f>
        <v>18706.313556398451</v>
      </c>
      <c r="G5" s="451">
        <f>tertiair!G16</f>
        <v>0</v>
      </c>
      <c r="H5" s="451">
        <f>tertiair!H16</f>
        <v>0</v>
      </c>
      <c r="I5" s="451">
        <f>tertiair!I16</f>
        <v>0</v>
      </c>
      <c r="J5" s="451">
        <f>tertiair!J16</f>
        <v>0</v>
      </c>
      <c r="K5" s="451">
        <f>tertiair!K16</f>
        <v>0</v>
      </c>
      <c r="L5" s="451">
        <f ca="1">tertiair!L16</f>
        <v>0</v>
      </c>
      <c r="M5" s="451">
        <f>tertiair!M16</f>
        <v>0</v>
      </c>
      <c r="N5" s="451">
        <f ca="1">tertiair!N16</f>
        <v>9089.4193515205552</v>
      </c>
      <c r="O5" s="451">
        <f>tertiair!O16</f>
        <v>10.943333333333335</v>
      </c>
      <c r="P5" s="452">
        <f>tertiair!P16</f>
        <v>152.53333333333333</v>
      </c>
      <c r="Q5" s="450">
        <f t="shared" ref="Q5:Q14" ca="1" si="0">SUM(B5:P5)</f>
        <v>200963.66177928631</v>
      </c>
    </row>
    <row r="6" spans="1:17">
      <c r="A6" s="450" t="s">
        <v>193</v>
      </c>
      <c r="B6" s="451">
        <f>'openbare verlichting'!B8</f>
        <v>2396.4819087000001</v>
      </c>
      <c r="C6" s="451"/>
      <c r="D6" s="451"/>
      <c r="E6" s="451"/>
      <c r="F6" s="451"/>
      <c r="G6" s="451"/>
      <c r="H6" s="451"/>
      <c r="I6" s="451"/>
      <c r="J6" s="451"/>
      <c r="K6" s="451"/>
      <c r="L6" s="451"/>
      <c r="M6" s="451"/>
      <c r="N6" s="451"/>
      <c r="O6" s="451"/>
      <c r="P6" s="452"/>
      <c r="Q6" s="450">
        <f t="shared" si="0"/>
        <v>2396.4819087000001</v>
      </c>
    </row>
    <row r="7" spans="1:17">
      <c r="A7" s="450" t="s">
        <v>111</v>
      </c>
      <c r="B7" s="451">
        <f>landbouw!B8</f>
        <v>3682.1211718499999</v>
      </c>
      <c r="C7" s="451">
        <f>landbouw!C8</f>
        <v>62.357142857142847</v>
      </c>
      <c r="D7" s="451">
        <f>landbouw!D8</f>
        <v>5488.5067187874001</v>
      </c>
      <c r="E7" s="451">
        <f>landbouw!E8</f>
        <v>94.947767311239602</v>
      </c>
      <c r="F7" s="451">
        <f>landbouw!F8</f>
        <v>13458.854109025378</v>
      </c>
      <c r="G7" s="451">
        <f>landbouw!G8</f>
        <v>0</v>
      </c>
      <c r="H7" s="451">
        <f>landbouw!H8</f>
        <v>0</v>
      </c>
      <c r="I7" s="451">
        <f>landbouw!I8</f>
        <v>0</v>
      </c>
      <c r="J7" s="451">
        <f>landbouw!J8</f>
        <v>530.08999581754586</v>
      </c>
      <c r="K7" s="451">
        <f>landbouw!K8</f>
        <v>0</v>
      </c>
      <c r="L7" s="451">
        <f>landbouw!L8</f>
        <v>0</v>
      </c>
      <c r="M7" s="451">
        <f>landbouw!M8</f>
        <v>0</v>
      </c>
      <c r="N7" s="451">
        <f>landbouw!N8</f>
        <v>0</v>
      </c>
      <c r="O7" s="451">
        <f>landbouw!O8</f>
        <v>0</v>
      </c>
      <c r="P7" s="452">
        <f>landbouw!P8</f>
        <v>0</v>
      </c>
      <c r="Q7" s="450">
        <f t="shared" si="0"/>
        <v>23316.876905648707</v>
      </c>
    </row>
    <row r="8" spans="1:17">
      <c r="A8" s="450" t="s">
        <v>637</v>
      </c>
      <c r="B8" s="451">
        <f>industrie!B18</f>
        <v>67445.133111949996</v>
      </c>
      <c r="C8" s="451">
        <f>industrie!C18</f>
        <v>0</v>
      </c>
      <c r="D8" s="451">
        <f>industrie!D18</f>
        <v>53042.587100632802</v>
      </c>
      <c r="E8" s="451">
        <f>industrie!E18</f>
        <v>3921.6479991589194</v>
      </c>
      <c r="F8" s="451">
        <f>industrie!F18</f>
        <v>21869.568933313178</v>
      </c>
      <c r="G8" s="451">
        <f>industrie!G18</f>
        <v>0</v>
      </c>
      <c r="H8" s="451">
        <f>industrie!H18</f>
        <v>0</v>
      </c>
      <c r="I8" s="451">
        <f>industrie!I18</f>
        <v>0</v>
      </c>
      <c r="J8" s="451">
        <f>industrie!J18</f>
        <v>247.1365691094272</v>
      </c>
      <c r="K8" s="451">
        <f>industrie!K18</f>
        <v>0</v>
      </c>
      <c r="L8" s="451">
        <f>industrie!L18</f>
        <v>0</v>
      </c>
      <c r="M8" s="451">
        <f>industrie!M18</f>
        <v>0</v>
      </c>
      <c r="N8" s="451">
        <f>industrie!N18</f>
        <v>8777.6581188300079</v>
      </c>
      <c r="O8" s="451">
        <f>industrie!O18</f>
        <v>0</v>
      </c>
      <c r="P8" s="452">
        <f>industrie!P18</f>
        <v>0</v>
      </c>
      <c r="Q8" s="450">
        <f t="shared" si="0"/>
        <v>155303.73183299432</v>
      </c>
    </row>
    <row r="9" spans="1:17" s="456" customFormat="1">
      <c r="A9" s="454" t="s">
        <v>563</v>
      </c>
      <c r="B9" s="455">
        <f>transport!B14</f>
        <v>79.821036041741337</v>
      </c>
      <c r="C9" s="455">
        <f>transport!C14</f>
        <v>0</v>
      </c>
      <c r="D9" s="455">
        <f>transport!D14</f>
        <v>161.15733781474424</v>
      </c>
      <c r="E9" s="455">
        <f>transport!E14</f>
        <v>812.73815324513487</v>
      </c>
      <c r="F9" s="455">
        <f>transport!F14</f>
        <v>0</v>
      </c>
      <c r="G9" s="455">
        <f>transport!G14</f>
        <v>387955.26404515275</v>
      </c>
      <c r="H9" s="455">
        <f>transport!H14</f>
        <v>56255.510231105145</v>
      </c>
      <c r="I9" s="455">
        <f>transport!I14</f>
        <v>0</v>
      </c>
      <c r="J9" s="455">
        <f>transport!J14</f>
        <v>0</v>
      </c>
      <c r="K9" s="455">
        <f>transport!K14</f>
        <v>0</v>
      </c>
      <c r="L9" s="455">
        <f>transport!L14</f>
        <v>0</v>
      </c>
      <c r="M9" s="455">
        <f>transport!M14</f>
        <v>13890.985415023737</v>
      </c>
      <c r="N9" s="455">
        <f>transport!N14</f>
        <v>0</v>
      </c>
      <c r="O9" s="455">
        <f>transport!O14</f>
        <v>0</v>
      </c>
      <c r="P9" s="455">
        <f>transport!P14</f>
        <v>0</v>
      </c>
      <c r="Q9" s="454">
        <f>SUM(B9:P9)</f>
        <v>459155.47621838329</v>
      </c>
    </row>
    <row r="10" spans="1:17">
      <c r="A10" s="450" t="s">
        <v>553</v>
      </c>
      <c r="B10" s="451">
        <f>transport!B54</f>
        <v>0</v>
      </c>
      <c r="C10" s="451">
        <f>transport!C54</f>
        <v>0</v>
      </c>
      <c r="D10" s="451">
        <f>transport!D54</f>
        <v>0</v>
      </c>
      <c r="E10" s="451">
        <f>transport!E54</f>
        <v>0</v>
      </c>
      <c r="F10" s="451">
        <f>transport!F54</f>
        <v>0</v>
      </c>
      <c r="G10" s="451">
        <f>transport!G54</f>
        <v>1987.6958602337145</v>
      </c>
      <c r="H10" s="451">
        <f>transport!H54</f>
        <v>0</v>
      </c>
      <c r="I10" s="451">
        <f>transport!I54</f>
        <v>0</v>
      </c>
      <c r="J10" s="451">
        <f>transport!J54</f>
        <v>0</v>
      </c>
      <c r="K10" s="451">
        <f>transport!K54</f>
        <v>0</v>
      </c>
      <c r="L10" s="451">
        <f>transport!L54</f>
        <v>0</v>
      </c>
      <c r="M10" s="451">
        <f>transport!M54</f>
        <v>61.576048939495038</v>
      </c>
      <c r="N10" s="451">
        <f>transport!N54</f>
        <v>0</v>
      </c>
      <c r="O10" s="451">
        <f>transport!O54</f>
        <v>0</v>
      </c>
      <c r="P10" s="452">
        <f>transport!P54</f>
        <v>0</v>
      </c>
      <c r="Q10" s="450">
        <f t="shared" si="0"/>
        <v>2049.2719091732097</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2284.2436963999999</v>
      </c>
      <c r="C14" s="458"/>
      <c r="D14" s="458">
        <f>'SEAP template'!E25</f>
        <v>5677.1911694999999</v>
      </c>
      <c r="E14" s="458"/>
      <c r="F14" s="458"/>
      <c r="G14" s="458"/>
      <c r="H14" s="458"/>
      <c r="I14" s="458"/>
      <c r="J14" s="458"/>
      <c r="K14" s="458"/>
      <c r="L14" s="458"/>
      <c r="M14" s="458"/>
      <c r="N14" s="458"/>
      <c r="O14" s="458"/>
      <c r="P14" s="459"/>
      <c r="Q14" s="450">
        <f t="shared" si="0"/>
        <v>7961.4348658999997</v>
      </c>
    </row>
    <row r="15" spans="1:17" s="460" customFormat="1">
      <c r="A15" s="1004" t="s">
        <v>557</v>
      </c>
      <c r="B15" s="944">
        <f ca="1">SUM(B4:B14)</f>
        <v>224046.6026158029</v>
      </c>
      <c r="C15" s="944">
        <f t="shared" ref="C15:Q15" ca="1" si="1">SUM(C4:C14)</f>
        <v>62.357142857142847</v>
      </c>
      <c r="D15" s="944">
        <f t="shared" ca="1" si="1"/>
        <v>301355.14838227734</v>
      </c>
      <c r="E15" s="944">
        <f t="shared" si="1"/>
        <v>41567.427470012539</v>
      </c>
      <c r="F15" s="944">
        <f t="shared" ca="1" si="1"/>
        <v>54034.736598737007</v>
      </c>
      <c r="G15" s="944">
        <f t="shared" si="1"/>
        <v>389942.95990538649</v>
      </c>
      <c r="H15" s="944">
        <f t="shared" si="1"/>
        <v>56255.510231105145</v>
      </c>
      <c r="I15" s="944">
        <f t="shared" si="1"/>
        <v>0</v>
      </c>
      <c r="J15" s="944">
        <f t="shared" si="1"/>
        <v>3999.454234983823</v>
      </c>
      <c r="K15" s="944">
        <f t="shared" si="1"/>
        <v>0</v>
      </c>
      <c r="L15" s="944">
        <f t="shared" ca="1" si="1"/>
        <v>0</v>
      </c>
      <c r="M15" s="944">
        <f t="shared" si="1"/>
        <v>13952.561463963231</v>
      </c>
      <c r="N15" s="944">
        <f t="shared" ca="1" si="1"/>
        <v>56036.57325792723</v>
      </c>
      <c r="O15" s="944">
        <f t="shared" si="1"/>
        <v>487.76</v>
      </c>
      <c r="P15" s="944">
        <f t="shared" si="1"/>
        <v>2116.4</v>
      </c>
      <c r="Q15" s="944">
        <f t="shared" ca="1" si="1"/>
        <v>1143857.4913030528</v>
      </c>
    </row>
    <row r="17" spans="1:17">
      <c r="A17" s="461" t="s">
        <v>558</v>
      </c>
      <c r="B17" s="760">
        <f ca="1">huishoudens!B10</f>
        <v>0.20521413786414172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14418.94911809575</v>
      </c>
      <c r="C22" s="451">
        <f t="shared" ref="C22:C32" ca="1" si="3">C4*$C$17</f>
        <v>0</v>
      </c>
      <c r="D22" s="451">
        <f t="shared" ref="D22:D32" si="4">D4*$D$17</f>
        <v>28989.435043327881</v>
      </c>
      <c r="E22" s="451">
        <f t="shared" ref="E22:E32" si="5">E4*$E$17</f>
        <v>7968.4155425443723</v>
      </c>
      <c r="F22" s="451">
        <f t="shared" ref="F22:F32" si="6">F4*$F$17</f>
        <v>0</v>
      </c>
      <c r="G22" s="451">
        <f t="shared" ref="G22:G32" si="7">G4*$G$17</f>
        <v>0</v>
      </c>
      <c r="H22" s="451">
        <f t="shared" ref="H22:H32" si="8">H4*$H$17</f>
        <v>0</v>
      </c>
      <c r="I22" s="451">
        <f t="shared" ref="I22:I32" si="9">I4*$I$17</f>
        <v>0</v>
      </c>
      <c r="J22" s="451">
        <f t="shared" ref="J22:J32" si="10">J4*$J$17</f>
        <v>1140.6685952001249</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52517.468299168133</v>
      </c>
    </row>
    <row r="23" spans="1:17">
      <c r="A23" s="450" t="s">
        <v>155</v>
      </c>
      <c r="B23" s="451">
        <f t="shared" ca="1" si="2"/>
        <v>15985.331637878664</v>
      </c>
      <c r="C23" s="451">
        <f t="shared" ca="1" si="3"/>
        <v>0</v>
      </c>
      <c r="D23" s="451">
        <f t="shared" ca="1" si="4"/>
        <v>18881.677579891686</v>
      </c>
      <c r="E23" s="451">
        <f t="shared" si="5"/>
        <v>371.13169337310291</v>
      </c>
      <c r="F23" s="451">
        <f t="shared" ca="1" si="6"/>
        <v>4994.5857195583867</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40232.726630701836</v>
      </c>
    </row>
    <row r="24" spans="1:17">
      <c r="A24" s="450" t="s">
        <v>193</v>
      </c>
      <c r="B24" s="451">
        <f t="shared" ca="1" si="2"/>
        <v>491.7919688008833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491.7919688008833</v>
      </c>
    </row>
    <row r="25" spans="1:17">
      <c r="A25" s="450" t="s">
        <v>111</v>
      </c>
      <c r="B25" s="451">
        <f t="shared" ca="1" si="2"/>
        <v>755.62332179250097</v>
      </c>
      <c r="C25" s="451">
        <f t="shared" ca="1" si="3"/>
        <v>0</v>
      </c>
      <c r="D25" s="451">
        <f t="shared" si="4"/>
        <v>1108.6783571950548</v>
      </c>
      <c r="E25" s="451">
        <f t="shared" si="5"/>
        <v>21.553143179651389</v>
      </c>
      <c r="F25" s="451">
        <f t="shared" si="6"/>
        <v>3593.5140471097761</v>
      </c>
      <c r="G25" s="451">
        <f t="shared" si="7"/>
        <v>0</v>
      </c>
      <c r="H25" s="451">
        <f t="shared" si="8"/>
        <v>0</v>
      </c>
      <c r="I25" s="451">
        <f t="shared" si="9"/>
        <v>0</v>
      </c>
      <c r="J25" s="451">
        <f t="shared" si="10"/>
        <v>187.65185851941123</v>
      </c>
      <c r="K25" s="451">
        <f t="shared" si="11"/>
        <v>0</v>
      </c>
      <c r="L25" s="451">
        <f t="shared" si="12"/>
        <v>0</v>
      </c>
      <c r="M25" s="451">
        <f t="shared" si="13"/>
        <v>0</v>
      </c>
      <c r="N25" s="451">
        <f t="shared" si="14"/>
        <v>0</v>
      </c>
      <c r="O25" s="451">
        <f t="shared" si="15"/>
        <v>0</v>
      </c>
      <c r="P25" s="452">
        <f t="shared" si="16"/>
        <v>0</v>
      </c>
      <c r="Q25" s="450">
        <f t="shared" ca="1" si="17"/>
        <v>5667.0207277963946</v>
      </c>
    </row>
    <row r="26" spans="1:17">
      <c r="A26" s="450" t="s">
        <v>637</v>
      </c>
      <c r="B26" s="451">
        <f t="shared" ca="1" si="2"/>
        <v>13840.694844701096</v>
      </c>
      <c r="C26" s="451">
        <f t="shared" ca="1" si="3"/>
        <v>0</v>
      </c>
      <c r="D26" s="451">
        <f t="shared" si="4"/>
        <v>10714.602594327827</v>
      </c>
      <c r="E26" s="451">
        <f t="shared" si="5"/>
        <v>890.21409580907471</v>
      </c>
      <c r="F26" s="451">
        <f t="shared" si="6"/>
        <v>5839.174905194619</v>
      </c>
      <c r="G26" s="451">
        <f t="shared" si="7"/>
        <v>0</v>
      </c>
      <c r="H26" s="451">
        <f t="shared" si="8"/>
        <v>0</v>
      </c>
      <c r="I26" s="451">
        <f t="shared" si="9"/>
        <v>0</v>
      </c>
      <c r="J26" s="451">
        <f t="shared" si="10"/>
        <v>87.486345464737227</v>
      </c>
      <c r="K26" s="451">
        <f t="shared" si="11"/>
        <v>0</v>
      </c>
      <c r="L26" s="451">
        <f t="shared" si="12"/>
        <v>0</v>
      </c>
      <c r="M26" s="451">
        <f t="shared" si="13"/>
        <v>0</v>
      </c>
      <c r="N26" s="451">
        <f t="shared" si="14"/>
        <v>0</v>
      </c>
      <c r="O26" s="451">
        <f t="shared" si="15"/>
        <v>0</v>
      </c>
      <c r="P26" s="452">
        <f t="shared" si="16"/>
        <v>0</v>
      </c>
      <c r="Q26" s="450">
        <f t="shared" ca="1" si="17"/>
        <v>31372.172785497354</v>
      </c>
    </row>
    <row r="27" spans="1:17" s="456" customFormat="1">
      <c r="A27" s="454" t="s">
        <v>563</v>
      </c>
      <c r="B27" s="754">
        <f t="shared" ca="1" si="2"/>
        <v>16.38040509472853</v>
      </c>
      <c r="C27" s="455">
        <f t="shared" ca="1" si="3"/>
        <v>0</v>
      </c>
      <c r="D27" s="455">
        <f t="shared" si="4"/>
        <v>32.553782238578336</v>
      </c>
      <c r="E27" s="455">
        <f t="shared" si="5"/>
        <v>184.49156078664561</v>
      </c>
      <c r="F27" s="455">
        <f t="shared" si="6"/>
        <v>0</v>
      </c>
      <c r="G27" s="455">
        <f t="shared" si="7"/>
        <v>103584.05550005579</v>
      </c>
      <c r="H27" s="455">
        <f t="shared" si="8"/>
        <v>14007.622047545181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117825.10329572092</v>
      </c>
    </row>
    <row r="28" spans="1:17">
      <c r="A28" s="450" t="s">
        <v>553</v>
      </c>
      <c r="B28" s="451">
        <f t="shared" ca="1" si="2"/>
        <v>0</v>
      </c>
      <c r="C28" s="451">
        <f t="shared" ca="1" si="3"/>
        <v>0</v>
      </c>
      <c r="D28" s="451">
        <f t="shared" si="4"/>
        <v>0</v>
      </c>
      <c r="E28" s="451">
        <f t="shared" si="5"/>
        <v>0</v>
      </c>
      <c r="F28" s="451">
        <f t="shared" si="6"/>
        <v>0</v>
      </c>
      <c r="G28" s="451">
        <f t="shared" si="7"/>
        <v>530.71479468240182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530.71479468240182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468.75910082832627</v>
      </c>
      <c r="C32" s="451">
        <f t="shared" ca="1" si="3"/>
        <v>0</v>
      </c>
      <c r="D32" s="451">
        <f t="shared" si="4"/>
        <v>1146.7926162390002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1615.5517170673265</v>
      </c>
    </row>
    <row r="33" spans="1:17" s="460" customFormat="1">
      <c r="A33" s="1004" t="s">
        <v>557</v>
      </c>
      <c r="B33" s="944">
        <f ca="1">SUM(B22:B32)</f>
        <v>45977.530397191949</v>
      </c>
      <c r="C33" s="944">
        <f t="shared" ref="C33:Q33" ca="1" si="18">SUM(C22:C32)</f>
        <v>0</v>
      </c>
      <c r="D33" s="944">
        <f t="shared" ca="1" si="18"/>
        <v>60873.739973220036</v>
      </c>
      <c r="E33" s="944">
        <f t="shared" si="18"/>
        <v>9435.8060356928472</v>
      </c>
      <c r="F33" s="944">
        <f t="shared" ca="1" si="18"/>
        <v>14427.274671862782</v>
      </c>
      <c r="G33" s="944">
        <f t="shared" si="18"/>
        <v>104114.77029473819</v>
      </c>
      <c r="H33" s="944">
        <f t="shared" si="18"/>
        <v>14007.622047545181</v>
      </c>
      <c r="I33" s="944">
        <f t="shared" si="18"/>
        <v>0</v>
      </c>
      <c r="J33" s="944">
        <f t="shared" si="18"/>
        <v>1415.8067991842734</v>
      </c>
      <c r="K33" s="944">
        <f t="shared" si="18"/>
        <v>0</v>
      </c>
      <c r="L33" s="944">
        <f t="shared" ca="1" si="18"/>
        <v>0</v>
      </c>
      <c r="M33" s="944">
        <f t="shared" si="18"/>
        <v>0</v>
      </c>
      <c r="N33" s="944">
        <f t="shared" ca="1" si="18"/>
        <v>0</v>
      </c>
      <c r="O33" s="944">
        <f t="shared" si="18"/>
        <v>0</v>
      </c>
      <c r="P33" s="944">
        <f t="shared" si="18"/>
        <v>0</v>
      </c>
      <c r="Q33" s="944">
        <f t="shared" ca="1" si="18"/>
        <v>250252.55021943524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15959.828646608566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16003.478646608566</v>
      </c>
      <c r="C10" s="1025">
        <f>SUM(C4:C9)</f>
        <v>0</v>
      </c>
      <c r="D10" s="1025">
        <f t="shared" ref="D10:H10" si="0">SUM(D8:D9)</f>
        <v>0</v>
      </c>
      <c r="E10" s="1025">
        <f t="shared" si="0"/>
        <v>0</v>
      </c>
      <c r="F10" s="1025">
        <f t="shared" si="0"/>
        <v>0</v>
      </c>
      <c r="G10" s="1025">
        <f t="shared" si="0"/>
        <v>0</v>
      </c>
      <c r="H10" s="1025">
        <f t="shared" si="0"/>
        <v>0</v>
      </c>
      <c r="I10" s="1025">
        <f>SUM(I8:I9)</f>
        <v>0</v>
      </c>
      <c r="J10" s="1025">
        <f>SUM(J8:J9)</f>
        <v>51.35294117647058</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0.20521413786414172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62.357142857142847</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62.357142857142847</v>
      </c>
      <c r="C20" s="1025">
        <f>SUM(C17:C19)</f>
        <v>0</v>
      </c>
      <c r="D20" s="1025">
        <f t="shared" ref="D20:H20" si="2">SUM(D17:D19)</f>
        <v>0</v>
      </c>
      <c r="E20" s="1025">
        <f t="shared" si="2"/>
        <v>0</v>
      </c>
      <c r="F20" s="1025">
        <f t="shared" si="2"/>
        <v>0</v>
      </c>
      <c r="G20" s="1025">
        <f t="shared" si="2"/>
        <v>0</v>
      </c>
      <c r="H20" s="1025">
        <f t="shared" si="2"/>
        <v>0</v>
      </c>
      <c r="I20" s="1025">
        <f>SUM(I17:I19)</f>
        <v>0</v>
      </c>
      <c r="J20" s="1025">
        <f>SUM(J17:J19)</f>
        <v>73.361344537815114</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0.20521413786414172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0.20521413786414172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0.20521413786414172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16353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3536.62</v>
      </c>
      <c r="C14" s="330"/>
      <c r="D14" s="330"/>
      <c r="E14" s="330"/>
      <c r="F14" s="330"/>
    </row>
    <row r="15" spans="1:6">
      <c r="A15" s="1291" t="s">
        <v>183</v>
      </c>
      <c r="B15" s="1292">
        <v>63</v>
      </c>
      <c r="C15" s="330"/>
      <c r="D15" s="330"/>
      <c r="E15" s="330"/>
      <c r="F15" s="330"/>
    </row>
    <row r="16" spans="1:6">
      <c r="A16" s="1291" t="s">
        <v>6</v>
      </c>
      <c r="B16" s="1292">
        <v>2490</v>
      </c>
      <c r="C16" s="330"/>
      <c r="D16" s="330"/>
      <c r="E16" s="330"/>
      <c r="F16" s="330"/>
    </row>
    <row r="17" spans="1:6">
      <c r="A17" s="1291" t="s">
        <v>7</v>
      </c>
      <c r="B17" s="1292">
        <v>1604</v>
      </c>
      <c r="C17" s="330"/>
      <c r="D17" s="330"/>
      <c r="E17" s="330"/>
      <c r="F17" s="330"/>
    </row>
    <row r="18" spans="1:6">
      <c r="A18" s="1291" t="s">
        <v>8</v>
      </c>
      <c r="B18" s="1292">
        <v>2618</v>
      </c>
      <c r="C18" s="330"/>
      <c r="D18" s="330"/>
      <c r="E18" s="330"/>
      <c r="F18" s="330"/>
    </row>
    <row r="19" spans="1:6">
      <c r="A19" s="1291" t="s">
        <v>9</v>
      </c>
      <c r="B19" s="1292">
        <v>3417</v>
      </c>
      <c r="C19" s="330"/>
      <c r="D19" s="330"/>
      <c r="E19" s="330"/>
      <c r="F19" s="330"/>
    </row>
    <row r="20" spans="1:6">
      <c r="A20" s="1291" t="s">
        <v>10</v>
      </c>
      <c r="B20" s="1292">
        <v>1963</v>
      </c>
      <c r="C20" s="330"/>
      <c r="D20" s="330"/>
      <c r="E20" s="330"/>
      <c r="F20" s="330"/>
    </row>
    <row r="21" spans="1:6">
      <c r="A21" s="1291" t="s">
        <v>11</v>
      </c>
      <c r="B21" s="1292">
        <v>5516</v>
      </c>
      <c r="C21" s="330"/>
      <c r="D21" s="330"/>
      <c r="E21" s="330"/>
      <c r="F21" s="330"/>
    </row>
    <row r="22" spans="1:6">
      <c r="A22" s="1291" t="s">
        <v>12</v>
      </c>
      <c r="B22" s="1292">
        <v>12742</v>
      </c>
      <c r="C22" s="330"/>
      <c r="D22" s="330"/>
      <c r="E22" s="330"/>
      <c r="F22" s="330"/>
    </row>
    <row r="23" spans="1:6">
      <c r="A23" s="1291" t="s">
        <v>13</v>
      </c>
      <c r="B23" s="1292">
        <v>185</v>
      </c>
      <c r="C23" s="330"/>
      <c r="D23" s="330"/>
      <c r="E23" s="330"/>
      <c r="F23" s="330"/>
    </row>
    <row r="24" spans="1:6">
      <c r="A24" s="1291" t="s">
        <v>14</v>
      </c>
      <c r="B24" s="1292">
        <v>8</v>
      </c>
      <c r="C24" s="330"/>
      <c r="D24" s="330"/>
      <c r="E24" s="330"/>
      <c r="F24" s="330"/>
    </row>
    <row r="25" spans="1:6">
      <c r="A25" s="1291" t="s">
        <v>15</v>
      </c>
      <c r="B25" s="1292">
        <v>1214</v>
      </c>
      <c r="C25" s="330"/>
      <c r="D25" s="330"/>
      <c r="E25" s="330"/>
      <c r="F25" s="330"/>
    </row>
    <row r="26" spans="1:6">
      <c r="A26" s="1291" t="s">
        <v>16</v>
      </c>
      <c r="B26" s="1292">
        <v>124</v>
      </c>
      <c r="C26" s="330"/>
      <c r="D26" s="330"/>
      <c r="E26" s="330"/>
      <c r="F26" s="330"/>
    </row>
    <row r="27" spans="1:6">
      <c r="A27" s="1291" t="s">
        <v>17</v>
      </c>
      <c r="B27" s="1292">
        <v>92</v>
      </c>
      <c r="C27" s="330"/>
      <c r="D27" s="330"/>
      <c r="E27" s="330"/>
      <c r="F27" s="330"/>
    </row>
    <row r="28" spans="1:6" s="43" customFormat="1">
      <c r="A28" s="1293" t="s">
        <v>18</v>
      </c>
      <c r="B28" s="1294">
        <v>181949</v>
      </c>
      <c r="C28" s="336"/>
      <c r="D28" s="336"/>
      <c r="E28" s="336"/>
      <c r="F28" s="336"/>
    </row>
    <row r="29" spans="1:6">
      <c r="A29" s="1293" t="s">
        <v>892</v>
      </c>
      <c r="B29" s="1294">
        <v>245</v>
      </c>
      <c r="C29" s="336"/>
      <c r="D29" s="336"/>
      <c r="E29" s="336"/>
      <c r="F29" s="336"/>
    </row>
    <row r="30" spans="1:6">
      <c r="A30" s="1286" t="s">
        <v>893</v>
      </c>
      <c r="B30" s="1295">
        <v>51</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3</v>
      </c>
      <c r="F35" s="1292">
        <v>5574</v>
      </c>
    </row>
    <row r="36" spans="1:6">
      <c r="A36" s="1291" t="s">
        <v>24</v>
      </c>
      <c r="B36" s="1291" t="s">
        <v>26</v>
      </c>
      <c r="C36" s="1292">
        <v>0</v>
      </c>
      <c r="D36" s="1292">
        <v>0</v>
      </c>
      <c r="E36" s="1292">
        <v>5</v>
      </c>
      <c r="F36" s="1292">
        <v>825952.33316000004</v>
      </c>
    </row>
    <row r="37" spans="1:6">
      <c r="A37" s="1291" t="s">
        <v>24</v>
      </c>
      <c r="B37" s="1291" t="s">
        <v>27</v>
      </c>
      <c r="C37" s="1292">
        <v>0</v>
      </c>
      <c r="D37" s="1292">
        <v>0</v>
      </c>
      <c r="E37" s="1292">
        <v>0</v>
      </c>
      <c r="F37" s="1292">
        <v>0</v>
      </c>
    </row>
    <row r="38" spans="1:6">
      <c r="A38" s="1291" t="s">
        <v>24</v>
      </c>
      <c r="B38" s="1291" t="s">
        <v>28</v>
      </c>
      <c r="C38" s="1292">
        <v>3</v>
      </c>
      <c r="D38" s="1292">
        <v>1236712.0056</v>
      </c>
      <c r="E38" s="1292">
        <v>0</v>
      </c>
      <c r="F38" s="1292">
        <v>0</v>
      </c>
    </row>
    <row r="39" spans="1:6">
      <c r="A39" s="1291" t="s">
        <v>29</v>
      </c>
      <c r="B39" s="1291" t="s">
        <v>30</v>
      </c>
      <c r="C39" s="1292">
        <v>11133</v>
      </c>
      <c r="D39" s="1292">
        <v>159104273.47</v>
      </c>
      <c r="E39" s="1292">
        <v>16188</v>
      </c>
      <c r="F39" s="1292">
        <v>63157170.050999999</v>
      </c>
    </row>
    <row r="40" spans="1:6">
      <c r="A40" s="1291" t="s">
        <v>29</v>
      </c>
      <c r="B40" s="1291" t="s">
        <v>28</v>
      </c>
      <c r="C40" s="1292">
        <v>0</v>
      </c>
      <c r="D40" s="1292">
        <v>0</v>
      </c>
      <c r="E40" s="1292">
        <v>0</v>
      </c>
      <c r="F40" s="1292">
        <v>0</v>
      </c>
    </row>
    <row r="41" spans="1:6">
      <c r="A41" s="1291" t="s">
        <v>31</v>
      </c>
      <c r="B41" s="1291" t="s">
        <v>32</v>
      </c>
      <c r="C41" s="1292">
        <v>192</v>
      </c>
      <c r="D41" s="1292">
        <v>5741284.3870000001</v>
      </c>
      <c r="E41" s="1292">
        <v>353</v>
      </c>
      <c r="F41" s="1292">
        <v>5383984.8734999998</v>
      </c>
    </row>
    <row r="42" spans="1:6">
      <c r="A42" s="1291" t="s">
        <v>31</v>
      </c>
      <c r="B42" s="1291" t="s">
        <v>33</v>
      </c>
      <c r="C42" s="1292">
        <v>0</v>
      </c>
      <c r="D42" s="1292">
        <v>0</v>
      </c>
      <c r="E42" s="1292">
        <v>3</v>
      </c>
      <c r="F42" s="1292">
        <v>166461.89699000001</v>
      </c>
    </row>
    <row r="43" spans="1:6">
      <c r="A43" s="1291" t="s">
        <v>31</v>
      </c>
      <c r="B43" s="1291" t="s">
        <v>34</v>
      </c>
      <c r="C43" s="1292">
        <v>0</v>
      </c>
      <c r="D43" s="1292">
        <v>0</v>
      </c>
      <c r="E43" s="1292">
        <v>0</v>
      </c>
      <c r="F43" s="1292">
        <v>0</v>
      </c>
    </row>
    <row r="44" spans="1:6">
      <c r="A44" s="1291" t="s">
        <v>31</v>
      </c>
      <c r="B44" s="1291" t="s">
        <v>35</v>
      </c>
      <c r="C44" s="1292">
        <v>33</v>
      </c>
      <c r="D44" s="1292">
        <v>12466401.273</v>
      </c>
      <c r="E44" s="1292">
        <v>60</v>
      </c>
      <c r="F44" s="1292">
        <v>17184144.213</v>
      </c>
    </row>
    <row r="45" spans="1:6">
      <c r="A45" s="1291" t="s">
        <v>31</v>
      </c>
      <c r="B45" s="1291" t="s">
        <v>36</v>
      </c>
      <c r="C45" s="1292">
        <v>0</v>
      </c>
      <c r="D45" s="1292">
        <v>0</v>
      </c>
      <c r="E45" s="1292">
        <v>6</v>
      </c>
      <c r="F45" s="1292">
        <v>350550.68144999997</v>
      </c>
    </row>
    <row r="46" spans="1:6">
      <c r="A46" s="1291" t="s">
        <v>31</v>
      </c>
      <c r="B46" s="1291" t="s">
        <v>37</v>
      </c>
      <c r="C46" s="1292">
        <v>0</v>
      </c>
      <c r="D46" s="1292">
        <v>0</v>
      </c>
      <c r="E46" s="1292">
        <v>0</v>
      </c>
      <c r="F46" s="1292">
        <v>0</v>
      </c>
    </row>
    <row r="47" spans="1:6">
      <c r="A47" s="1291" t="s">
        <v>31</v>
      </c>
      <c r="B47" s="1291" t="s">
        <v>38</v>
      </c>
      <c r="C47" s="1292">
        <v>3</v>
      </c>
      <c r="D47" s="1292">
        <v>169657.81909999999</v>
      </c>
      <c r="E47" s="1292">
        <v>8</v>
      </c>
      <c r="F47" s="1292">
        <v>286905.57621000003</v>
      </c>
    </row>
    <row r="48" spans="1:6">
      <c r="A48" s="1291" t="s">
        <v>31</v>
      </c>
      <c r="B48" s="1291" t="s">
        <v>28</v>
      </c>
      <c r="C48" s="1292">
        <v>44</v>
      </c>
      <c r="D48" s="1292">
        <v>14054284.002</v>
      </c>
      <c r="E48" s="1292">
        <v>58</v>
      </c>
      <c r="F48" s="1292">
        <v>28064406.965</v>
      </c>
    </row>
    <row r="49" spans="1:6">
      <c r="A49" s="1291" t="s">
        <v>31</v>
      </c>
      <c r="B49" s="1291" t="s">
        <v>39</v>
      </c>
      <c r="C49" s="1292">
        <v>3</v>
      </c>
      <c r="D49" s="1292">
        <v>4956971.4493000004</v>
      </c>
      <c r="E49" s="1292">
        <v>3</v>
      </c>
      <c r="F49" s="1292">
        <v>429418.28379999998</v>
      </c>
    </row>
    <row r="50" spans="1:6">
      <c r="A50" s="1291" t="s">
        <v>31</v>
      </c>
      <c r="B50" s="1291" t="s">
        <v>40</v>
      </c>
      <c r="C50" s="1292">
        <v>37</v>
      </c>
      <c r="D50" s="1292">
        <v>21416930.006000001</v>
      </c>
      <c r="E50" s="1292">
        <v>58</v>
      </c>
      <c r="F50" s="1292">
        <v>15579260.622</v>
      </c>
    </row>
    <row r="51" spans="1:6">
      <c r="A51" s="1291" t="s">
        <v>41</v>
      </c>
      <c r="B51" s="1291" t="s">
        <v>42</v>
      </c>
      <c r="C51" s="1292">
        <v>41</v>
      </c>
      <c r="D51" s="1292">
        <v>4561109.8307999996</v>
      </c>
      <c r="E51" s="1292">
        <v>191</v>
      </c>
      <c r="F51" s="1292">
        <v>3493796.6150000002</v>
      </c>
    </row>
    <row r="52" spans="1:6">
      <c r="A52" s="1291" t="s">
        <v>41</v>
      </c>
      <c r="B52" s="1291" t="s">
        <v>28</v>
      </c>
      <c r="C52" s="1292">
        <v>10</v>
      </c>
      <c r="D52" s="1292">
        <v>1523709.1479</v>
      </c>
      <c r="E52" s="1292">
        <v>14</v>
      </c>
      <c r="F52" s="1292">
        <v>188324.55684999999</v>
      </c>
    </row>
    <row r="53" spans="1:6">
      <c r="A53" s="1291" t="s">
        <v>43</v>
      </c>
      <c r="B53" s="1291" t="s">
        <v>44</v>
      </c>
      <c r="C53" s="1292">
        <v>321</v>
      </c>
      <c r="D53" s="1292">
        <v>5677191.1694999998</v>
      </c>
      <c r="E53" s="1292">
        <v>628</v>
      </c>
      <c r="F53" s="1292">
        <v>2284243.6963999998</v>
      </c>
    </row>
    <row r="54" spans="1:6">
      <c r="A54" s="1291" t="s">
        <v>45</v>
      </c>
      <c r="B54" s="1291" t="s">
        <v>46</v>
      </c>
      <c r="C54" s="1292">
        <v>0</v>
      </c>
      <c r="D54" s="1292">
        <v>0</v>
      </c>
      <c r="E54" s="1292">
        <v>6</v>
      </c>
      <c r="F54" s="1292">
        <v>2396481.9087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125</v>
      </c>
      <c r="D57" s="1292">
        <v>21383709.583999999</v>
      </c>
      <c r="E57" s="1292">
        <v>265</v>
      </c>
      <c r="F57" s="1292">
        <v>9631470.2259999998</v>
      </c>
    </row>
    <row r="58" spans="1:6">
      <c r="A58" s="1291" t="s">
        <v>48</v>
      </c>
      <c r="B58" s="1291" t="s">
        <v>50</v>
      </c>
      <c r="C58" s="1292">
        <v>101</v>
      </c>
      <c r="D58" s="1292">
        <v>8955026.0234999992</v>
      </c>
      <c r="E58" s="1292">
        <v>243</v>
      </c>
      <c r="F58" s="1292">
        <v>2793548.4670000002</v>
      </c>
    </row>
    <row r="59" spans="1:6">
      <c r="A59" s="1291" t="s">
        <v>48</v>
      </c>
      <c r="B59" s="1291" t="s">
        <v>51</v>
      </c>
      <c r="C59" s="1292">
        <v>266</v>
      </c>
      <c r="D59" s="1292">
        <v>34059388.343000002</v>
      </c>
      <c r="E59" s="1292">
        <v>560</v>
      </c>
      <c r="F59" s="1292">
        <v>33710467.111000001</v>
      </c>
    </row>
    <row r="60" spans="1:6">
      <c r="A60" s="1291" t="s">
        <v>48</v>
      </c>
      <c r="B60" s="1291" t="s">
        <v>52</v>
      </c>
      <c r="C60" s="1292">
        <v>118</v>
      </c>
      <c r="D60" s="1292">
        <v>4618534.7166999998</v>
      </c>
      <c r="E60" s="1292">
        <v>164</v>
      </c>
      <c r="F60" s="1292">
        <v>4608537.0393000003</v>
      </c>
    </row>
    <row r="61" spans="1:6">
      <c r="A61" s="1291" t="s">
        <v>48</v>
      </c>
      <c r="B61" s="1291" t="s">
        <v>53</v>
      </c>
      <c r="C61" s="1292">
        <v>368</v>
      </c>
      <c r="D61" s="1292">
        <v>11861888.778000001</v>
      </c>
      <c r="E61" s="1292">
        <v>713</v>
      </c>
      <c r="F61" s="1292">
        <v>9022272.3232000005</v>
      </c>
    </row>
    <row r="62" spans="1:6">
      <c r="A62" s="1291" t="s">
        <v>48</v>
      </c>
      <c r="B62" s="1291" t="s">
        <v>54</v>
      </c>
      <c r="C62" s="1292">
        <v>30</v>
      </c>
      <c r="D62" s="1292">
        <v>5178434.6040000003</v>
      </c>
      <c r="E62" s="1292">
        <v>45</v>
      </c>
      <c r="F62" s="1292">
        <v>2125482.3601000002</v>
      </c>
    </row>
    <row r="63" spans="1:6">
      <c r="A63" s="1291" t="s">
        <v>48</v>
      </c>
      <c r="B63" s="1291" t="s">
        <v>28</v>
      </c>
      <c r="C63" s="1292">
        <v>105</v>
      </c>
      <c r="D63" s="1292">
        <v>17572343.212000001</v>
      </c>
      <c r="E63" s="1292">
        <v>93</v>
      </c>
      <c r="F63" s="1292">
        <v>16004081.912</v>
      </c>
    </row>
    <row r="64" spans="1:6">
      <c r="A64" s="1291" t="s">
        <v>55</v>
      </c>
      <c r="B64" s="1291" t="s">
        <v>56</v>
      </c>
      <c r="C64" s="1292">
        <v>0</v>
      </c>
      <c r="D64" s="1292">
        <v>0</v>
      </c>
      <c r="E64" s="1292">
        <v>0</v>
      </c>
      <c r="F64" s="1292">
        <v>0</v>
      </c>
    </row>
    <row r="65" spans="1:6">
      <c r="A65" s="1291" t="s">
        <v>55</v>
      </c>
      <c r="B65" s="1291" t="s">
        <v>28</v>
      </c>
      <c r="C65" s="1292">
        <v>2</v>
      </c>
      <c r="D65" s="1292">
        <v>34297.578494000001</v>
      </c>
      <c r="E65" s="1292">
        <v>1</v>
      </c>
      <c r="F65" s="1292">
        <v>11927.493289</v>
      </c>
    </row>
    <row r="66" spans="1:6">
      <c r="A66" s="1291" t="s">
        <v>55</v>
      </c>
      <c r="B66" s="1291" t="s">
        <v>57</v>
      </c>
      <c r="C66" s="1292">
        <v>0</v>
      </c>
      <c r="D66" s="1292">
        <v>0</v>
      </c>
      <c r="E66" s="1292">
        <v>19</v>
      </c>
      <c r="F66" s="1292">
        <v>811477.17296999996</v>
      </c>
    </row>
    <row r="67" spans="1:6">
      <c r="A67" s="1293" t="s">
        <v>55</v>
      </c>
      <c r="B67" s="1293" t="s">
        <v>58</v>
      </c>
      <c r="C67" s="1292">
        <v>0</v>
      </c>
      <c r="D67" s="1292">
        <v>0</v>
      </c>
      <c r="E67" s="1292">
        <v>0</v>
      </c>
      <c r="F67" s="1292">
        <v>0</v>
      </c>
    </row>
    <row r="68" spans="1:6">
      <c r="A68" s="1286" t="s">
        <v>55</v>
      </c>
      <c r="B68" s="1286" t="s">
        <v>59</v>
      </c>
      <c r="C68" s="1295">
        <v>6</v>
      </c>
      <c r="D68" s="1295">
        <v>106012.44014000001</v>
      </c>
      <c r="E68" s="1295">
        <v>26</v>
      </c>
      <c r="F68" s="1295">
        <v>242967.32680000001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95724002</v>
      </c>
      <c r="E73" s="449"/>
      <c r="F73" s="330"/>
    </row>
    <row r="74" spans="1:6">
      <c r="A74" s="1291" t="s">
        <v>63</v>
      </c>
      <c r="B74" s="1291" t="s">
        <v>664</v>
      </c>
      <c r="C74" s="1305" t="s">
        <v>666</v>
      </c>
      <c r="D74" s="1306">
        <v>8803285.7660252359</v>
      </c>
      <c r="E74" s="449"/>
      <c r="F74" s="330"/>
    </row>
    <row r="75" spans="1:6">
      <c r="A75" s="1291" t="s">
        <v>64</v>
      </c>
      <c r="B75" s="1291" t="s">
        <v>663</v>
      </c>
      <c r="C75" s="1305" t="s">
        <v>667</v>
      </c>
      <c r="D75" s="1306">
        <v>64650336</v>
      </c>
      <c r="E75" s="449"/>
      <c r="F75" s="330"/>
    </row>
    <row r="76" spans="1:6">
      <c r="A76" s="1291" t="s">
        <v>64</v>
      </c>
      <c r="B76" s="1291" t="s">
        <v>664</v>
      </c>
      <c r="C76" s="1305" t="s">
        <v>668</v>
      </c>
      <c r="D76" s="1306">
        <v>4122358.7660252363</v>
      </c>
      <c r="E76" s="449"/>
      <c r="F76" s="330"/>
    </row>
    <row r="77" spans="1:6">
      <c r="A77" s="1291" t="s">
        <v>65</v>
      </c>
      <c r="B77" s="1291" t="s">
        <v>663</v>
      </c>
      <c r="C77" s="1305" t="s">
        <v>669</v>
      </c>
      <c r="D77" s="1306">
        <v>227573123</v>
      </c>
      <c r="E77" s="449"/>
      <c r="F77" s="330"/>
    </row>
    <row r="78" spans="1:6">
      <c r="A78" s="1286" t="s">
        <v>65</v>
      </c>
      <c r="B78" s="1286" t="s">
        <v>664</v>
      </c>
      <c r="C78" s="1286" t="s">
        <v>670</v>
      </c>
      <c r="D78" s="1307">
        <v>56631230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556036.4679495272</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7105.7722012611503</v>
      </c>
      <c r="C91" s="330"/>
      <c r="D91" s="330"/>
      <c r="E91" s="330"/>
      <c r="F91" s="330"/>
    </row>
    <row r="92" spans="1:6">
      <c r="A92" s="1286" t="s">
        <v>68</v>
      </c>
      <c r="B92" s="1287">
        <v>8854.0564453474162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6443</v>
      </c>
      <c r="C97" s="330"/>
      <c r="D97" s="330"/>
      <c r="E97" s="330"/>
      <c r="F97" s="330"/>
    </row>
    <row r="98" spans="1:6">
      <c r="A98" s="1291" t="s">
        <v>71</v>
      </c>
      <c r="B98" s="1292">
        <v>1</v>
      </c>
      <c r="C98" s="330"/>
      <c r="D98" s="330"/>
      <c r="E98" s="330"/>
      <c r="F98" s="330"/>
    </row>
    <row r="99" spans="1:6">
      <c r="A99" s="1291" t="s">
        <v>72</v>
      </c>
      <c r="B99" s="1292">
        <v>183</v>
      </c>
      <c r="C99" s="330"/>
      <c r="D99" s="330"/>
      <c r="E99" s="330"/>
      <c r="F99" s="330"/>
    </row>
    <row r="100" spans="1:6">
      <c r="A100" s="1291" t="s">
        <v>73</v>
      </c>
      <c r="B100" s="1292">
        <v>1668</v>
      </c>
      <c r="C100" s="330"/>
      <c r="D100" s="330"/>
      <c r="E100" s="330"/>
      <c r="F100" s="330"/>
    </row>
    <row r="101" spans="1:6">
      <c r="A101" s="1291" t="s">
        <v>74</v>
      </c>
      <c r="B101" s="1292">
        <v>249</v>
      </c>
      <c r="C101" s="330"/>
      <c r="D101" s="330"/>
      <c r="E101" s="330"/>
      <c r="F101" s="330"/>
    </row>
    <row r="102" spans="1:6">
      <c r="A102" s="1291" t="s">
        <v>75</v>
      </c>
      <c r="B102" s="1292">
        <v>343</v>
      </c>
      <c r="C102" s="330"/>
      <c r="D102" s="330"/>
      <c r="E102" s="330"/>
      <c r="F102" s="330"/>
    </row>
    <row r="103" spans="1:6">
      <c r="A103" s="1291" t="s">
        <v>76</v>
      </c>
      <c r="B103" s="1292">
        <v>650</v>
      </c>
      <c r="C103" s="330"/>
      <c r="D103" s="330"/>
      <c r="E103" s="330"/>
      <c r="F103" s="330"/>
    </row>
    <row r="104" spans="1:6">
      <c r="A104" s="1291" t="s">
        <v>77</v>
      </c>
      <c r="B104" s="1292">
        <v>4453</v>
      </c>
      <c r="C104" s="330"/>
      <c r="D104" s="330"/>
      <c r="E104" s="330"/>
      <c r="F104" s="330"/>
    </row>
    <row r="105" spans="1:6">
      <c r="A105" s="1286" t="s">
        <v>78</v>
      </c>
      <c r="B105" s="1295">
        <v>20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55</v>
      </c>
      <c r="C123" s="1292">
        <v>61</v>
      </c>
      <c r="D123" s="330"/>
      <c r="E123" s="330"/>
      <c r="F123" s="330"/>
    </row>
    <row r="124" spans="1:6" s="43" customFormat="1">
      <c r="A124" s="1293" t="s">
        <v>88</v>
      </c>
      <c r="B124" s="1314">
        <v>1</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243</v>
      </c>
      <c r="C129" s="330"/>
      <c r="D129" s="330"/>
      <c r="E129" s="330"/>
      <c r="F129" s="330"/>
    </row>
    <row r="130" spans="1:6">
      <c r="A130" s="1291" t="s">
        <v>294</v>
      </c>
      <c r="B130" s="1292">
        <v>7</v>
      </c>
      <c r="C130" s="330"/>
      <c r="D130" s="330"/>
      <c r="E130" s="330"/>
      <c r="F130" s="330"/>
    </row>
    <row r="131" spans="1:6">
      <c r="A131" s="1291" t="s">
        <v>295</v>
      </c>
      <c r="B131" s="1292">
        <v>8</v>
      </c>
      <c r="C131" s="330"/>
      <c r="D131" s="330"/>
      <c r="E131" s="330"/>
      <c r="F131" s="330"/>
    </row>
    <row r="132" spans="1:6">
      <c r="A132" s="1286" t="s">
        <v>296</v>
      </c>
      <c r="B132" s="1287">
        <v>47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224046.6026158029</v>
      </c>
      <c r="C3" s="43" t="s">
        <v>169</v>
      </c>
      <c r="D3" s="43"/>
      <c r="E3" s="154"/>
      <c r="F3" s="43"/>
      <c r="G3" s="43"/>
      <c r="H3" s="43"/>
      <c r="I3" s="43"/>
      <c r="J3" s="43"/>
      <c r="K3" s="96"/>
    </row>
    <row r="4" spans="1:11">
      <c r="A4" s="358" t="s">
        <v>170</v>
      </c>
      <c r="B4" s="49">
        <f>IF(ISERROR('SEAP template'!B78+'SEAP template'!C78),0,'SEAP template'!B78+'SEAP template'!C78)</f>
        <v>16003.478646608566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0.20521413786414172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2396.4819087000001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2396.4819087000001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0.20521413786414172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491.7919688008833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63157.170051000001</v>
      </c>
      <c r="C5" s="17">
        <f>IF(ISERROR('Eigen informatie GS &amp; warmtenet'!B57),0,'Eigen informatie GS &amp; warmtenet'!B57)</f>
        <v>0</v>
      </c>
      <c r="D5" s="30">
        <f>(SUM(HH_hh_gas_kWh,HH_rest_gas_kWh)/1000)*0.902</f>
        <v>143512.05466994</v>
      </c>
      <c r="E5" s="17">
        <f>B46*B57</f>
        <v>35103.152169798996</v>
      </c>
      <c r="F5" s="17">
        <f>B51*B62</f>
        <v>0</v>
      </c>
      <c r="G5" s="18"/>
      <c r="H5" s="17"/>
      <c r="I5" s="17"/>
      <c r="J5" s="17">
        <f>B50*B61+C50*C61</f>
        <v>3222.22767005685</v>
      </c>
      <c r="K5" s="17"/>
      <c r="L5" s="17"/>
      <c r="M5" s="17"/>
      <c r="N5" s="17">
        <f>B48*B59+C48*C59</f>
        <v>38169.495787576663</v>
      </c>
      <c r="O5" s="17">
        <f>B69*B70*B71</f>
        <v>476.81666666666666</v>
      </c>
      <c r="P5" s="17">
        <f>B77*B78*B79/1000-B77*B78*B79/1000/B80</f>
        <v>1963.8666666666668</v>
      </c>
    </row>
    <row r="6" spans="1:16">
      <c r="A6" s="16" t="s">
        <v>623</v>
      </c>
      <c r="B6" s="762">
        <f>kWh_PV_kleiner_dan_10kW</f>
        <v>7105.7722012611503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70262.942252261157</v>
      </c>
      <c r="C8" s="21">
        <f>C5</f>
        <v>0</v>
      </c>
      <c r="D8" s="21">
        <f>D5</f>
        <v>143512.05466994</v>
      </c>
      <c r="E8" s="21">
        <f>E5</f>
        <v>35103.152169798996</v>
      </c>
      <c r="F8" s="21">
        <f>F5</f>
        <v>0</v>
      </c>
      <c r="G8" s="21"/>
      <c r="H8" s="21"/>
      <c r="I8" s="21"/>
      <c r="J8" s="21">
        <f>J5</f>
        <v>3222.22767005685</v>
      </c>
      <c r="K8" s="21"/>
      <c r="L8" s="21">
        <f>L5</f>
        <v>0</v>
      </c>
      <c r="M8" s="21">
        <f>M5</f>
        <v>0</v>
      </c>
      <c r="N8" s="21">
        <f>N5</f>
        <v>38169.495787576663</v>
      </c>
      <c r="O8" s="21">
        <f>O5</f>
        <v>476.81666666666666</v>
      </c>
      <c r="P8" s="21">
        <f>P5</f>
        <v>1963.8666666666668</v>
      </c>
    </row>
    <row r="9" spans="1:16">
      <c r="B9" s="19"/>
      <c r="C9" s="19"/>
      <c r="D9" s="258"/>
      <c r="E9" s="19"/>
      <c r="F9" s="19"/>
      <c r="G9" s="19"/>
      <c r="H9" s="19"/>
      <c r="I9" s="19"/>
      <c r="J9" s="19"/>
      <c r="K9" s="19"/>
      <c r="L9" s="19"/>
      <c r="M9" s="19"/>
      <c r="N9" s="19"/>
      <c r="O9" s="19"/>
      <c r="P9" s="19"/>
    </row>
    <row r="10" spans="1:16">
      <c r="A10" s="24" t="s">
        <v>213</v>
      </c>
      <c r="B10" s="25">
        <f ca="1">'EF ele_warmte'!B12</f>
        <v>0.20521413786414172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14418.94911809575</v>
      </c>
      <c r="C12" s="23">
        <f ca="1">C10*C8</f>
        <v>0</v>
      </c>
      <c r="D12" s="23">
        <f>D8*D10</f>
        <v>28989.435043327881</v>
      </c>
      <c r="E12" s="23">
        <f>E10*E8</f>
        <v>7968.4155425443723</v>
      </c>
      <c r="F12" s="23">
        <f>F10*F8</f>
        <v>0</v>
      </c>
      <c r="G12" s="23"/>
      <c r="H12" s="23"/>
      <c r="I12" s="23"/>
      <c r="J12" s="23">
        <f>J10*J8</f>
        <v>1140.6685952001249</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6443</v>
      </c>
      <c r="C18" s="166" t="s">
        <v>110</v>
      </c>
      <c r="D18" s="228"/>
      <c r="E18" s="15"/>
    </row>
    <row r="19" spans="1:7">
      <c r="A19" s="171" t="s">
        <v>71</v>
      </c>
      <c r="B19" s="37">
        <f>aantalw2001_ander</f>
        <v>1</v>
      </c>
      <c r="C19" s="166" t="s">
        <v>110</v>
      </c>
      <c r="D19" s="229"/>
      <c r="E19" s="15"/>
    </row>
    <row r="20" spans="1:7">
      <c r="A20" s="171" t="s">
        <v>72</v>
      </c>
      <c r="B20" s="37">
        <f>aantalw2001_propaan</f>
        <v>183</v>
      </c>
      <c r="C20" s="167">
        <f>IF(ISERROR(B20/SUM($B$20,$B$21,$B$22)*100),0,B20/SUM($B$20,$B$21,$B$22)*100)</f>
        <v>8.7142857142857153</v>
      </c>
      <c r="D20" s="229"/>
      <c r="E20" s="15"/>
    </row>
    <row r="21" spans="1:7">
      <c r="A21" s="171" t="s">
        <v>73</v>
      </c>
      <c r="B21" s="37">
        <f>aantalw2001_elektriciteit</f>
        <v>1668</v>
      </c>
      <c r="C21" s="167">
        <f>IF(ISERROR(B21/SUM($B$20,$B$21,$B$22)*100),0,B21/SUM($B$20,$B$21,$B$22)*100)</f>
        <v>79.428571428571431</v>
      </c>
      <c r="D21" s="229"/>
      <c r="E21" s="15"/>
    </row>
    <row r="22" spans="1:7">
      <c r="A22" s="171" t="s">
        <v>74</v>
      </c>
      <c r="B22" s="37">
        <f>aantalw2001_hout</f>
        <v>249</v>
      </c>
      <c r="C22" s="167">
        <f>IF(ISERROR(B22/SUM($B$20,$B$21,$B$22)*100),0,B22/SUM($B$20,$B$21,$B$22)*100)</f>
        <v>11.857142857142858</v>
      </c>
      <c r="D22" s="229"/>
      <c r="E22" s="15"/>
    </row>
    <row r="23" spans="1:7">
      <c r="A23" s="171" t="s">
        <v>75</v>
      </c>
      <c r="B23" s="37">
        <f>aantalw2001_niet_gespec</f>
        <v>343</v>
      </c>
      <c r="C23" s="166" t="s">
        <v>110</v>
      </c>
      <c r="D23" s="228"/>
      <c r="E23" s="15"/>
    </row>
    <row r="24" spans="1:7">
      <c r="A24" s="171" t="s">
        <v>76</v>
      </c>
      <c r="B24" s="37">
        <f>aantalw2001_steenkool</f>
        <v>650</v>
      </c>
      <c r="C24" s="166" t="s">
        <v>110</v>
      </c>
      <c r="D24" s="229"/>
      <c r="E24" s="15"/>
    </row>
    <row r="25" spans="1:7">
      <c r="A25" s="171" t="s">
        <v>77</v>
      </c>
      <c r="B25" s="37">
        <f>aantalw2001_stookolie</f>
        <v>4453</v>
      </c>
      <c r="C25" s="166" t="s">
        <v>110</v>
      </c>
      <c r="D25" s="228"/>
      <c r="E25" s="52"/>
    </row>
    <row r="26" spans="1:7">
      <c r="A26" s="171" t="s">
        <v>78</v>
      </c>
      <c r="B26" s="37">
        <f>aantalw2001_WP</f>
        <v>20</v>
      </c>
      <c r="C26" s="166" t="s">
        <v>110</v>
      </c>
      <c r="D26" s="228"/>
      <c r="E26" s="15"/>
    </row>
    <row r="27" spans="1:7" s="15" customFormat="1">
      <c r="A27" s="171"/>
      <c r="B27" s="29"/>
      <c r="C27" s="36"/>
      <c r="D27" s="228"/>
    </row>
    <row r="28" spans="1:7" s="15" customFormat="1">
      <c r="A28" s="230" t="s">
        <v>695</v>
      </c>
      <c r="B28" s="37">
        <f>aantalHuishoudens</f>
        <v>16353</v>
      </c>
      <c r="C28" s="36"/>
      <c r="D28" s="228"/>
    </row>
    <row r="29" spans="1:7" s="15" customFormat="1">
      <c r="A29" s="230" t="s">
        <v>696</v>
      </c>
      <c r="B29" s="37">
        <f>SUM(HH_hh_gas_aantal,HH_rest_gas_aantal)</f>
        <v>11133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11133</v>
      </c>
      <c r="C32" s="167">
        <f>IF(ISERROR(B32/SUM($B$32,$B$34,$B$35,$B$36,$B$38,$B$39)*100),0,B32/SUM($B$32,$B$34,$B$35,$B$36,$B$38,$B$39)*100)</f>
        <v>68.510769230769228</v>
      </c>
      <c r="D32" s="233"/>
      <c r="G32" s="15"/>
    </row>
    <row r="33" spans="1:7">
      <c r="A33" s="171" t="s">
        <v>71</v>
      </c>
      <c r="B33" s="34" t="s">
        <v>110</v>
      </c>
      <c r="C33" s="167"/>
      <c r="D33" s="233"/>
      <c r="G33" s="15"/>
    </row>
    <row r="34" spans="1:7">
      <c r="A34" s="171" t="s">
        <v>72</v>
      </c>
      <c r="B34" s="33">
        <f>IF((($B$28-$B$32-$B$39-$B$77-$B$38)*C20/100)&lt;0,0,($B$28-$B$32-$B$39-$B$77-$B$38)*C20/100)</f>
        <v>430.13714285714292</v>
      </c>
      <c r="C34" s="167">
        <f>IF(ISERROR(B34/SUM($B$32,$B$34,$B$35,$B$36,$B$38,$B$39)*100),0,B34/SUM($B$32,$B$34,$B$35,$B$36,$B$38,$B$39)*100)</f>
        <v>2.6469978021978027</v>
      </c>
      <c r="D34" s="233"/>
      <c r="G34" s="15"/>
    </row>
    <row r="35" spans="1:7">
      <c r="A35" s="171" t="s">
        <v>73</v>
      </c>
      <c r="B35" s="33">
        <f>IF((($B$28-$B$32-$B$39-$B$77-$B$38)*C21/100)&lt;0,0,($B$28-$B$32-$B$39-$B$77-$B$38)*C21/100)</f>
        <v>3920.5942857142859</v>
      </c>
      <c r="C35" s="167">
        <f>IF(ISERROR(B35/SUM($B$32,$B$34,$B$35,$B$36,$B$38,$B$39)*100),0,B35/SUM($B$32,$B$34,$B$35,$B$36,$B$38,$B$39)*100)</f>
        <v>24.126734065934066</v>
      </c>
      <c r="D35" s="233"/>
      <c r="G35" s="15"/>
    </row>
    <row r="36" spans="1:7">
      <c r="A36" s="171" t="s">
        <v>74</v>
      </c>
      <c r="B36" s="33">
        <f>IF((($B$28-$B$32-$B$39-$B$77-$B$38)*C22/100)&lt;0,0,($B$28-$B$32-$B$39-$B$77-$B$38)*C22/100)</f>
        <v>585.26857142857148</v>
      </c>
      <c r="C36" s="167">
        <f>IF(ISERROR(B36/SUM($B$32,$B$34,$B$35,$B$36,$B$38,$B$39)*100),0,B36/SUM($B$32,$B$34,$B$35,$B$36,$B$38,$B$39)*100)</f>
        <v>3.6016527472527473</v>
      </c>
      <c r="D36" s="233"/>
      <c r="G36" s="15"/>
    </row>
    <row r="37" spans="1:7">
      <c r="A37" s="171" t="s">
        <v>75</v>
      </c>
      <c r="B37" s="34" t="s">
        <v>110</v>
      </c>
      <c r="C37" s="167"/>
      <c r="D37" s="173"/>
      <c r="G37" s="15"/>
    </row>
    <row r="38" spans="1:7">
      <c r="A38" s="171" t="s">
        <v>76</v>
      </c>
      <c r="B38" s="33">
        <f>IF((B24-(B29-B18)*0.1)&lt;0,0,B24-(B29-B18)*0.1)</f>
        <v>181</v>
      </c>
      <c r="C38" s="167">
        <f>IF(ISERROR(B38/SUM($B$32,$B$34,$B$35,$B$36,$B$38,$B$39)*100),0,B38/SUM($B$32,$B$34,$B$35,$B$36,$B$38,$B$39)*100)</f>
        <v>1.1138461538461537</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11133</v>
      </c>
      <c r="C44" s="34" t="s">
        <v>110</v>
      </c>
      <c r="D44" s="174"/>
    </row>
    <row r="45" spans="1:7">
      <c r="A45" s="171" t="s">
        <v>71</v>
      </c>
      <c r="B45" s="33" t="str">
        <f t="shared" si="0"/>
        <v>-</v>
      </c>
      <c r="C45" s="34" t="s">
        <v>110</v>
      </c>
      <c r="D45" s="174"/>
    </row>
    <row r="46" spans="1:7">
      <c r="A46" s="171" t="s">
        <v>72</v>
      </c>
      <c r="B46" s="33">
        <f t="shared" si="0"/>
        <v>430.13714285714292</v>
      </c>
      <c r="C46" s="34" t="s">
        <v>110</v>
      </c>
      <c r="D46" s="174"/>
    </row>
    <row r="47" spans="1:7">
      <c r="A47" s="171" t="s">
        <v>73</v>
      </c>
      <c r="B47" s="33">
        <f t="shared" si="0"/>
        <v>3920.5942857142859</v>
      </c>
      <c r="C47" s="34" t="s">
        <v>110</v>
      </c>
      <c r="D47" s="174"/>
    </row>
    <row r="48" spans="1:7">
      <c r="A48" s="171" t="s">
        <v>74</v>
      </c>
      <c r="B48" s="33">
        <f t="shared" si="0"/>
        <v>585.26857142857148</v>
      </c>
      <c r="C48" s="33">
        <f>B48*10</f>
        <v>5852.6857142857152</v>
      </c>
      <c r="D48" s="234"/>
    </row>
    <row r="49" spans="1:6">
      <c r="A49" s="171" t="s">
        <v>75</v>
      </c>
      <c r="B49" s="33" t="str">
        <f t="shared" si="0"/>
        <v>-</v>
      </c>
      <c r="C49" s="34" t="s">
        <v>110</v>
      </c>
      <c r="D49" s="234"/>
    </row>
    <row r="50" spans="1:6">
      <c r="A50" s="171" t="s">
        <v>76</v>
      </c>
      <c r="B50" s="33">
        <f t="shared" si="0"/>
        <v>181</v>
      </c>
      <c r="C50" s="33">
        <f>B50*2</f>
        <v>362</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305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103</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77895.85943859999</v>
      </c>
      <c r="C5" s="17">
        <f>IF(ISERROR('Eigen informatie GS &amp; warmtenet'!B58),0,'Eigen informatie GS &amp; warmtenet'!B58)</f>
        <v>0</v>
      </c>
      <c r="D5" s="30">
        <f>SUM(D6:D12)</f>
        <v>93473.651385602396</v>
      </c>
      <c r="E5" s="17">
        <f>SUM(E6:E12)</f>
        <v>1634.9413804982505</v>
      </c>
      <c r="F5" s="17">
        <f>SUM(F6:F12)</f>
        <v>18706.313556398451</v>
      </c>
      <c r="G5" s="18"/>
      <c r="H5" s="17"/>
      <c r="I5" s="17"/>
      <c r="J5" s="17">
        <f>SUM(J6:J12)</f>
        <v>0</v>
      </c>
      <c r="K5" s="17"/>
      <c r="L5" s="17"/>
      <c r="M5" s="17"/>
      <c r="N5" s="17">
        <f>SUM(N6:N12)</f>
        <v>9089.4193515205552</v>
      </c>
      <c r="O5" s="17">
        <f>B38*B39*B40</f>
        <v>10.943333333333335</v>
      </c>
      <c r="P5" s="17">
        <f>B46*B47*B48/1000-B46*B47*B48/1000/B49</f>
        <v>152.53333333333333</v>
      </c>
      <c r="R5" s="32"/>
    </row>
    <row r="6" spans="1:18">
      <c r="A6" s="32" t="s">
        <v>53</v>
      </c>
      <c r="B6" s="37">
        <f>B26</f>
        <v>9022.2723232000008</v>
      </c>
      <c r="C6" s="33"/>
      <c r="D6" s="37">
        <f>IF(ISERROR(TER_kantoor_gas_kWh/1000),0,TER_kantoor_gas_kWh/1000)*0.902</f>
        <v>10699.423677756</v>
      </c>
      <c r="E6" s="33">
        <f>$C$26*'E Balans VL '!I12/100/3.6*1000000</f>
        <v>118.1126585386404</v>
      </c>
      <c r="F6" s="33">
        <f>$C$26*('E Balans VL '!L12+'E Balans VL '!N12)/100/3.6*1000000</f>
        <v>2300.5862097365098</v>
      </c>
      <c r="G6" s="34"/>
      <c r="H6" s="33"/>
      <c r="I6" s="33"/>
      <c r="J6" s="33">
        <f>$C$26*('E Balans VL '!D12+'E Balans VL '!E12)/100/3.6*1000000</f>
        <v>0</v>
      </c>
      <c r="K6" s="33"/>
      <c r="L6" s="33"/>
      <c r="M6" s="33"/>
      <c r="N6" s="33">
        <f>$C$26*'E Balans VL '!Y12/100/3.6*1000000</f>
        <v>9.0526543419901238</v>
      </c>
      <c r="O6" s="33"/>
      <c r="P6" s="33"/>
      <c r="R6" s="32"/>
    </row>
    <row r="7" spans="1:18">
      <c r="A7" s="32" t="s">
        <v>52</v>
      </c>
      <c r="B7" s="37">
        <f t="shared" ref="B7:B12" si="0">B27</f>
        <v>4608.5370393000003</v>
      </c>
      <c r="C7" s="33"/>
      <c r="D7" s="37">
        <f>IF(ISERROR(TER_horeca_gas_kWh/1000),0,TER_horeca_gas_kWh/1000)*0.902</f>
        <v>4165.9183144633998</v>
      </c>
      <c r="E7" s="33">
        <f>$C$27*'E Balans VL '!I9/100/3.6*1000000</f>
        <v>152.51454321040629</v>
      </c>
      <c r="F7" s="33">
        <f>$C$27*('E Balans VL '!L9+'E Balans VL '!N9)/100/3.6*1000000</f>
        <v>1981.6532648456921</v>
      </c>
      <c r="G7" s="34"/>
      <c r="H7" s="33"/>
      <c r="I7" s="33"/>
      <c r="J7" s="33">
        <f>$C$27*('E Balans VL '!D9+'E Balans VL '!E9)/100/3.6*1000000</f>
        <v>0</v>
      </c>
      <c r="K7" s="33"/>
      <c r="L7" s="33"/>
      <c r="M7" s="33"/>
      <c r="N7" s="33">
        <f>$C$27*'E Balans VL '!Y9/100/3.6*1000000</f>
        <v>1.1093417886615429</v>
      </c>
      <c r="O7" s="33"/>
      <c r="P7" s="33"/>
      <c r="R7" s="32"/>
    </row>
    <row r="8" spans="1:18">
      <c r="A8" s="6" t="s">
        <v>51</v>
      </c>
      <c r="B8" s="37">
        <f t="shared" si="0"/>
        <v>33710.467110999998</v>
      </c>
      <c r="C8" s="33"/>
      <c r="D8" s="37">
        <f>IF(ISERROR(TER_handel_gas_kWh/1000),0,TER_handel_gas_kWh/1000)*0.902</f>
        <v>30721.568285385998</v>
      </c>
      <c r="E8" s="33">
        <f>$C$28*'E Balans VL '!I13/100/3.6*1000000</f>
        <v>1063.9538500836866</v>
      </c>
      <c r="F8" s="33">
        <f>$C$28*('E Balans VL '!L13+'E Balans VL '!N13)/100/3.6*1000000</f>
        <v>6611.2162049386907</v>
      </c>
      <c r="G8" s="34"/>
      <c r="H8" s="33"/>
      <c r="I8" s="33"/>
      <c r="J8" s="33">
        <f>$C$28*('E Balans VL '!D13+'E Balans VL '!E13)/100/3.6*1000000</f>
        <v>0</v>
      </c>
      <c r="K8" s="33"/>
      <c r="L8" s="33"/>
      <c r="M8" s="33"/>
      <c r="N8" s="33">
        <f>$C$28*'E Balans VL '!Y13/100/3.6*1000000</f>
        <v>40.007779653914497</v>
      </c>
      <c r="O8" s="33"/>
      <c r="P8" s="33"/>
      <c r="R8" s="32"/>
    </row>
    <row r="9" spans="1:18">
      <c r="A9" s="32" t="s">
        <v>50</v>
      </c>
      <c r="B9" s="37">
        <f t="shared" si="0"/>
        <v>2793.5484670000001</v>
      </c>
      <c r="C9" s="33"/>
      <c r="D9" s="37">
        <f>IF(ISERROR(TER_gezond_gas_kWh/1000),0,TER_gezond_gas_kWh/1000)*0.902</f>
        <v>8077.4334731969993</v>
      </c>
      <c r="E9" s="33">
        <f>$C$29*'E Balans VL '!I10/100/3.6*1000000</f>
        <v>0.35765592722311196</v>
      </c>
      <c r="F9" s="33">
        <f>$C$29*('E Balans VL '!L10+'E Balans VL '!N10)/100/3.6*1000000</f>
        <v>582.01323402272419</v>
      </c>
      <c r="G9" s="34"/>
      <c r="H9" s="33"/>
      <c r="I9" s="33"/>
      <c r="J9" s="33">
        <f>$C$29*('E Balans VL '!D10+'E Balans VL '!E10)/100/3.6*1000000</f>
        <v>0</v>
      </c>
      <c r="K9" s="33"/>
      <c r="L9" s="33"/>
      <c r="M9" s="33"/>
      <c r="N9" s="33">
        <f>$C$29*'E Balans VL '!Y10/100/3.6*1000000</f>
        <v>32.811547149508584</v>
      </c>
      <c r="O9" s="33"/>
      <c r="P9" s="33"/>
      <c r="R9" s="32"/>
    </row>
    <row r="10" spans="1:18">
      <c r="A10" s="32" t="s">
        <v>49</v>
      </c>
      <c r="B10" s="37">
        <f t="shared" si="0"/>
        <v>9631.4702259999995</v>
      </c>
      <c r="C10" s="33"/>
      <c r="D10" s="37">
        <f>IF(ISERROR(TER_ander_gas_kWh/1000),0,TER_ander_gas_kWh/1000)*0.902</f>
        <v>19288.106044767999</v>
      </c>
      <c r="E10" s="33">
        <f>$C$30*'E Balans VL '!I14/100/3.6*1000000</f>
        <v>14.48346622954576</v>
      </c>
      <c r="F10" s="33">
        <f>$C$30*('E Balans VL '!L14+'E Balans VL '!N14)/100/3.6*1000000</f>
        <v>2126.3181593396671</v>
      </c>
      <c r="G10" s="34"/>
      <c r="H10" s="33"/>
      <c r="I10" s="33"/>
      <c r="J10" s="33">
        <f>$C$30*('E Balans VL '!D14+'E Balans VL '!E14)/100/3.6*1000000</f>
        <v>0</v>
      </c>
      <c r="K10" s="33"/>
      <c r="L10" s="33"/>
      <c r="M10" s="33"/>
      <c r="N10" s="33">
        <f>$C$30*'E Balans VL '!Y14/100/3.6*1000000</f>
        <v>7590.2467115956351</v>
      </c>
      <c r="O10" s="33"/>
      <c r="P10" s="33"/>
      <c r="R10" s="32"/>
    </row>
    <row r="11" spans="1:18">
      <c r="A11" s="32" t="s">
        <v>54</v>
      </c>
      <c r="B11" s="37">
        <f t="shared" si="0"/>
        <v>2125.4823601000003</v>
      </c>
      <c r="C11" s="33"/>
      <c r="D11" s="37">
        <f>IF(ISERROR(TER_onderwijs_gas_kWh/1000),0,TER_onderwijs_gas_kWh/1000)*0.902</f>
        <v>4670.9480128080004</v>
      </c>
      <c r="E11" s="33">
        <f>$C$31*'E Balans VL '!I11/100/3.6*1000000</f>
        <v>3.7431525509421979</v>
      </c>
      <c r="F11" s="33">
        <f>$C$31*('E Balans VL '!L11+'E Balans VL '!N11)/100/3.6*1000000</f>
        <v>981.3736661978653</v>
      </c>
      <c r="G11" s="34"/>
      <c r="H11" s="33"/>
      <c r="I11" s="33"/>
      <c r="J11" s="33">
        <f>$C$31*('E Balans VL '!D11+'E Balans VL '!E11)/100/3.6*1000000</f>
        <v>0</v>
      </c>
      <c r="K11" s="33"/>
      <c r="L11" s="33"/>
      <c r="M11" s="33"/>
      <c r="N11" s="33">
        <f>$C$31*'E Balans VL '!Y11/100/3.6*1000000</f>
        <v>3.9598030296915123</v>
      </c>
      <c r="O11" s="33"/>
      <c r="P11" s="33"/>
      <c r="R11" s="32"/>
    </row>
    <row r="12" spans="1:18">
      <c r="A12" s="32" t="s">
        <v>259</v>
      </c>
      <c r="B12" s="37">
        <f t="shared" si="0"/>
        <v>16004.081912</v>
      </c>
      <c r="C12" s="33"/>
      <c r="D12" s="37">
        <f>IF(ISERROR(TER_rest_gas_kWh/1000),0,TER_rest_gas_kWh/1000)*0.902</f>
        <v>15850.253577224001</v>
      </c>
      <c r="E12" s="33">
        <f>$C$32*'E Balans VL '!I8/100/3.6*1000000</f>
        <v>281.77605395780643</v>
      </c>
      <c r="F12" s="33">
        <f>$C$32*('E Balans VL '!L8+'E Balans VL '!N8)/100/3.6*1000000</f>
        <v>4123.1528173173001</v>
      </c>
      <c r="G12" s="34"/>
      <c r="H12" s="33"/>
      <c r="I12" s="33"/>
      <c r="J12" s="33">
        <f>$C$32*('E Balans VL '!D8+'E Balans VL '!E8)/100/3.6*1000000</f>
        <v>0</v>
      </c>
      <c r="K12" s="33"/>
      <c r="L12" s="33"/>
      <c r="M12" s="33"/>
      <c r="N12" s="33">
        <f>$C$32*'E Balans VL '!Y8/100/3.6*1000000</f>
        <v>1412.2315139611551</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77895.85943859999</v>
      </c>
      <c r="C16" s="21">
        <f t="shared" ca="1" si="1"/>
        <v>0</v>
      </c>
      <c r="D16" s="21">
        <f t="shared" ca="1" si="1"/>
        <v>93473.651385602396</v>
      </c>
      <c r="E16" s="21">
        <f t="shared" si="1"/>
        <v>1634.9413804982505</v>
      </c>
      <c r="F16" s="21">
        <f t="shared" ca="1" si="1"/>
        <v>18706.313556398451</v>
      </c>
      <c r="G16" s="21">
        <f t="shared" si="1"/>
        <v>0</v>
      </c>
      <c r="H16" s="21">
        <f t="shared" si="1"/>
        <v>0</v>
      </c>
      <c r="I16" s="21">
        <f t="shared" si="1"/>
        <v>0</v>
      </c>
      <c r="J16" s="21">
        <f t="shared" si="1"/>
        <v>0</v>
      </c>
      <c r="K16" s="21">
        <f t="shared" si="1"/>
        <v>0</v>
      </c>
      <c r="L16" s="21">
        <f t="shared" ca="1" si="1"/>
        <v>0</v>
      </c>
      <c r="M16" s="21">
        <f t="shared" si="1"/>
        <v>0</v>
      </c>
      <c r="N16" s="21">
        <f t="shared" ca="1" si="1"/>
        <v>9089.4193515205552</v>
      </c>
      <c r="O16" s="21">
        <f>O5</f>
        <v>10.943333333333335</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0.20521413786414172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15985.331637878664</v>
      </c>
      <c r="C20" s="23">
        <f t="shared" ref="C20:P20" ca="1" si="2">C16*C18</f>
        <v>0</v>
      </c>
      <c r="D20" s="23">
        <f t="shared" ca="1" si="2"/>
        <v>18881.677579891686</v>
      </c>
      <c r="E20" s="23">
        <f t="shared" si="2"/>
        <v>371.13169337310291</v>
      </c>
      <c r="F20" s="23">
        <f t="shared" ca="1" si="2"/>
        <v>4994.5857195583867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9022.2723232000008</v>
      </c>
      <c r="C26" s="39">
        <f>IF(ISERROR(B26*3.6/1000000/'E Balans VL '!Z12*100),0,B26*3.6/1000000/'E Balans VL '!Z12*100)</f>
        <v>0.19326408229337966</v>
      </c>
      <c r="D26" s="237" t="s">
        <v>659</v>
      </c>
      <c r="F26" s="6"/>
    </row>
    <row r="27" spans="1:18">
      <c r="A27" s="231" t="s">
        <v>52</v>
      </c>
      <c r="B27" s="33">
        <f>IF(ISERROR(TER_horeca_ele_kWh/1000),0,TER_horeca_ele_kWh/1000)</f>
        <v>4608.5370393000003</v>
      </c>
      <c r="C27" s="39">
        <f>IF(ISERROR(B27*3.6/1000000/'E Balans VL '!Z9*100),0,B27*3.6/1000000/'E Balans VL '!Z9*100)</f>
        <v>0.36981907829258615</v>
      </c>
      <c r="D27" s="237" t="s">
        <v>659</v>
      </c>
      <c r="F27" s="6"/>
    </row>
    <row r="28" spans="1:18">
      <c r="A28" s="171" t="s">
        <v>51</v>
      </c>
      <c r="B28" s="33">
        <f>IF(ISERROR(TER_handel_ele_kWh/1000),0,TER_handel_ele_kWh/1000)</f>
        <v>33710.467110999998</v>
      </c>
      <c r="C28" s="39">
        <f>IF(ISERROR(B28*3.6/1000000/'E Balans VL '!Z13*100),0,B28*3.6/1000000/'E Balans VL '!Z13*100)</f>
        <v>0.99426542424747666</v>
      </c>
      <c r="D28" s="237" t="s">
        <v>659</v>
      </c>
      <c r="F28" s="6"/>
    </row>
    <row r="29" spans="1:18">
      <c r="A29" s="231" t="s">
        <v>50</v>
      </c>
      <c r="B29" s="33">
        <f>IF(ISERROR(TER_gezond_ele_kWh/1000),0,TER_gezond_ele_kWh/1000)</f>
        <v>2793.5484670000001</v>
      </c>
      <c r="C29" s="39">
        <f>IF(ISERROR(B29*3.6/1000000/'E Balans VL '!Z10*100),0,B29*3.6/1000000/'E Balans VL '!Z10*100)</f>
        <v>0.29827607843255377</v>
      </c>
      <c r="D29" s="237" t="s">
        <v>659</v>
      </c>
      <c r="F29" s="6"/>
    </row>
    <row r="30" spans="1:18">
      <c r="A30" s="231" t="s">
        <v>49</v>
      </c>
      <c r="B30" s="33">
        <f>IF(ISERROR(TER_ander_ele_kWh/1000),0,TER_ander_ele_kWh/1000)</f>
        <v>9631.4702259999995</v>
      </c>
      <c r="C30" s="39">
        <f>IF(ISERROR(B30*3.6/1000000/'E Balans VL '!Z14*100),0,B30*3.6/1000000/'E Balans VL '!Z14*100)</f>
        <v>0.72750276742777364</v>
      </c>
      <c r="D30" s="237" t="s">
        <v>659</v>
      </c>
      <c r="F30" s="6"/>
    </row>
    <row r="31" spans="1:18">
      <c r="A31" s="231" t="s">
        <v>54</v>
      </c>
      <c r="B31" s="33">
        <f>IF(ISERROR(TER_onderwijs_ele_kWh/1000),0,TER_onderwijs_ele_kWh/1000)</f>
        <v>2125.4823601000003</v>
      </c>
      <c r="C31" s="39">
        <f>IF(ISERROR(B31*3.6/1000000/'E Balans VL '!Z11*100),0,B31*3.6/1000000/'E Balans VL '!Z11*100)</f>
        <v>0.42920584258687194</v>
      </c>
      <c r="D31" s="237" t="s">
        <v>659</v>
      </c>
    </row>
    <row r="32" spans="1:18">
      <c r="A32" s="231" t="s">
        <v>259</v>
      </c>
      <c r="B32" s="33">
        <f>IF(ISERROR(TER_rest_ele_kWh/1000),0,TER_rest_ele_kWh/1000)</f>
        <v>16004.081912</v>
      </c>
      <c r="C32" s="39">
        <f>IF(ISERROR(B32*3.6/1000000/'E Balans VL '!Z8*100),0,B32*3.6/1000000/'E Balans VL '!Z8*100)</f>
        <v>0.132696124573772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7</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8</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67445.133111949996</v>
      </c>
      <c r="C5" s="17">
        <f>IF(ISERROR('Eigen informatie GS &amp; warmtenet'!B59),0,'Eigen informatie GS &amp; warmtenet'!B59)</f>
        <v>0</v>
      </c>
      <c r="D5" s="30">
        <f>SUM(D6:D15)</f>
        <v>53042.587100632802</v>
      </c>
      <c r="E5" s="17">
        <f>SUM(E6:E15)</f>
        <v>3921.6479991589194</v>
      </c>
      <c r="F5" s="17">
        <f>SUM(F6:F15)</f>
        <v>21869.568933313178</v>
      </c>
      <c r="G5" s="18"/>
      <c r="H5" s="17"/>
      <c r="I5" s="17"/>
      <c r="J5" s="17">
        <f>SUM(J6:J15)</f>
        <v>247.1365691094272</v>
      </c>
      <c r="K5" s="17"/>
      <c r="L5" s="17"/>
      <c r="M5" s="17"/>
      <c r="N5" s="17">
        <f>SUM(N6:N15)</f>
        <v>8777.6581188300079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17184.144213</v>
      </c>
      <c r="C8" s="33"/>
      <c r="D8" s="37">
        <f>IF( ISERROR(IND_metaal_Gas_kWH/1000),0,IND_metaal_Gas_kWH/1000)*0.902</f>
        <v>11244.693948246</v>
      </c>
      <c r="E8" s="33">
        <f>C30*'E Balans VL '!I18/100/3.6*1000000</f>
        <v>618.33749434398169</v>
      </c>
      <c r="F8" s="33">
        <f>C30*'E Balans VL '!L18/100/3.6*1000000+C30*'E Balans VL '!N18/100/3.6*1000000</f>
        <v>7503.7587277946532</v>
      </c>
      <c r="G8" s="34"/>
      <c r="H8" s="33"/>
      <c r="I8" s="33"/>
      <c r="J8" s="40">
        <f>C30*'E Balans VL '!D18/100/3.6*1000000+C30*'E Balans VL '!E18/100/3.6*1000000</f>
        <v>0</v>
      </c>
      <c r="K8" s="33"/>
      <c r="L8" s="33"/>
      <c r="M8" s="33"/>
      <c r="N8" s="33">
        <f>C30*'E Balans VL '!Y18/100/3.6*1000000</f>
        <v>861.25763009218531</v>
      </c>
      <c r="O8" s="33"/>
      <c r="P8" s="33"/>
      <c r="R8" s="32"/>
    </row>
    <row r="9" spans="1:18">
      <c r="A9" s="6" t="s">
        <v>32</v>
      </c>
      <c r="B9" s="37">
        <f t="shared" si="0"/>
        <v>5383.9848734999996</v>
      </c>
      <c r="C9" s="33"/>
      <c r="D9" s="37">
        <f>IF( ISERROR(IND_andere_gas_kWh/1000),0,IND_andere_gas_kWh/1000)*0.902</f>
        <v>5178.6385170739995</v>
      </c>
      <c r="E9" s="33">
        <f>C31*'E Balans VL '!I19/100/3.6*1000000</f>
        <v>1373.871123647496</v>
      </c>
      <c r="F9" s="33">
        <f>C31*'E Balans VL '!L19/100/3.6*1000000+C31*'E Balans VL '!N19/100/3.6*1000000</f>
        <v>4635.2063000479566</v>
      </c>
      <c r="G9" s="34"/>
      <c r="H9" s="33"/>
      <c r="I9" s="33"/>
      <c r="J9" s="40">
        <f>C31*'E Balans VL '!D19/100/3.6*1000000+C31*'E Balans VL '!E19/100/3.6*1000000</f>
        <v>0</v>
      </c>
      <c r="K9" s="33"/>
      <c r="L9" s="33"/>
      <c r="M9" s="33"/>
      <c r="N9" s="33">
        <f>C31*'E Balans VL '!Y19/100/3.6*1000000</f>
        <v>424.7334046555959</v>
      </c>
      <c r="O9" s="33"/>
      <c r="P9" s="33"/>
      <c r="R9" s="32"/>
    </row>
    <row r="10" spans="1:18">
      <c r="A10" s="6" t="s">
        <v>40</v>
      </c>
      <c r="B10" s="37">
        <f t="shared" si="0"/>
        <v>15579.260622</v>
      </c>
      <c r="C10" s="33"/>
      <c r="D10" s="37">
        <f>IF( ISERROR(IND_voed_gas_kWh/1000),0,IND_voed_gas_kWh/1000)*0.902</f>
        <v>19318.070865412003</v>
      </c>
      <c r="E10" s="33">
        <f>C32*'E Balans VL '!I20/100/3.6*1000000</f>
        <v>396.04619708911855</v>
      </c>
      <c r="F10" s="33">
        <f>C32*'E Balans VL '!L20/100/3.6*1000000+C32*'E Balans VL '!N20/100/3.6*1000000</f>
        <v>3525.3528138881443</v>
      </c>
      <c r="G10" s="34"/>
      <c r="H10" s="33"/>
      <c r="I10" s="33"/>
      <c r="J10" s="40">
        <f>C32*'E Balans VL '!D20/100/3.6*1000000+C32*'E Balans VL '!E20/100/3.6*1000000</f>
        <v>0</v>
      </c>
      <c r="K10" s="33"/>
      <c r="L10" s="33"/>
      <c r="M10" s="33"/>
      <c r="N10" s="33">
        <f>C32*'E Balans VL '!Y20/100/3.6*1000000</f>
        <v>5842.6450257194674</v>
      </c>
      <c r="O10" s="33"/>
      <c r="P10" s="33"/>
      <c r="R10" s="32"/>
    </row>
    <row r="11" spans="1:18">
      <c r="A11" s="6" t="s">
        <v>39</v>
      </c>
      <c r="B11" s="37">
        <f t="shared" si="0"/>
        <v>429.41828379999998</v>
      </c>
      <c r="C11" s="33"/>
      <c r="D11" s="37">
        <f>IF( ISERROR(IND_textiel_gas_kWh/1000),0,IND_textiel_gas_kWh/1000)*0.902</f>
        <v>4471.1882472686002</v>
      </c>
      <c r="E11" s="33">
        <f>C33*'E Balans VL '!I21/100/3.6*1000000</f>
        <v>1.1788686694198012</v>
      </c>
      <c r="F11" s="33">
        <f>C33*'E Balans VL '!L21/100/3.6*1000000+C33*'E Balans VL '!N21/100/3.6*1000000</f>
        <v>22.765967790488244</v>
      </c>
      <c r="G11" s="34"/>
      <c r="H11" s="33"/>
      <c r="I11" s="33"/>
      <c r="J11" s="40">
        <f>C33*'E Balans VL '!D21/100/3.6*1000000+C33*'E Balans VL '!E21/100/3.6*1000000</f>
        <v>0</v>
      </c>
      <c r="K11" s="33"/>
      <c r="L11" s="33"/>
      <c r="M11" s="33"/>
      <c r="N11" s="33">
        <f>C33*'E Balans VL '!Y21/100/3.6*1000000</f>
        <v>0.86305968918122222</v>
      </c>
      <c r="O11" s="33"/>
      <c r="P11" s="33"/>
      <c r="R11" s="32"/>
    </row>
    <row r="12" spans="1:18">
      <c r="A12" s="6" t="s">
        <v>36</v>
      </c>
      <c r="B12" s="37">
        <f t="shared" si="0"/>
        <v>350.55068144999996</v>
      </c>
      <c r="C12" s="33"/>
      <c r="D12" s="37">
        <f>IF( ISERROR(IND_min_gas_kWh/1000),0,IND_min_gas_kWh/1000)*0.902</f>
        <v>0</v>
      </c>
      <c r="E12" s="33">
        <f>C34*'E Balans VL '!I22/100/3.6*1000000</f>
        <v>7.4483234229071753</v>
      </c>
      <c r="F12" s="33">
        <f>C34*'E Balans VL '!L22/100/3.6*1000000+C34*'E Balans VL '!N22/100/3.6*1000000</f>
        <v>57.195331106044549</v>
      </c>
      <c r="G12" s="34"/>
      <c r="H12" s="33"/>
      <c r="I12" s="33"/>
      <c r="J12" s="40">
        <f>C34*'E Balans VL '!D22/100/3.6*1000000+C34*'E Balans VL '!E22/100/3.6*1000000</f>
        <v>0.40842425745830746</v>
      </c>
      <c r="K12" s="33"/>
      <c r="L12" s="33"/>
      <c r="M12" s="33"/>
      <c r="N12" s="33">
        <f>C34*'E Balans VL '!Y22/100/3.6*1000000</f>
        <v>0</v>
      </c>
      <c r="O12" s="33"/>
      <c r="P12" s="33"/>
      <c r="R12" s="32"/>
    </row>
    <row r="13" spans="1:18">
      <c r="A13" s="6" t="s">
        <v>38</v>
      </c>
      <c r="B13" s="37">
        <f t="shared" si="0"/>
        <v>286.90557621000005</v>
      </c>
      <c r="C13" s="33"/>
      <c r="D13" s="37">
        <f>IF( ISERROR(IND_papier_gas_kWh/1000),0,IND_papier_gas_kWh/1000)*0.902</f>
        <v>153.0313528282</v>
      </c>
      <c r="E13" s="33">
        <f>C35*'E Balans VL '!I23/100/3.6*1000000</f>
        <v>1.2304545504303652</v>
      </c>
      <c r="F13" s="33">
        <f>C35*'E Balans VL '!L23/100/3.6*1000000+C35*'E Balans VL '!N23/100/3.6*1000000</f>
        <v>7.2108276283767028</v>
      </c>
      <c r="G13" s="34"/>
      <c r="H13" s="33"/>
      <c r="I13" s="33"/>
      <c r="J13" s="40">
        <f>C35*'E Balans VL '!D23/100/3.6*1000000+C35*'E Balans VL '!E23/100/3.6*1000000</f>
        <v>19.206754714906047</v>
      </c>
      <c r="K13" s="33"/>
      <c r="L13" s="33"/>
      <c r="M13" s="33"/>
      <c r="N13" s="33">
        <f>C35*'E Balans VL '!Y23/100/3.6*1000000</f>
        <v>69.965841264191823</v>
      </c>
      <c r="O13" s="33"/>
      <c r="P13" s="33"/>
      <c r="R13" s="32"/>
    </row>
    <row r="14" spans="1:18">
      <c r="A14" s="6" t="s">
        <v>33</v>
      </c>
      <c r="B14" s="37">
        <f t="shared" si="0"/>
        <v>166.46189699000001</v>
      </c>
      <c r="C14" s="33"/>
      <c r="D14" s="37">
        <f>IF( ISERROR(IND_chemie_gas_kWh/1000),0,IND_chemie_gas_kWh/1000)*0.902</f>
        <v>0</v>
      </c>
      <c r="E14" s="33">
        <f>C36*'E Balans VL '!I24/100/3.6*1000000</f>
        <v>0.39906632397112568</v>
      </c>
      <c r="F14" s="33">
        <f>C36*'E Balans VL '!L24/100/3.6*1000000+C36*'E Balans VL '!N24/100/3.6*1000000</f>
        <v>1.3358943777298182</v>
      </c>
      <c r="G14" s="34"/>
      <c r="H14" s="33"/>
      <c r="I14" s="33"/>
      <c r="J14" s="40">
        <f>C36*'E Balans VL '!D24/100/3.6*1000000+C36*'E Balans VL '!E24/100/3.6*1000000</f>
        <v>0</v>
      </c>
      <c r="K14" s="33"/>
      <c r="L14" s="33"/>
      <c r="M14" s="33"/>
      <c r="N14" s="33">
        <f>C36*'E Balans VL '!Y24/100/3.6*1000000</f>
        <v>3.440638359403589</v>
      </c>
      <c r="O14" s="33"/>
      <c r="P14" s="33"/>
      <c r="R14" s="32"/>
    </row>
    <row r="15" spans="1:18">
      <c r="A15" s="6" t="s">
        <v>269</v>
      </c>
      <c r="B15" s="37">
        <f t="shared" si="0"/>
        <v>28064.406964999998</v>
      </c>
      <c r="C15" s="33"/>
      <c r="D15" s="37">
        <f>IF( ISERROR(IND_rest_gas_kWh/1000),0,IND_rest_gas_kWh/1000)*0.902</f>
        <v>12676.964169804001</v>
      </c>
      <c r="E15" s="33">
        <f>C37*'E Balans VL '!I15/100/3.6*1000000</f>
        <v>1523.1364711115948</v>
      </c>
      <c r="F15" s="33">
        <f>C37*'E Balans VL '!L15/100/3.6*1000000+C37*'E Balans VL '!N15/100/3.6*1000000</f>
        <v>6116.743070679785</v>
      </c>
      <c r="G15" s="34"/>
      <c r="H15" s="33"/>
      <c r="I15" s="33"/>
      <c r="J15" s="40">
        <f>C37*'E Balans VL '!D15/100/3.6*1000000+C37*'E Balans VL '!E15/100/3.6*1000000</f>
        <v>227.52139013706284</v>
      </c>
      <c r="K15" s="33"/>
      <c r="L15" s="33"/>
      <c r="M15" s="33"/>
      <c r="N15" s="33">
        <f>C37*'E Balans VL '!Y15/100/3.6*1000000</f>
        <v>1574.7525190499844</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67445.133111949996</v>
      </c>
      <c r="C18" s="21">
        <f>C5+C16</f>
        <v>0</v>
      </c>
      <c r="D18" s="21">
        <f>MAX((D5+D16),0)</f>
        <v>53042.587100632802</v>
      </c>
      <c r="E18" s="21">
        <f>MAX((E5+E16),0)</f>
        <v>3921.6479991589194</v>
      </c>
      <c r="F18" s="21">
        <f>MAX((F5+F16),0)</f>
        <v>21869.568933313178</v>
      </c>
      <c r="G18" s="21"/>
      <c r="H18" s="21"/>
      <c r="I18" s="21"/>
      <c r="J18" s="21">
        <f>MAX((J5+J16),0)</f>
        <v>247.1365691094272</v>
      </c>
      <c r="K18" s="21"/>
      <c r="L18" s="21">
        <f>MAX((L5+L16),0)</f>
        <v>0</v>
      </c>
      <c r="M18" s="21"/>
      <c r="N18" s="21">
        <f>MAX((N5+N16),0)</f>
        <v>8777.6581188300079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0.20521413786414172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13840.694844701096</v>
      </c>
      <c r="C22" s="23">
        <f ca="1">C18*C20</f>
        <v>0</v>
      </c>
      <c r="D22" s="23">
        <f>D18*D20</f>
        <v>10714.602594327827</v>
      </c>
      <c r="E22" s="23">
        <f>E18*E20</f>
        <v>890.21409580907471</v>
      </c>
      <c r="F22" s="23">
        <f>F18*F20</f>
        <v>5839.174905194619</v>
      </c>
      <c r="G22" s="23"/>
      <c r="H22" s="23"/>
      <c r="I22" s="23"/>
      <c r="J22" s="23">
        <f>J18*J20</f>
        <v>87.486345464737227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17184.144213</v>
      </c>
      <c r="C30" s="39">
        <f>IF(ISERROR(B30*3.6/1000000/'E Balans VL '!Z18*100),0,B30*3.6/1000000/'E Balans VL '!Z18*100)</f>
        <v>3.6409517403926381</v>
      </c>
      <c r="D30" s="237" t="s">
        <v>659</v>
      </c>
    </row>
    <row r="31" spans="1:18">
      <c r="A31" s="6" t="s">
        <v>32</v>
      </c>
      <c r="B31" s="37">
        <f>IF( ISERROR(IND_ander_ele_kWh/1000),0,IND_ander_ele_kWh/1000)</f>
        <v>5383.9848734999996</v>
      </c>
      <c r="C31" s="39">
        <f>IF(ISERROR(B31*3.6/1000000/'E Balans VL '!Z19*100),0,B31*3.6/1000000/'E Balans VL '!Z19*100)</f>
        <v>0.2266241485523611</v>
      </c>
      <c r="D31" s="237" t="s">
        <v>659</v>
      </c>
    </row>
    <row r="32" spans="1:18">
      <c r="A32" s="171" t="s">
        <v>40</v>
      </c>
      <c r="B32" s="37">
        <f>IF( ISERROR(IND_voed_ele_kWh/1000),0,IND_voed_ele_kWh/1000)</f>
        <v>15579.260622</v>
      </c>
      <c r="C32" s="39">
        <f>IF(ISERROR(B32*3.6/1000000/'E Balans VL '!Z20*100),0,B32*3.6/1000000/'E Balans VL '!Z20*100)</f>
        <v>2.6026917541159653</v>
      </c>
      <c r="D32" s="237" t="s">
        <v>659</v>
      </c>
    </row>
    <row r="33" spans="1:5">
      <c r="A33" s="171" t="s">
        <v>39</v>
      </c>
      <c r="B33" s="37">
        <f>IF( ISERROR(IND_textiel_ele_kWh/1000),0,IND_textiel_ele_kWh/1000)</f>
        <v>429.41828379999998</v>
      </c>
      <c r="C33" s="39">
        <f>IF(ISERROR(B33*3.6/1000000/'E Balans VL '!Z21*100),0,B33*3.6/1000000/'E Balans VL '!Z21*100)</f>
        <v>2.507072444970871E-2</v>
      </c>
      <c r="D33" s="237" t="s">
        <v>659</v>
      </c>
    </row>
    <row r="34" spans="1:5">
      <c r="A34" s="171" t="s">
        <v>36</v>
      </c>
      <c r="B34" s="37">
        <f>IF( ISERROR(IND_min_ele_kWh/1000),0,IND_min_ele_kWh/1000)</f>
        <v>350.55068144999996</v>
      </c>
      <c r="C34" s="39">
        <f>IF(ISERROR(B34*3.6/1000000/'E Balans VL '!Z22*100),0,B34*3.6/1000000/'E Balans VL '!Z22*100)</f>
        <v>4.443418938802899E-2</v>
      </c>
      <c r="D34" s="237" t="s">
        <v>659</v>
      </c>
    </row>
    <row r="35" spans="1:5">
      <c r="A35" s="171" t="s">
        <v>38</v>
      </c>
      <c r="B35" s="37">
        <f>IF( ISERROR(IND_papier_ele_kWh/1000),0,IND_papier_ele_kWh/1000)</f>
        <v>286.90557621000005</v>
      </c>
      <c r="C35" s="39">
        <f>IF(ISERROR(B35*3.6/1000000/'E Balans VL '!Z22*100),0,B35*3.6/1000000/'E Balans VL '!Z22*100)</f>
        <v>3.6366829061820184E-2</v>
      </c>
      <c r="D35" s="237" t="s">
        <v>659</v>
      </c>
    </row>
    <row r="36" spans="1:5">
      <c r="A36" s="171" t="s">
        <v>33</v>
      </c>
      <c r="B36" s="37">
        <f>IF( ISERROR(IND_chemie_ele_kWh/1000),0,IND_chemie_ele_kWh/1000)</f>
        <v>166.46189699000001</v>
      </c>
      <c r="C36" s="39">
        <f>IF(ISERROR(B36*3.6/1000000/'E Balans VL '!Z24*100),0,B36*3.6/1000000/'E Balans VL '!Z24*100)</f>
        <v>5.4066877822515347E-3</v>
      </c>
      <c r="D36" s="237" t="s">
        <v>659</v>
      </c>
    </row>
    <row r="37" spans="1:5">
      <c r="A37" s="171" t="s">
        <v>269</v>
      </c>
      <c r="B37" s="37">
        <f>IF( ISERROR(IND_rest_ele_kWh/1000),0,IND_rest_ele_kWh/1000)</f>
        <v>28064.406964999998</v>
      </c>
      <c r="C37" s="39">
        <f>IF(ISERROR(B37*3.6/1000000/'E Balans VL '!Z15*100),0,B37*3.6/1000000/'E Balans VL '!Z15*100)</f>
        <v>0.22657482446489882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3682.1211718499999</v>
      </c>
      <c r="C5" s="17">
        <f>'Eigen informatie GS &amp; warmtenet'!B60</f>
        <v>0</v>
      </c>
      <c r="D5" s="30">
        <f>IF(ISERROR(SUM(LB_lb_gas_kWh,LB_rest_gas_kWh)/1000),0,SUM(LB_lb_gas_kWh,LB_rest_gas_kWh)/1000)*0.902</f>
        <v>5488.5067187874001</v>
      </c>
      <c r="E5" s="17">
        <f>B17*'E Balans VL '!I25/3.6*1000000/100</f>
        <v>94.947767311239602</v>
      </c>
      <c r="F5" s="17">
        <f>B17*('E Balans VL '!L25/3.6*1000000+'E Balans VL '!N25/3.6*1000000)/100</f>
        <v>13458.854109025378</v>
      </c>
      <c r="G5" s="18"/>
      <c r="H5" s="17"/>
      <c r="I5" s="17"/>
      <c r="J5" s="17">
        <f>('E Balans VL '!D25+'E Balans VL '!E25)/3.6*1000000*landbouw!B17/100</f>
        <v>530.08999581754586</v>
      </c>
      <c r="K5" s="17"/>
      <c r="L5" s="17">
        <f>L6*(-1)</f>
        <v>0</v>
      </c>
      <c r="M5" s="17"/>
      <c r="N5" s="17">
        <f>N6*(-1)</f>
        <v>124.71428571428569</v>
      </c>
      <c r="O5" s="17"/>
      <c r="P5" s="17"/>
      <c r="R5" s="32"/>
    </row>
    <row r="6" spans="1:18">
      <c r="A6" s="16" t="s">
        <v>490</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3682.1211718499999</v>
      </c>
      <c r="C8" s="21">
        <f>C5+C6</f>
        <v>62.357142857142847</v>
      </c>
      <c r="D8" s="21">
        <f>MAX((D5+D6),0)</f>
        <v>5488.5067187874001</v>
      </c>
      <c r="E8" s="21">
        <f>MAX((E5+E6),0)</f>
        <v>94.947767311239602</v>
      </c>
      <c r="F8" s="21">
        <f>MAX((F5+F6),0)</f>
        <v>13458.854109025378</v>
      </c>
      <c r="G8" s="21"/>
      <c r="H8" s="21"/>
      <c r="I8" s="21"/>
      <c r="J8" s="21">
        <f>MAX((J5+J6),0)</f>
        <v>530.08999581754586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0.20521413786414172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755.62332179250097</v>
      </c>
      <c r="C12" s="23">
        <f ca="1">C8*C10</f>
        <v>0</v>
      </c>
      <c r="D12" s="23">
        <f>D8*D10</f>
        <v>1108.6783571950548</v>
      </c>
      <c r="E12" s="23">
        <f>E8*E10</f>
        <v>21.553143179651389</v>
      </c>
      <c r="F12" s="23">
        <f>F8*F10</f>
        <v>3593.5140471097761</v>
      </c>
      <c r="G12" s="23"/>
      <c r="H12" s="23"/>
      <c r="I12" s="23"/>
      <c r="J12" s="23">
        <f>J8*J10</f>
        <v>187.65185851941123</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0.5192034750546024</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899.85250595665002</v>
      </c>
      <c r="C26" s="247">
        <f>B26*'GWP N2O_CH4'!B5</f>
        <v>18896.90262508965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216.02997514561619</v>
      </c>
      <c r="C27" s="247">
        <f>B27*'GWP N2O_CH4'!B5</f>
        <v>4536.6294780579401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11.775940619385718</v>
      </c>
      <c r="C28" s="247">
        <f>B28*'GWP N2O_CH4'!B4</f>
        <v>3650.5415920095725</v>
      </c>
      <c r="D28" s="50"/>
    </row>
    <row r="29" spans="1:4">
      <c r="A29" s="41" t="s">
        <v>276</v>
      </c>
      <c r="B29" s="247">
        <f>B34*'ha_N2O bodem landbouw'!B4</f>
        <v>23.331367247693709</v>
      </c>
      <c r="C29" s="247">
        <f>B29*'GWP N2O_CH4'!B4</f>
        <v>7232.7238467850502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5.2508254941087034E-3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2.8735572975026883E-4</v>
      </c>
      <c r="C5" s="437" t="s">
        <v>210</v>
      </c>
      <c r="D5" s="422">
        <f>SUM(D6:D11)</f>
        <v>5.8016641613307918E-4</v>
      </c>
      <c r="E5" s="422">
        <f>SUM(E6:E11)</f>
        <v>2.9258573516824857E-3</v>
      </c>
      <c r="F5" s="435" t="s">
        <v>210</v>
      </c>
      <c r="G5" s="422">
        <f>SUM(G6:G11)</f>
        <v>1.3966389505625498</v>
      </c>
      <c r="H5" s="422">
        <f>SUM(H6:H11)</f>
        <v>0.20251983683197852</v>
      </c>
      <c r="I5" s="437" t="s">
        <v>210</v>
      </c>
      <c r="J5" s="437" t="s">
        <v>210</v>
      </c>
      <c r="K5" s="437" t="s">
        <v>210</v>
      </c>
      <c r="L5" s="437" t="s">
        <v>210</v>
      </c>
      <c r="M5" s="422">
        <f>SUM(M6:M11)</f>
        <v>5.0007547494085453E-2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7.0903519714815693E-5</v>
      </c>
      <c r="C6" s="423"/>
      <c r="D6" s="865">
        <f>vkm_GW_PW*SUMIFS(TableVerdeelsleutelVkm[CNG],TableVerdeelsleutelVkm[Voertuigtype],"Lichte voertuigen")*SUMIFS(TableECFTransport[EnergieConsumptieFactor (PJ per km)],TableECFTransport[Index],CONCATENATE($A6,"_CNG_CNG"))</f>
        <v>1.2781612091783098E-4</v>
      </c>
      <c r="E6" s="865">
        <f>vkm_GW_PW*SUMIFS(TableVerdeelsleutelVkm[LPG],TableVerdeelsleutelVkm[Voertuigtype],"Lichte voertuigen")*SUMIFS(TableECFTransport[EnergieConsumptieFactor (PJ per km)],TableECFTransport[Index],CONCATENATE($A6,"_LPG_LPG"))</f>
        <v>5.7739990385705781E-4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0.15774486562200457</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4.3886280465029834E-2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6.2779449694133948E-3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8.4967836664914156E-2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1.5332289112321969E-6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2.6730929044922924E-3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4.7887011380337601E-5</v>
      </c>
      <c r="C8" s="423"/>
      <c r="D8" s="425">
        <f>vkm_NGW_PW*SUMIFS(TableVerdeelsleutelVkm[CNG],TableVerdeelsleutelVkm[Voertuigtype],"Lichte voertuigen")*SUMIFS(TableECFTransport[EnergieConsumptieFactor (PJ per km)],TableECFTransport[Index],CONCATENATE($A8,"_CNG_CNG"))</f>
        <v>1.4672732070174628E-4</v>
      </c>
      <c r="E8" s="425">
        <f>vkm_NGW_PW*SUMIFS(TableVerdeelsleutelVkm[LPG],TableVerdeelsleutelVkm[Voertuigtype],"Lichte voertuigen")*SUMIFS(TableECFTransport[EnergieConsumptieFactor (PJ per km)],TableECFTransport[Index],CONCATENATE($A8,"_LPG_LPG"))</f>
        <v>6.2916728074935001E-4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0.16139567408506239</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4.8957241984519388E-2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6.5447854597528235E-3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5.1225578416706101E-2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1.1410801262622523E-6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1.6115660642189483E-3</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1.6856519865511555E-4</v>
      </c>
      <c r="C10" s="423"/>
      <c r="D10" s="425">
        <f>vkm_SW_PW*SUMIFS(TableVerdeelsleutelVkm[CNG],TableVerdeelsleutelVkm[Voertuigtype],"Lichte voertuigen")*SUMIFS(TableECFTransport[EnergieConsumptieFactor (PJ per km)],TableECFTransport[Index],CONCATENATE($A10,"_CNG_CNG"))</f>
        <v>3.0562297451350198E-4</v>
      </c>
      <c r="E10" s="425">
        <f>vkm_SW_PW*SUMIFS(TableVerdeelsleutelVkm[LPG],TableVerdeelsleutelVkm[Voertuigtype],"Lichte voertuigen")*SUMIFS(TableECFTransport[EnergieConsumptieFactor (PJ per km)],TableECFTransport[Index],CONCATENATE($A10,"_LPG_LPG"))</f>
        <v>1.7192901670760781E-3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0.42155361709242195</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0.10966362158985057</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1.6548731415167522E-2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0.51975137868144083</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1.0018483541231274E-5</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1.6351426681040469E-2</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79.821036041741337</v>
      </c>
      <c r="C14" s="21"/>
      <c r="D14" s="21">
        <f t="shared" ref="D14:M14" si="0">((D5)*10^9/3600)+D12</f>
        <v>161.15733781474424</v>
      </c>
      <c r="E14" s="21">
        <f t="shared" si="0"/>
        <v>812.73815324513487</v>
      </c>
      <c r="F14" s="21"/>
      <c r="G14" s="21">
        <f t="shared" si="0"/>
        <v>387955.26404515275</v>
      </c>
      <c r="H14" s="21">
        <f t="shared" si="0"/>
        <v>56255.510231105145</v>
      </c>
      <c r="I14" s="21"/>
      <c r="J14" s="21"/>
      <c r="K14" s="21"/>
      <c r="L14" s="21"/>
      <c r="M14" s="21">
        <f t="shared" si="0"/>
        <v>13890.985415023737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0.20521413786414172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16.38040509472853</v>
      </c>
      <c r="C18" s="23"/>
      <c r="D18" s="23">
        <f t="shared" ref="D18:M18" si="1">D14*D16</f>
        <v>32.553782238578336</v>
      </c>
      <c r="E18" s="23">
        <f t="shared" si="1"/>
        <v>184.49156078664561</v>
      </c>
      <c r="F18" s="23"/>
      <c r="G18" s="23">
        <f t="shared" si="1"/>
        <v>103584.05550005579</v>
      </c>
      <c r="H18" s="23">
        <f t="shared" si="1"/>
        <v>14007.622047545181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7.1557050968413726E-3</v>
      </c>
      <c r="H50" s="319">
        <f t="shared" si="2"/>
        <v>0</v>
      </c>
      <c r="I50" s="319">
        <f t="shared" si="2"/>
        <v>0</v>
      </c>
      <c r="J50" s="319">
        <f t="shared" si="2"/>
        <v>0</v>
      </c>
      <c r="K50" s="319">
        <f t="shared" si="2"/>
        <v>0</v>
      </c>
      <c r="L50" s="319">
        <f t="shared" si="2"/>
        <v>0</v>
      </c>
      <c r="M50" s="319">
        <f t="shared" si="2"/>
        <v>2.2167377618218214E-4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7.1557050968413726E-3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2.2167377618218214E-4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1987.6958602337145</v>
      </c>
      <c r="H54" s="21">
        <f t="shared" si="3"/>
        <v>0</v>
      </c>
      <c r="I54" s="21">
        <f t="shared" si="3"/>
        <v>0</v>
      </c>
      <c r="J54" s="21">
        <f t="shared" si="3"/>
        <v>0</v>
      </c>
      <c r="K54" s="21">
        <f t="shared" si="3"/>
        <v>0</v>
      </c>
      <c r="L54" s="21">
        <f t="shared" si="3"/>
        <v>0</v>
      </c>
      <c r="M54" s="21">
        <f t="shared" si="3"/>
        <v>61.576048939495038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0.20521413786414172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530.71479468240182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15959.828646608566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43.649999999999991</v>
      </c>
      <c r="C8" s="544">
        <f>B48</f>
        <v>0</v>
      </c>
      <c r="D8" s="1009"/>
      <c r="E8" s="1009">
        <f>E48</f>
        <v>0</v>
      </c>
      <c r="F8" s="1010"/>
      <c r="G8" s="545"/>
      <c r="H8" s="1009">
        <f>I48</f>
        <v>0</v>
      </c>
      <c r="I8" s="1009">
        <f>G48+F48</f>
        <v>0</v>
      </c>
      <c r="J8" s="1009">
        <f>H48+D48+C48</f>
        <v>51.35294117647058</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16003.478646608566</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62.357142857142847</v>
      </c>
      <c r="C17" s="569">
        <f>B49</f>
        <v>0</v>
      </c>
      <c r="D17" s="570"/>
      <c r="E17" s="570">
        <f>E49</f>
        <v>0</v>
      </c>
      <c r="F17" s="1015"/>
      <c r="G17" s="571"/>
      <c r="H17" s="569">
        <f>I49</f>
        <v>0</v>
      </c>
      <c r="I17" s="570">
        <f>G49+F49</f>
        <v>0</v>
      </c>
      <c r="J17" s="570">
        <f>H49+D49+C49</f>
        <v>73.361344537815114</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46014</v>
      </c>
      <c r="C28" s="770">
        <v>9160</v>
      </c>
      <c r="D28" s="627" t="s">
        <v>896</v>
      </c>
      <c r="E28" s="626" t="s">
        <v>897</v>
      </c>
      <c r="F28" s="626" t="s">
        <v>898</v>
      </c>
      <c r="G28" s="626" t="s">
        <v>899</v>
      </c>
      <c r="H28" s="626" t="s">
        <v>900</v>
      </c>
      <c r="I28" s="626" t="s">
        <v>901</v>
      </c>
      <c r="J28" s="769">
        <v>40941</v>
      </c>
      <c r="K28" s="769">
        <v>41214</v>
      </c>
      <c r="L28" s="626" t="s">
        <v>902</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43.649999999999991</v>
      </c>
      <c r="O32" s="589">
        <f>SUMIF($Z$28:$Z$28,"landbouw",O28:O28)</f>
        <v>62.357142857142847</v>
      </c>
      <c r="P32" s="589">
        <f>SUMIF($Z$28:$Z$28,"landbouw",P28:P28)</f>
        <v>0</v>
      </c>
      <c r="Q32" s="589">
        <f>SUMIF($Z$28:$Z$28,"landbouw",Q28:Q28)</f>
        <v>124.71428571428569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2020-06-20T15:59:05Z</dcterms:modified>
</cp:coreProperties>
</file>