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3" i="15" l="1"/>
  <c r="L6" i="17"/>
  <c r="F20" i="18"/>
  <c r="R25" i="14"/>
  <c r="F13" i="15"/>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D48" i="18"/>
  <c r="B48" i="18"/>
  <c r="C8" i="18" s="1"/>
  <c r="I49" i="18"/>
  <c r="H17" i="18" s="1"/>
  <c r="E49" i="18"/>
  <c r="E17" i="18" s="1"/>
  <c r="G49" i="18"/>
  <c r="C49" i="18"/>
  <c r="F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49" i="18" l="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46" i="14" l="1"/>
  <c r="P61" i="14" s="1"/>
  <c r="O22" i="16"/>
  <c r="P43" i="14" s="1"/>
  <c r="P13" i="14"/>
  <c r="O8" i="48"/>
  <c r="O26" i="48" s="1"/>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F10" i="14"/>
  <c r="N52" i="14"/>
  <c r="N61" i="14" s="1"/>
  <c r="N63" i="14" s="1"/>
  <c r="K10" i="14"/>
  <c r="J5" i="48"/>
  <c r="J23" i="48" s="1"/>
  <c r="J20" i="15"/>
  <c r="K40" i="14" s="1"/>
  <c r="O15" i="48"/>
  <c r="P63" i="14"/>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K16" i="14" l="1"/>
  <c r="K27" i="14" s="1"/>
  <c r="J15" i="48"/>
  <c r="J33" i="48"/>
  <c r="E8" i="48"/>
  <c r="E26" i="48" s="1"/>
  <c r="F13" i="14"/>
  <c r="F16" i="14" s="1"/>
  <c r="F27" i="14" s="1"/>
  <c r="F63" i="14" s="1"/>
  <c r="J22" i="16"/>
  <c r="K43" i="14" s="1"/>
  <c r="K46" i="14" s="1"/>
  <c r="K61" i="14" s="1"/>
  <c r="K63" i="14" s="1"/>
  <c r="J8" i="48"/>
  <c r="J26" i="48" s="1"/>
  <c r="K13" i="14"/>
  <c r="E23" i="48"/>
  <c r="N8" i="48"/>
  <c r="N26" i="48" s="1"/>
  <c r="O13" i="14"/>
  <c r="N22" i="16"/>
  <c r="O43" i="14" s="1"/>
  <c r="G13" i="14"/>
  <c r="R13" i="14" s="1"/>
  <c r="F8" i="48"/>
  <c r="E15" i="48" l="1"/>
  <c r="E33"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<sst xmlns="http://schemas.openxmlformats.org/spreadsheetml/2006/main" count="2416" uniqueCount="903">
  <si>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</si>
  <si>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</si>
  <si>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</si>
  <si>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</si>
  <si>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</si>
  <si>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</si>
  <si>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</si>
  <si>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</si>
  <si>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</si>
  <si>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</si>
  <si>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</si>
  <si>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</si>
  <si>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</si>
  <si>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</si>
  <si>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</si>
  <si>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</si>
  <si>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</si>
  <si>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</si>
  <si>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</si>
  <si>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</si>
  <si>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</si>
  <si>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</si>
  <si>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</si>
  <si>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</si>
  <si>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</si>
  <si>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</si>
  <si>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</si>
  <si>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</si>
  <si>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</si>
  <si>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</si>
  <si>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</si>
  <si>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</si>
  <si>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</si>
  <si>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</si>
  <si>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</si>
  <si>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</si>
  <si>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</si>
  <si>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</si>
  <si>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</si>
  <si>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</si>
  <si>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</si>
  <si>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</si>
  <si>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</si>
  <si>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</si>
  <si>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</si>
  <si>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</si>
  <si>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</si>
  <si>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</si>
  <si>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</si>
  <si>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</si>
  <si>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</si>
  <si>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</si>
  <si>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</si>
  <si>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</si>
  <si>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</si>
  <si>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</si>
  <si>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</si>
  <si>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</si>
  <si>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</si>
  <si>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</si>
  <si>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</si>
  <si>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</si>
  <si>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</si>
  <si>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</si>
  <si>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</si>
  <si>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</si>
  <si>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</si>
  <si>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</si>
  <si>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</si>
  <si>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</si>
  <si>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</si>
  <si>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</si>
  <si>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</si>
  <si>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</si>
  <si>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</si>
  <si>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</si>
  <si>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</si>
  <si>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</si>
  <si>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</si>
  <si>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</si>
  <si>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</si>
  <si>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</si>
  <si>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</si>
  <si>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</si>
  <si>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</si>
  <si>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</si>
  <si>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</si>
  <si>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</si>
  <si>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</si>
  <si>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</si>
  <si>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</si>
  <si>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</si>
  <si>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</si>
  <si>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</si>
  <si>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</si>
  <si>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</si>
  <si>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</si>
  <si>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</si>
  <si>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</si>
  <si>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</si>
  <si>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</si>
  <si>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</si>
  <si>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</si>
  <si>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</si>
  <si>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</si>
  <si>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</si>
  <si>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</si>
  <si>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</si>
  <si>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</si>
  <si>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</si>
  <si>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</si>
  <si>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</si>
  <si>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</si>
  <si>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</si>
  <si>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</si>
  <si>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</si>
  <si>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</si>
  <si>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</si>
  <si>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</si>
  <si>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</si>
  <si>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</si>
  <si>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</si>
  <si>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</si>
  <si>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</si>
  <si>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</si>
  <si>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</si>
  <si>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</si>
  <si>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</si>
  <si>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</si>
  <si>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</si>
  <si>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</si>
  <si>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</si>
  <si>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</si>
  <si>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</si>
  <si>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</si>
  <si>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</si>
  <si>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</si>
  <si>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</si>
  <si>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</si>
  <si>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</si>
  <si>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</si>
  <si>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</si>
  <si>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</si>
  <si>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</si>
  <si>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</si>
  <si>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</si>
  <si>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</si>
  <si>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</si>
  <si>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</si>
  <si>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</si>
  <si>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</si>
  <si>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</si>
  <si>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</si>
  <si>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</si>
  <si>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</si>
  <si>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</si>
  <si>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</si>
  <si>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</si>
  <si>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</si>
  <si>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</si>
  <si>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</si>
  <si>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</si>
  <si>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</si>
  <si>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</si>
  <si>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</si>
  <si>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</si>
  <si>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</si>
  <si>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</si>
  <si>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</si>
  <si>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</si>
  <si>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</si>
  <si>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</si>
  <si>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</si>
  <si>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</si>
  <si>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</si>
  <si>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</si>
  <si>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</si>
  <si>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</si>
  <si>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</si>
  <si>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</si>
  <si>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</si>
  <si>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</si>
  <si>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</si>
  <si>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</si>
  <si>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</si>
  <si>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</si>
  <si>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</si>
  <si>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</si>
  <si>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</si>
  <si>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</si>
  <si>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</si>
  <si>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</si>
  <si>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</si>
  <si>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</si>
  <si>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</si>
  <si>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</si>
  <si>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</si>
  <si>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</si>
  <si>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</si>
  <si>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</si>
  <si>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</si>
  <si>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</si>
  <si>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</si>
  <si>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</si>
  <si>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</si>
  <si>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</si>
  <si>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</si>
  <si>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</si>
  <si>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</si>
  <si>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</si>
  <si>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</si>
  <si>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</si>
  <si>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</si>
  <si>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</si>
  <si>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</si>
  <si>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</si>
  <si>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</si>
  <si>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</si>
  <si>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</si>
  <si>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</si>
  <si>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</si>
  <si>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</si>
  <si>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</si>
  <si>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</si>
  <si>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</si>
  <si>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</si>
  <si>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</si>
  <si>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</si>
  <si>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</si>
  <si>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</si>
  <si>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</si>
  <si>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</si>
  <si>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</si>
  <si>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</si>
  <si>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</si>
  <si>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</si>
  <si>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</si>
  <si>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</si>
  <si>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</si>
  <si>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</si>
  <si>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</si>
  <si>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</si>
  <si>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</si>
  <si>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</si>
  <si>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</si>
  <si>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</si>
  <si>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</si>
  <si>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</si>
  <si>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</si>
  <si>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</si>
  <si>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</si>
  <si>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</si>
  <si>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</si>
  <si>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</si>
  <si>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</si>
  <si>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</si>
  <si>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</si>
  <si>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</si>
  <si>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</si>
  <si>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</si>
  <si>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</si>
  <si>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</si>
  <si>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</si>
  <si>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</si>
  <si>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</si>
  <si>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</si>
  <si>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</si>
  <si>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</si>
  <si>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</si>
  <si>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</si>
  <si>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</si>
  <si>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</si>
  <si>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</si>
  <si>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</si>
  <si>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</si>
  <si>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</si>
  <si>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</si>
  <si>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</si>
  <si>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</si>
  <si>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</si>
  <si>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</si>
  <si>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</si>
  <si>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</si>
  <si>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</si>
  <si>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</si>
  <si>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</si>
  <si>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</si>
  <si>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</si>
  <si>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</si>
  <si>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</si>
  <si>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</si>
  <si>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</si>
  <si>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</si>
  <si>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</si>
  <si>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</si>
  <si>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</si>
  <si>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</si>
  <si>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</si>
  <si>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</si>
  <si>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</si>
  <si>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</si>
  <si>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</si>
  <si>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</si>
  <si>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</si>
  <si>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</si>
  <si>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</si>
  <si>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</si>
  <si>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</si>
  <si>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</si>
  <si>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</si>
  <si>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</si>
  <si>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</si>
  <si>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</si>
  <si>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</si>
  <si>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</si>
  <si>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</si>
  <si>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</si>
  <si>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</si>
  <si>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</si>
  <si>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</si>
  <si>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</si>
  <si>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</si>
  <si>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</si>
  <si>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</si>
  <si>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</si>
  <si>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</si>
  <si>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</si>
  <si>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</si>
  <si>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</si>
  <si>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</si>
  <si>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</si>
  <si>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</si>
  <si>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</si>
  <si>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</si>
  <si>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</si>
  <si>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</si>
  <si>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</si>
  <si>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</si>
  <si>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</si>
  <si>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</si>
  <si>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</si>
  <si>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</si>
  <si>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</si>
  <si>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</si>
  <si>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</si>
  <si>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</si>
  <si>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</si>
  <si>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</si>
  <si>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</si>
  <si>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</si>
  <si>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</si>
  <si>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</si>
  <si>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</si>
  <si>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</si>
  <si>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</si>
  <si>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</si>
  <si>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</si>
  <si>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</si>
  <si>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</si>
  <si>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</si>
  <si>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</si>
  <si>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</si>
  <si>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</si>
  <si>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</si>
  <si>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</si>
  <si>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</si>
  <si>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</si>
  <si>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</si>
  <si>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</si>
  <si>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</si>
  <si>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</si>
  <si>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</si>
  <si>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</si>
  <si>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</si>
  <si>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</si>
  <si>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</si>
  <si>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</si>
  <si>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</si>
  <si>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</si>
  <si>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</si>
  <si>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</si>
  <si>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</si>
  <si>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</si>
  <si>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</si>
  <si>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</si>
  <si>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</si>
  <si>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</si>
  <si>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</si>
  <si>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</si>
  <si>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</si>
  <si>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</si>
  <si>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</si>
  <si>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</si>
  <si>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</si>
  <si>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</si>
  <si>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</si>
  <si>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</si>
  <si>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</si>
  <si>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</si>
  <si>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</si>
  <si>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</si>
  <si>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</si>
  <si>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</si>
  <si>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</si>
  <si>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</si>
  <si>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</si>
  <si>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</si>
  <si>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</si>
  <si>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</si>
  <si>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</si>
  <si>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</si>
  <si>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</si>
  <si>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</si>
  <si>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</si>
  <si>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</si>
  <si>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</si>
  <si>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</si>
  <si>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</si>
  <si>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</si>
  <si>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</si>
  <si>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</si>
  <si>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</si>
  <si>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</si>
  <si>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</si>
  <si>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</si>
  <si>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</si>
  <si>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</si>
  <si>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</si>
  <si>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</si>
  <si>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</si>
  <si>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</si>
  <si>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</si>
  <si>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</si>
  <si>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</si>
  <si>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</si>
  <si>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</si>
  <si>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</si>
  <si>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</si>
  <si>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</si>
  <si>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</si>
  <si>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</si>
  <si>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</si>
  <si>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</si>
  <si>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</si>
  <si>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</si>
  <si>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</si>
  <si>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</si>
  <si>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</si>
  <si>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</si>
  <si>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</si>
  <si>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</si>
  <si>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</si>
  <si>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</si>
  <si>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</si>
  <si>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</si>
  <si>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</si>
  <si>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</si>
  <si>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</si>
  <si>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</si>
  <si>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</si>
  <si>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</si>
  <si>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</si>
  <si>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</si>
  <si>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</si>
  <si>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</si>
  <si>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</si>
  <si>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</si>
  <si>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</si>
  <si>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</si>
  <si>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</si>
  <si>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</si>
  <si>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</si>
  <si>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</si>
  <si>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</si>
  <si>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</si>
  <si>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</si>
  <si>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</si>
  <si>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</si>
  <si>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</si>
  <si>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</si>
  <si>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</si>
  <si>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</si>
  <si>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</si>
  <si>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</si>
  <si>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</si>
  <si>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</si>
  <si>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</si>
  <si>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</si>
  <si>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</si>
  <si>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</si>
  <si>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</si>
  <si>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</si>
  <si>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</si>
  <si>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</si>
  <si>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</si>
  <si>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</si>
  <si>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</si>
  <si>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</si>
  <si>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</si>
  <si>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</si>
  <si>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</si>
  <si>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</si>
  <si>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</si>
  <si>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</si>
  <si>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</si>
  <si>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</si>
  <si>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</si>
  <si>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</si>
  <si>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</si>
  <si>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</si>
  <si>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</si>
  <si>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</si>
  <si>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</si>
  <si>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</si>
  <si>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</si>
  <si>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</si>
  <si>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</si>
  <si>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</si>
  <si>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</si>
  <si>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</si>
  <si>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</si>
  <si>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</si>
  <si>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</si>
  <si>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</si>
  <si>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</si>
  <si>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</si>
  <si>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</si>
  <si>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</si>
  <si>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</si>
  <si>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</si>
  <si>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</si>
  <si>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</si>
  <si>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</si>
  <si>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</si>
  <si>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</si>
  <si>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</si>
  <si>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</si>
  <si>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</si>
  <si>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</si>
  <si>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</si>
  <si>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</si>
  <si>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</si>
  <si>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</si>
  <si>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</si>
  <si>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</si>
  <si>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</si>
  <si>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</si>
  <si>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</si>
  <si>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</si>
  <si>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</si>
  <si>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</si>
  <si>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</si>
  <si>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</si>
  <si>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</si>
  <si>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</si>
  <si>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</si>
  <si>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</si>
  <si>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</si>
  <si>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</si>
  <si>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</si>
  <si>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</si>
  <si>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</si>
  <si>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</si>
  <si>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</si>
  <si>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</si>
  <si>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</si>
  <si>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</si>
  <si>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</si>
  <si>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</si>
  <si>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</si>
  <si>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</si>
  <si>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</si>
  <si>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</si>
  <si>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</si>
  <si>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</si>
  <si>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</si>
  <si>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</si>
  <si>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</si>
  <si>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</si>
  <si>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</si>
  <si>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</si>
  <si>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</si>
  <si>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</si>
  <si>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</si>
  <si>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</si>
  <si>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</si>
  <si>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</si>
  <si>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</si>
  <si>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</si>
  <si>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</si>
  <si>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</si>
  <si>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</si>
  <si>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</si>
  <si>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</si>
  <si>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</si>
  <si>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</si>
  <si>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</si>
  <si>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</si>
  <si>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</si>
  <si>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</si>
  <si>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</si>
  <si>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</si>
  <si>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</si>
  <si>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</si>
  <si>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</si>
  <si>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</si>
  <si>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</si>
  <si>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</si>
  <si>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</si>
  <si>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</si>
  <si>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</si>
  <si>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</si>
  <si>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</si>
  <si>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</si>
  <si>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</si>
  <si>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</si>
  <si>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</si>
  <si>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</si>
  <si>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</si>
  <si>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</si>
  <si>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</si>
  <si>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</si>
  <si>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</si>
  <si>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</si>
  <si>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</si>
  <si>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</si>
  <si>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</si>
  <si>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</si>
  <si>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</si>
  <si>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</si>
  <si>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</si>
  <si>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</si>
  <si>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</si>
  <si>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</si>
  <si>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</si>
  <si>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</si>
  <si>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</si>
  <si>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</si>
  <si>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</si>
  <si>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</si>
  <si>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</si>
  <si>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</si>
  <si>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</si>
  <si>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</si>
  <si>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</si>
  <si>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</si>
  <si>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</si>
  <si>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</si>
  <si>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</si>
  <si>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</si>
  <si>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</si>
  <si>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</si>
  <si>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</si>
  <si>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</si>
  <si>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</si>
  <si>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</si>
  <si>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</si>
  <si>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</si>
  <si>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</si>
  <si>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</si>
  <si>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</si>
  <si>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</si>
  <si>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</si>
  <si>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</si>
  <si>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</si>
  <si>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</si>
  <si>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</si>
  <si>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</si>
  <si>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</si>
  <si>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</si>
  <si>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</si>
  <si>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</si>
  <si>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</si>
  <si>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</si>
  <si>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</si>
  <si>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</si>
  <si>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</si>
  <si>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</si>
  <si>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</si>
  <si>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</si>
  <si>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</si>
  <si>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</si>
  <si>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</si>
  <si>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</si>
  <si>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</si>
  <si>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</si>
  <si>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</si>
  <si>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</si>
  <si>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</si>
  <si>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</si>
  <si>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</si>
  <si>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</si>
  <si>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</si>
  <si>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</si>
  <si>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</si>
  <si>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</si>
  <si>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</si>
  <si>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</si>
  <si>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</si>
  <si>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</si>
  <si>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</si>
  <si>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</si>
  <si>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</si>
  <si>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</si>
  <si>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</si>
  <si>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</si>
  <si>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</si>
  <si>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</si>
  <si>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</si>
  <si>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</si>
  <si>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</si>
  <si>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</si>
  <si>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</si>
  <si>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</si>
  <si>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</si>
  <si>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</si>
  <si>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</si>
  <si>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</si>
  <si>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</si>
  <si>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</si>
  <si>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</si>
  <si>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</si>
  <si>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</si>
  <si>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</si>
  <si>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</si>
  <si>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</si>
  <si>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</si>
  <si>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</si>
  <si>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</si>
  <si>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</si>
  <si>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</si>
  <si>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</si>
  <si>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</si>
  <si>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</si>
  <si>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</si>
  <si>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</si>
  <si>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</si>
  <si>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</si>
  <si>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</si>
  <si>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</si>
  <si>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</si>
  <si>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</si>
  <si>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</si>
  <si>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</si>
  <si>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</si>
  <si>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</si>
  <si>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</si>
  <si>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</si>
  <si>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</si>
  <si>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</si>
  <si>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</si>
  <si>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</si>
  <si>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</si>
  <si>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</si>
  <si>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</si>
  <si>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</si>
  <si>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</si>
  <si>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</si>
  <si>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</si>
  <si>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</si>
  <si>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</si>
  <si>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</si>
  <si>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</si>
  <si>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</si>
  <si>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</si>
  <si>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</si>
  <si>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</si>
  <si>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</si>
  <si>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</si>
  <si>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</si>
  <si>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</si>
  <si>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</si>
  <si>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</si>
  <si>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</si>
  <si>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</si>
  <si>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</si>
  <si>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</si>
  <si>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</si>
  <si>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</si>
  <si>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</si>
  <si>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</si>
  <si>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</si>
  <si>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</si>
  <si>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</si>
  <si>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</si>
  <si>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</si>
  <si>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</si>
  <si>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</si>
  <si>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</si>
  <si>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</si>
  <si>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</si>
  <si>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</si>
  <si>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</si>
  <si>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</si>
  <si>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</si>
  <si>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</si>
  <si>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</si>
  <si>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</si>
  <si>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</si>
  <si>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</si>
  <si>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</si>
  <si>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</si>
  <si>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</si>
  <si>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</si>
  <si>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</si>
  <si>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</si>
  <si>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</si>
  <si>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</si>
  <si>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</si>
  <si>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</si>
  <si>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</si>
  <si>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</si>
  <si>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</si>
  <si>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</si>
  <si>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</si>
  <si>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</si>
  <si>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</si>
  <si>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</si>
  <si>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</si>
  <si>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</si>
  <si>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</si>
  <si>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</si>
  <si>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</si>
  <si>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</si>
  <si>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</si>
  <si>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</si>
  <si>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</si>
  <si>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</si>
  <si>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</si>
  <si>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</si>
  <si>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</si>
  <si>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</si>
  <si>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</si>
  <si>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</si>
  <si>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</si>
  <si>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</si>
  <si>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</si>
  <si>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</si>
  <si>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</si>
  <si>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</si>
  <si>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</si>
  <si>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</si>
  <si>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</si>
  <si>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</si>
  <si>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</si>
  <si>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</si>
  <si>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</si>
  <si>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</si>
  <si>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</si>
  <si>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</si>
  <si>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</si>
  <si>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</si>
  <si>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</si>
  <si>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</si>
  <si>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</si>
  <si>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</si>
  <si>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</si>
  <si>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</si>
  <si>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</si>
  <si>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</si>
  <si>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</si>
  <si>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</si>
  <si>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</si>
  <si>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</si>
  <si>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</si>
  <si>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</si>
  <si>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</si>
  <si>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</si>
  <si>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</si>
  <si>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</si>
  <si>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</si>
  <si>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</si>
  <si>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</si>
  <si>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</si>
  <si>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</si>
  <si>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</si>
  <si>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</si>
  <si>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</si>
  <si>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</si>
  <si>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</si>
  <si>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</si>
  <si>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</si>
  <si>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</si>
  <si>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</si>
  <si>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</si>
  <si>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</si>
  <si>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</si>
  <si>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</si>
  <si>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</si>
  <si>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</si>
  <si>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45065</t>
  </si>
  <si>
    <t>ZWALM</t>
  </si>
  <si>
    <t>Paarden&amp;pony's 200 - 600 kg</t>
  </si>
  <si>
    <t>Paarden&amp;pony's &lt; 200 kg</t>
  </si>
  <si>
    <t>Fluvius</t>
  </si>
  <si>
    <t>referentietaak LNE (2017); Jaarverslag De Lijn</t>
  </si>
  <si>
    <t>Aquafin NV</t>
  </si>
  <si>
    <t>Dijkstraat 8 , 2630 Aartselaar</t>
  </si>
  <si>
    <t>BGS-0004 Zwalm</t>
  </si>
  <si>
    <t>biogas - RWZI</t>
  </si>
  <si>
    <t>niet WKK interne verbrandingsmotor (gas)</t>
  </si>
  <si>
    <t>Bruggenhoek 7 1, 9630 Zwalm</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</si>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</sst>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79214.62318971951</c:v>
                </c:pt>
                <c:pt idx="1">
                  <c:v>12662.794297989758</c:v>
                </c:pt>
                <c:pt idx="2">
                  <c:v>693.26599999999996</c:v>
                </c:pt>
                <c:pt idx="3">
                  <c:v>4919.5830755385759</c:v>
                </c:pt>
                <c:pt idx="4">
                  <c:v>2748.5542026441453</c:v>
                </c:pt>
                <c:pt idx="5">
                  <c:v>60153.044782030847</c:v>
                </c:pt>
                <c:pt idx="6">
                  <c:v>771.47917369629977</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79214.62318971951</c:v>
                </c:pt>
                <c:pt idx="1">
                  <c:v>12662.794297989758</c:v>
                </c:pt>
                <c:pt idx="2">
                  <c:v>693.26599999999996</c:v>
                </c:pt>
                <c:pt idx="3">
                  <c:v>4919.5830755385759</c:v>
                </c:pt>
                <c:pt idx="4">
                  <c:v>2748.5542026441453</c:v>
                </c:pt>
                <c:pt idx="5">
                  <c:v>60153.044782030847</c:v>
                </c:pt>
                <c:pt idx="6">
                  <c:v>771.47917369629977</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16227.847577290553</c:v>
                </c:pt>
                <c:pt idx="2">
                  <c:v>2565.5220220355213</c:v>
                </c:pt>
                <c:pt idx="3">
                  <c:v>138.59697462840376</c:v>
                </c:pt>
                <c:pt idx="4">
                  <c:v>1248.1275250864749</c:v>
                </c:pt>
                <c:pt idx="5">
                  <c:v>569.75006432481359</c:v>
                </c:pt>
                <c:pt idx="6">
                  <c:v>15387.863390862747</c:v>
                </c:pt>
                <c:pt idx="7">
                  <c:v>199.79555150159149</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16227.847577290553</c:v>
                </c:pt>
                <c:pt idx="2">
                  <c:v>2565.5220220355213</c:v>
                </c:pt>
                <c:pt idx="3">
                  <c:v>138.59697462840376</c:v>
                </c:pt>
                <c:pt idx="4">
                  <c:v>1248.1275250864749</c:v>
                </c:pt>
                <c:pt idx="5">
                  <c:v>569.75006432481359</c:v>
                </c:pt>
                <c:pt idx="6">
                  <c:v>15387.863390862747</c:v>
                </c:pt>
                <c:pt idx="7">
                  <c:v>199.79555150159149</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45065</v>
      </c>
      <c r="B6" s="390"/>
      <c r="C6" s="391"/>
    </row>
    <row r="7" spans="1:7" s="388" customFormat="1" ht="15.75" customHeight="1">
      <c r="A7" s="392" t="str">
        <f>txtMunicipality</f>
        <v>ZWALM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0.19991889783777619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0.19991889783777619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3224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2079.6</v>
      </c>
      <c r="C14" s="330"/>
      <c r="D14" s="330"/>
      <c r="E14" s="330"/>
      <c r="F14" s="330"/>
    </row>
    <row r="15" spans="1:6">
      <c r="A15" s="1291" t="s">
        <v>183</v>
      </c>
      <c r="B15" s="1292">
        <v>15</v>
      </c>
      <c r="C15" s="330"/>
      <c r="D15" s="330"/>
      <c r="E15" s="330"/>
      <c r="F15" s="330"/>
    </row>
    <row r="16" spans="1:6">
      <c r="A16" s="1291" t="s">
        <v>6</v>
      </c>
      <c r="B16" s="1292">
        <v>526</v>
      </c>
      <c r="C16" s="330"/>
      <c r="D16" s="330"/>
      <c r="E16" s="330"/>
      <c r="F16" s="330"/>
    </row>
    <row r="17" spans="1:6">
      <c r="A17" s="1291" t="s">
        <v>7</v>
      </c>
      <c r="B17" s="1292">
        <v>337</v>
      </c>
      <c r="C17" s="330"/>
      <c r="D17" s="330"/>
      <c r="E17" s="330"/>
      <c r="F17" s="330"/>
    </row>
    <row r="18" spans="1:6">
      <c r="A18" s="1291" t="s">
        <v>8</v>
      </c>
      <c r="B18" s="1292">
        <v>515</v>
      </c>
      <c r="C18" s="330"/>
      <c r="D18" s="330"/>
      <c r="E18" s="330"/>
      <c r="F18" s="330"/>
    </row>
    <row r="19" spans="1:6">
      <c r="A19" s="1291" t="s">
        <v>9</v>
      </c>
      <c r="B19" s="1292">
        <v>528</v>
      </c>
      <c r="C19" s="330"/>
      <c r="D19" s="330"/>
      <c r="E19" s="330"/>
      <c r="F19" s="330"/>
    </row>
    <row r="20" spans="1:6">
      <c r="A20" s="1291" t="s">
        <v>10</v>
      </c>
      <c r="B20" s="1292">
        <v>415</v>
      </c>
      <c r="C20" s="330"/>
      <c r="D20" s="330"/>
      <c r="E20" s="330"/>
      <c r="F20" s="330"/>
    </row>
    <row r="21" spans="1:6">
      <c r="A21" s="1291" t="s">
        <v>11</v>
      </c>
      <c r="B21" s="1292">
        <v>1023</v>
      </c>
      <c r="C21" s="330"/>
      <c r="D21" s="330"/>
      <c r="E21" s="330"/>
      <c r="F21" s="330"/>
    </row>
    <row r="22" spans="1:6">
      <c r="A22" s="1291" t="s">
        <v>12</v>
      </c>
      <c r="B22" s="1292">
        <v>2615</v>
      </c>
      <c r="C22" s="330"/>
      <c r="D22" s="330"/>
      <c r="E22" s="330"/>
      <c r="F22" s="330"/>
    </row>
    <row r="23" spans="1:6">
      <c r="A23" s="1291" t="s">
        <v>13</v>
      </c>
      <c r="B23" s="1292">
        <v>65</v>
      </c>
      <c r="C23" s="330"/>
      <c r="D23" s="330"/>
      <c r="E23" s="330"/>
      <c r="F23" s="330"/>
    </row>
    <row r="24" spans="1:6">
      <c r="A24" s="1291" t="s">
        <v>14</v>
      </c>
      <c r="B24" s="1292">
        <v>4</v>
      </c>
      <c r="C24" s="330"/>
      <c r="D24" s="330"/>
      <c r="E24" s="330"/>
      <c r="F24" s="330"/>
    </row>
    <row r="25" spans="1:6">
      <c r="A25" s="1291" t="s">
        <v>15</v>
      </c>
      <c r="B25" s="1292">
        <v>323</v>
      </c>
      <c r="C25" s="330"/>
      <c r="D25" s="330"/>
      <c r="E25" s="330"/>
      <c r="F25" s="330"/>
    </row>
    <row r="26" spans="1:6">
      <c r="A26" s="1291" t="s">
        <v>16</v>
      </c>
      <c r="B26" s="1292">
        <v>183</v>
      </c>
      <c r="C26" s="330"/>
      <c r="D26" s="330"/>
      <c r="E26" s="330"/>
      <c r="F26" s="330"/>
    </row>
    <row r="27" spans="1:6">
      <c r="A27" s="1291" t="s">
        <v>17</v>
      </c>
      <c r="B27" s="1292">
        <v>0</v>
      </c>
      <c r="C27" s="330"/>
      <c r="D27" s="330"/>
      <c r="E27" s="330"/>
      <c r="F27" s="330"/>
    </row>
    <row r="28" spans="1:6" s="43" customFormat="1">
      <c r="A28" s="1293" t="s">
        <v>18</v>
      </c>
      <c r="B28" s="1294">
        <v>105324</v>
      </c>
      <c r="C28" s="336"/>
      <c r="D28" s="336"/>
      <c r="E28" s="336"/>
      <c r="F28" s="336"/>
    </row>
    <row r="29" spans="1:6">
      <c r="A29" s="1293" t="s">
        <v>892</v>
      </c>
      <c r="B29" s="1294">
        <v>41</v>
      </c>
      <c r="C29" s="336"/>
      <c r="D29" s="336"/>
      <c r="E29" s="336"/>
      <c r="F29" s="336"/>
    </row>
    <row r="30" spans="1:6">
      <c r="A30" s="1286" t="s">
        <v>893</v>
      </c>
      <c r="B30" s="1295">
        <v>6</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1</v>
      </c>
      <c r="F38" s="1292">
        <v>0</v>
      </c>
    </row>
    <row r="39" spans="1:6">
      <c r="A39" s="1291" t="s">
        <v>29</v>
      </c>
      <c r="B39" s="1291" t="s">
        <v>30</v>
      </c>
      <c r="C39" s="1292">
        <v>1091</v>
      </c>
      <c r="D39" s="1292">
        <v>16853164.747000001</v>
      </c>
      <c r="E39" s="1292">
        <v>3109</v>
      </c>
      <c r="F39" s="1292">
        <v>13747598.8322437</v>
      </c>
    </row>
    <row r="40" spans="1:6">
      <c r="A40" s="1291" t="s">
        <v>29</v>
      </c>
      <c r="B40" s="1291" t="s">
        <v>28</v>
      </c>
      <c r="C40" s="1292">
        <v>0</v>
      </c>
      <c r="D40" s="1292">
        <v>0</v>
      </c>
      <c r="E40" s="1292">
        <v>0</v>
      </c>
      <c r="F40" s="1292">
        <v>0</v>
      </c>
    </row>
    <row r="41" spans="1:6">
      <c r="A41" s="1291" t="s">
        <v>31</v>
      </c>
      <c r="B41" s="1291" t="s">
        <v>32</v>
      </c>
      <c r="C41" s="1292">
        <v>8</v>
      </c>
      <c r="D41" s="1292">
        <v>159942.84169999999</v>
      </c>
      <c r="E41" s="1292">
        <v>72</v>
      </c>
      <c r="F41" s="1292">
        <v>454144.12698</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0</v>
      </c>
      <c r="F44" s="1292">
        <v>0</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3</v>
      </c>
      <c r="F47" s="1292">
        <v>13287.039685</v>
      </c>
    </row>
    <row r="48" spans="1:6">
      <c r="A48" s="1291" t="s">
        <v>31</v>
      </c>
      <c r="B48" s="1291" t="s">
        <v>28</v>
      </c>
      <c r="C48" s="1292">
        <v>11</v>
      </c>
      <c r="D48" s="1292">
        <v>282386.19266</v>
      </c>
      <c r="E48" s="1292">
        <v>26</v>
      </c>
      <c r="F48" s="1292">
        <v>845250.16333000001</v>
      </c>
    </row>
    <row r="49" spans="1:6">
      <c r="A49" s="1291" t="s">
        <v>31</v>
      </c>
      <c r="B49" s="1291" t="s">
        <v>39</v>
      </c>
      <c r="C49" s="1292">
        <v>0</v>
      </c>
      <c r="D49" s="1292">
        <v>0</v>
      </c>
      <c r="E49" s="1292">
        <v>0</v>
      </c>
      <c r="F49" s="1292">
        <v>0</v>
      </c>
    </row>
    <row r="50" spans="1:6">
      <c r="A50" s="1291" t="s">
        <v>31</v>
      </c>
      <c r="B50" s="1291" t="s">
        <v>40</v>
      </c>
      <c r="C50" s="1292">
        <v>0</v>
      </c>
      <c r="D50" s="1292">
        <v>0</v>
      </c>
      <c r="E50" s="1292">
        <v>3</v>
      </c>
      <c r="F50" s="1292">
        <v>126199.28289</v>
      </c>
    </row>
    <row r="51" spans="1:6">
      <c r="A51" s="1291" t="s">
        <v>41</v>
      </c>
      <c r="B51" s="1291" t="s">
        <v>42</v>
      </c>
      <c r="C51" s="1292">
        <v>4</v>
      </c>
      <c r="D51" s="1292">
        <v>109890.71275999999</v>
      </c>
      <c r="E51" s="1292">
        <v>53</v>
      </c>
      <c r="F51" s="1292">
        <v>807869.16787</v>
      </c>
    </row>
    <row r="52" spans="1:6">
      <c r="A52" s="1291" t="s">
        <v>41</v>
      </c>
      <c r="B52" s="1291" t="s">
        <v>28</v>
      </c>
      <c r="C52" s="1292">
        <v>3</v>
      </c>
      <c r="D52" s="1292">
        <v>70941.953101999999</v>
      </c>
      <c r="E52" s="1292">
        <v>8</v>
      </c>
      <c r="F52" s="1292">
        <v>177940.43676000001</v>
      </c>
    </row>
    <row r="53" spans="1:6">
      <c r="A53" s="1291" t="s">
        <v>43</v>
      </c>
      <c r="B53" s="1291" t="s">
        <v>44</v>
      </c>
      <c r="C53" s="1292">
        <v>20</v>
      </c>
      <c r="D53" s="1292">
        <v>228824.98569999999</v>
      </c>
      <c r="E53" s="1292">
        <v>121</v>
      </c>
      <c r="F53" s="1292">
        <v>446800.11861</v>
      </c>
    </row>
    <row r="54" spans="1:6">
      <c r="A54" s="1291" t="s">
        <v>45</v>
      </c>
      <c r="B54" s="1291" t="s">
        <v>46</v>
      </c>
      <c r="C54" s="1292">
        <v>0</v>
      </c>
      <c r="D54" s="1292">
        <v>0</v>
      </c>
      <c r="E54" s="1292">
        <v>1</v>
      </c>
      <c r="F54" s="1292">
        <v>693266</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6</v>
      </c>
      <c r="D57" s="1292">
        <v>106345.78111</v>
      </c>
      <c r="E57" s="1292">
        <v>33</v>
      </c>
      <c r="F57" s="1292">
        <v>1216901.0914</v>
      </c>
    </row>
    <row r="58" spans="1:6">
      <c r="A58" s="1291" t="s">
        <v>48</v>
      </c>
      <c r="B58" s="1291" t="s">
        <v>50</v>
      </c>
      <c r="C58" s="1292">
        <v>6</v>
      </c>
      <c r="D58" s="1292">
        <v>158725.14324</v>
      </c>
      <c r="E58" s="1292">
        <v>18</v>
      </c>
      <c r="F58" s="1292">
        <v>116508.52647</v>
      </c>
    </row>
    <row r="59" spans="1:6">
      <c r="A59" s="1291" t="s">
        <v>48</v>
      </c>
      <c r="B59" s="1291" t="s">
        <v>51</v>
      </c>
      <c r="C59" s="1292">
        <v>3</v>
      </c>
      <c r="D59" s="1292">
        <v>88738.393765999994</v>
      </c>
      <c r="E59" s="1292">
        <v>45</v>
      </c>
      <c r="F59" s="1292">
        <v>912409.95099000004</v>
      </c>
    </row>
    <row r="60" spans="1:6">
      <c r="A60" s="1291" t="s">
        <v>48</v>
      </c>
      <c r="B60" s="1291" t="s">
        <v>52</v>
      </c>
      <c r="C60" s="1292">
        <v>12</v>
      </c>
      <c r="D60" s="1292">
        <v>393811.34026999999</v>
      </c>
      <c r="E60" s="1292">
        <v>34</v>
      </c>
      <c r="F60" s="1292">
        <v>551636.63858000003</v>
      </c>
    </row>
    <row r="61" spans="1:6">
      <c r="A61" s="1291" t="s">
        <v>48</v>
      </c>
      <c r="B61" s="1291" t="s">
        <v>53</v>
      </c>
      <c r="C61" s="1292">
        <v>20</v>
      </c>
      <c r="D61" s="1292">
        <v>747020.49737</v>
      </c>
      <c r="E61" s="1292">
        <v>67</v>
      </c>
      <c r="F61" s="1292">
        <v>794108.20417000004</v>
      </c>
    </row>
    <row r="62" spans="1:6">
      <c r="A62" s="1291" t="s">
        <v>48</v>
      </c>
      <c r="B62" s="1291" t="s">
        <v>54</v>
      </c>
      <c r="C62" s="1292">
        <v>0</v>
      </c>
      <c r="D62" s="1292">
        <v>0</v>
      </c>
      <c r="E62" s="1292">
        <v>8</v>
      </c>
      <c r="F62" s="1292">
        <v>77381.209621000002</v>
      </c>
    </row>
    <row r="63" spans="1:6">
      <c r="A63" s="1291" t="s">
        <v>48</v>
      </c>
      <c r="B63" s="1291" t="s">
        <v>28</v>
      </c>
      <c r="C63" s="1292">
        <v>62</v>
      </c>
      <c r="D63" s="1292">
        <v>3099277.2497</v>
      </c>
      <c r="E63" s="1292">
        <v>123</v>
      </c>
      <c r="F63" s="1292">
        <v>2473775.4783000001</v>
      </c>
    </row>
    <row r="64" spans="1:6">
      <c r="A64" s="1291" t="s">
        <v>55</v>
      </c>
      <c r="B64" s="1291" t="s">
        <v>56</v>
      </c>
      <c r="C64" s="1292">
        <v>0</v>
      </c>
      <c r="D64" s="1292">
        <v>0</v>
      </c>
      <c r="E64" s="1292">
        <v>0</v>
      </c>
      <c r="F64" s="1292">
        <v>0</v>
      </c>
    </row>
    <row r="65" spans="1:6">
      <c r="A65" s="1291" t="s">
        <v>55</v>
      </c>
      <c r="B65" s="1291" t="s">
        <v>28</v>
      </c>
      <c r="C65" s="1292">
        <v>1</v>
      </c>
      <c r="D65" s="1292">
        <v>2801.0707805000002</v>
      </c>
      <c r="E65" s="1292">
        <v>5</v>
      </c>
      <c r="F65" s="1292">
        <v>18138.391033</v>
      </c>
    </row>
    <row r="66" spans="1:6">
      <c r="A66" s="1291" t="s">
        <v>55</v>
      </c>
      <c r="B66" s="1291" t="s">
        <v>57</v>
      </c>
      <c r="C66" s="1292">
        <v>0</v>
      </c>
      <c r="D66" s="1292">
        <v>0</v>
      </c>
      <c r="E66" s="1292">
        <v>8</v>
      </c>
      <c r="F66" s="1292">
        <v>13069.794892</v>
      </c>
    </row>
    <row r="67" spans="1:6">
      <c r="A67" s="1293" t="s">
        <v>55</v>
      </c>
      <c r="B67" s="1293" t="s">
        <v>58</v>
      </c>
      <c r="C67" s="1292">
        <v>0</v>
      </c>
      <c r="D67" s="1292">
        <v>0</v>
      </c>
      <c r="E67" s="1292">
        <v>0</v>
      </c>
      <c r="F67" s="1292">
        <v>0</v>
      </c>
    </row>
    <row r="68" spans="1:6">
      <c r="A68" s="1286" t="s">
        <v>55</v>
      </c>
      <c r="B68" s="1286" t="s">
        <v>59</v>
      </c>
      <c r="C68" s="1295">
        <v>0</v>
      </c>
      <c r="D68" s="1295">
        <v>0</v>
      </c>
      <c r="E68" s="1295">
        <v>0</v>
      </c>
      <c r="F68" s="1295">
        <v>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53965938</v>
      </c>
      <c r="E73" s="449"/>
      <c r="F73" s="330"/>
    </row>
    <row r="74" spans="1:6">
      <c r="A74" s="1291" t="s">
        <v>63</v>
      </c>
      <c r="B74" s="1291" t="s">
        <v>664</v>
      </c>
      <c r="C74" s="1305" t="s">
        <v>666</v>
      </c>
      <c r="D74" s="1306">
        <v>4509997.8622351438</v>
      </c>
      <c r="E74" s="449"/>
      <c r="F74" s="330"/>
    </row>
    <row r="75" spans="1:6">
      <c r="A75" s="1291" t="s">
        <v>64</v>
      </c>
      <c r="B75" s="1291" t="s">
        <v>663</v>
      </c>
      <c r="C75" s="1305" t="s">
        <v>667</v>
      </c>
      <c r="D75" s="1306">
        <v>14951262</v>
      </c>
      <c r="E75" s="449"/>
      <c r="F75" s="330"/>
    </row>
    <row r="76" spans="1:6">
      <c r="A76" s="1291" t="s">
        <v>64</v>
      </c>
      <c r="B76" s="1291" t="s">
        <v>664</v>
      </c>
      <c r="C76" s="1305" t="s">
        <v>668</v>
      </c>
      <c r="D76" s="1306">
        <v>284792.86223514355</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209328.27552971288</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19.408284023668639</v>
      </c>
      <c r="C89" s="330"/>
      <c r="D89" s="330"/>
      <c r="E89" s="330"/>
      <c r="F89" s="330"/>
    </row>
    <row r="90" spans="1:6">
      <c r="A90" s="1291" t="s">
        <v>551</v>
      </c>
      <c r="B90" s="1292">
        <v>0</v>
      </c>
      <c r="C90" s="330"/>
      <c r="D90" s="330"/>
      <c r="E90" s="330"/>
      <c r="F90" s="330"/>
    </row>
    <row r="91" spans="1:6">
      <c r="A91" s="1291" t="s">
        <v>67</v>
      </c>
      <c r="B91" s="1292">
        <v>1975.3681834120137</v>
      </c>
      <c r="C91" s="330"/>
      <c r="D91" s="330"/>
      <c r="E91" s="330"/>
      <c r="F91" s="330"/>
    </row>
    <row r="92" spans="1:6">
      <c r="A92" s="1286" t="s">
        <v>68</v>
      </c>
      <c r="B92" s="1287">
        <v>188.13132558711663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72</v>
      </c>
      <c r="C97" s="330"/>
      <c r="D97" s="330"/>
      <c r="E97" s="330"/>
      <c r="F97" s="330"/>
    </row>
    <row r="98" spans="1:6">
      <c r="A98" s="1291" t="s">
        <v>71</v>
      </c>
      <c r="B98" s="1292">
        <v>1</v>
      </c>
      <c r="C98" s="330"/>
      <c r="D98" s="330"/>
      <c r="E98" s="330"/>
      <c r="F98" s="330"/>
    </row>
    <row r="99" spans="1:6">
      <c r="A99" s="1291" t="s">
        <v>72</v>
      </c>
      <c r="B99" s="1292">
        <v>102</v>
      </c>
      <c r="C99" s="330"/>
      <c r="D99" s="330"/>
      <c r="E99" s="330"/>
      <c r="F99" s="330"/>
    </row>
    <row r="100" spans="1:6">
      <c r="A100" s="1291" t="s">
        <v>73</v>
      </c>
      <c r="B100" s="1292">
        <v>331</v>
      </c>
      <c r="C100" s="330"/>
      <c r="D100" s="330"/>
      <c r="E100" s="330"/>
      <c r="F100" s="330"/>
    </row>
    <row r="101" spans="1:6">
      <c r="A101" s="1291" t="s">
        <v>74</v>
      </c>
      <c r="B101" s="1292">
        <v>77</v>
      </c>
      <c r="C101" s="330"/>
      <c r="D101" s="330"/>
      <c r="E101" s="330"/>
      <c r="F101" s="330"/>
    </row>
    <row r="102" spans="1:6">
      <c r="A102" s="1291" t="s">
        <v>75</v>
      </c>
      <c r="B102" s="1292">
        <v>48</v>
      </c>
      <c r="C102" s="330"/>
      <c r="D102" s="330"/>
      <c r="E102" s="330"/>
      <c r="F102" s="330"/>
    </row>
    <row r="103" spans="1:6">
      <c r="A103" s="1291" t="s">
        <v>76</v>
      </c>
      <c r="B103" s="1292">
        <v>263</v>
      </c>
      <c r="C103" s="330"/>
      <c r="D103" s="330"/>
      <c r="E103" s="330"/>
      <c r="F103" s="330"/>
    </row>
    <row r="104" spans="1:6">
      <c r="A104" s="1291" t="s">
        <v>77</v>
      </c>
      <c r="B104" s="1292">
        <v>1972</v>
      </c>
      <c r="C104" s="330"/>
      <c r="D104" s="330"/>
      <c r="E104" s="330"/>
      <c r="F104" s="330"/>
    </row>
    <row r="105" spans="1:6">
      <c r="A105" s="1286" t="s">
        <v>78</v>
      </c>
      <c r="B105" s="1295">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20</v>
      </c>
      <c r="C123" s="1292">
        <v>7</v>
      </c>
      <c r="D123" s="330"/>
      <c r="E123" s="330"/>
      <c r="F123" s="330"/>
    </row>
    <row r="124" spans="1:6" s="43" customFormat="1">
      <c r="A124" s="1293" t="s">
        <v>88</v>
      </c>
      <c r="B124" s="1314">
        <v>2</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114</v>
      </c>
      <c r="C129" s="330"/>
      <c r="D129" s="330"/>
      <c r="E129" s="330"/>
      <c r="F129" s="330"/>
    </row>
    <row r="130" spans="1:6">
      <c r="A130" s="1291" t="s">
        <v>294</v>
      </c>
      <c r="B130" s="1292">
        <v>6</v>
      </c>
      <c r="C130" s="330"/>
      <c r="D130" s="330"/>
      <c r="E130" s="330"/>
      <c r="F130" s="330"/>
    </row>
    <row r="131" spans="1:6">
      <c r="A131" s="1291" t="s">
        <v>295</v>
      </c>
      <c r="B131" s="1292">
        <v>0</v>
      </c>
      <c r="C131" s="330"/>
      <c r="D131" s="330"/>
      <c r="E131" s="330"/>
      <c r="F131" s="330"/>
    </row>
    <row r="132" spans="1:6">
      <c r="A132" s="1286" t="s">
        <v>296</v>
      </c>
      <c r="B132" s="1287">
        <v>16</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25714.624315489495</v>
      </c>
      <c r="C3" s="43" t="s">
        <v>169</v>
      </c>
      <c r="D3" s="43"/>
      <c r="E3" s="154"/>
      <c r="F3" s="43"/>
      <c r="G3" s="43"/>
      <c r="H3" s="43"/>
      <c r="I3" s="43"/>
      <c r="J3" s="43"/>
      <c r="K3" s="96"/>
    </row>
    <row r="4" spans="1:11">
      <c r="A4" s="358" t="s">
        <v>170</v>
      </c>
      <c r="B4" s="49">
        <f>IF(ISERROR('SEAP template'!B78+'SEAP template'!C78),0,'SEAP template'!B78+'SEAP template'!C78)</f>
        <v>2452.9077930227991</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0.19991889783777619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693.26599999999996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693.26599999999996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0.19991889783777619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138.59697462840376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13747.598832243699</v>
      </c>
      <c r="C5" s="17">
        <f>IF(ISERROR('Eigen informatie GS &amp; warmtenet'!B57),0,'Eigen informatie GS &amp; warmtenet'!B57)</f>
        <v>0</v>
      </c>
      <c r="D5" s="30">
        <f>(SUM(HH_hh_gas_kWh,HH_rest_gas_kWh)/1000)*0.902</f>
        <v>15201.554601794003</v>
      </c>
      <c r="E5" s="17">
        <f>B46*B57</f>
        <v>14346.899015647708</v>
      </c>
      <c r="F5" s="17">
        <f>B51*B62</f>
        <v>21504.910728741757</v>
      </c>
      <c r="G5" s="18"/>
      <c r="H5" s="17"/>
      <c r="I5" s="17"/>
      <c r="J5" s="17">
        <f>B50*B61+C50*C61</f>
        <v>2867.9606499787765</v>
      </c>
      <c r="K5" s="17"/>
      <c r="L5" s="17"/>
      <c r="M5" s="17"/>
      <c r="N5" s="17">
        <f>B48*B59+C48*C59</f>
        <v>8655.0711779015437</v>
      </c>
      <c r="O5" s="17">
        <f>B69*B70*B71</f>
        <v>190.72666666666666</v>
      </c>
      <c r="P5" s="17">
        <f>B77*B78*B79/1000-B77*B78*B79/1000/B80</f>
        <v>724.5333333333333</v>
      </c>
    </row>
    <row r="6" spans="1:16">
      <c r="A6" s="16" t="s">
        <v>623</v>
      </c>
      <c r="B6" s="762">
        <f>kWh_PV_kleiner_dan_10kW</f>
        <v>1975.3681834120137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15722.967015655713</v>
      </c>
      <c r="C8" s="21">
        <f>C5</f>
        <v>0</v>
      </c>
      <c r="D8" s="21">
        <f>D5</f>
        <v>15201.554601794003</v>
      </c>
      <c r="E8" s="21">
        <f>E5</f>
        <v>14346.899015647708</v>
      </c>
      <c r="F8" s="21">
        <f>F5</f>
        <v>21504.910728741757</v>
      </c>
      <c r="G8" s="21"/>
      <c r="H8" s="21"/>
      <c r="I8" s="21"/>
      <c r="J8" s="21">
        <f>J5</f>
        <v>2867.9606499787765</v>
      </c>
      <c r="K8" s="21"/>
      <c r="L8" s="21">
        <f>L5</f>
        <v>0</v>
      </c>
      <c r="M8" s="21">
        <f>M5</f>
        <v>0</v>
      </c>
      <c r="N8" s="21">
        <f>N5</f>
        <v>8655.0711779015437</v>
      </c>
      <c r="O8" s="21">
        <f>O5</f>
        <v>190.72666666666666</v>
      </c>
      <c r="P8" s="21">
        <f>P5</f>
        <v>724.5333333333333</v>
      </c>
    </row>
    <row r="9" spans="1:16">
      <c r="B9" s="19"/>
      <c r="C9" s="19"/>
      <c r="D9" s="258"/>
      <c r="E9" s="19"/>
      <c r="F9" s="19"/>
      <c r="G9" s="19"/>
      <c r="H9" s="19"/>
      <c r="I9" s="19"/>
      <c r="J9" s="19"/>
      <c r="K9" s="19"/>
      <c r="L9" s="19"/>
      <c r="M9" s="19"/>
      <c r="N9" s="19"/>
      <c r="O9" s="19"/>
      <c r="P9" s="19"/>
    </row>
    <row r="10" spans="1:16">
      <c r="A10" s="24" t="s">
        <v>213</v>
      </c>
      <c r="B10" s="25">
        <f ca="1">'EF ele_warmte'!B12</f>
        <v>0.19991889783777619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3143.3182365095995</v>
      </c>
      <c r="C12" s="23">
        <f ca="1">C10*C8</f>
        <v>0</v>
      </c>
      <c r="D12" s="23">
        <f>D8*D10</f>
        <v>3070.714029562389</v>
      </c>
      <c r="E12" s="23">
        <f>E10*E8</f>
        <v>3256.74607655203</v>
      </c>
      <c r="F12" s="23">
        <f>F10*F8</f>
        <v>5741.8111645740491</v>
      </c>
      <c r="G12" s="23"/>
      <c r="H12" s="23"/>
      <c r="I12" s="23"/>
      <c r="J12" s="23">
        <f>J10*J8</f>
        <v>1015.2580700924868</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72</v>
      </c>
      <c r="C18" s="166" t="s">
        <v>110</v>
      </c>
      <c r="D18" s="228"/>
      <c r="E18" s="15"/>
    </row>
    <row r="19" spans="1:7">
      <c r="A19" s="171" t="s">
        <v>71</v>
      </c>
      <c r="B19" s="37">
        <f>aantalw2001_ander</f>
        <v>1</v>
      </c>
      <c r="C19" s="166" t="s">
        <v>110</v>
      </c>
      <c r="D19" s="229"/>
      <c r="E19" s="15"/>
    </row>
    <row r="20" spans="1:7">
      <c r="A20" s="171" t="s">
        <v>72</v>
      </c>
      <c r="B20" s="37">
        <f>aantalw2001_propaan</f>
        <v>102</v>
      </c>
      <c r="C20" s="167">
        <f>IF(ISERROR(B20/SUM($B$20,$B$21,$B$22)*100),0,B20/SUM($B$20,$B$21,$B$22)*100)</f>
        <v>20</v>
      </c>
      <c r="D20" s="229"/>
      <c r="E20" s="15"/>
    </row>
    <row r="21" spans="1:7">
      <c r="A21" s="171" t="s">
        <v>73</v>
      </c>
      <c r="B21" s="37">
        <f>aantalw2001_elektriciteit</f>
        <v>331</v>
      </c>
      <c r="C21" s="167">
        <f>IF(ISERROR(B21/SUM($B$20,$B$21,$B$22)*100),0,B21/SUM($B$20,$B$21,$B$22)*100)</f>
        <v>64.901960784313729</v>
      </c>
      <c r="D21" s="229"/>
      <c r="E21" s="15"/>
    </row>
    <row r="22" spans="1:7">
      <c r="A22" s="171" t="s">
        <v>74</v>
      </c>
      <c r="B22" s="37">
        <f>aantalw2001_hout</f>
        <v>77</v>
      </c>
      <c r="C22" s="167">
        <f>IF(ISERROR(B22/SUM($B$20,$B$21,$B$22)*100),0,B22/SUM($B$20,$B$21,$B$22)*100)</f>
        <v>15.098039215686274</v>
      </c>
      <c r="D22" s="229"/>
      <c r="E22" s="15"/>
    </row>
    <row r="23" spans="1:7">
      <c r="A23" s="171" t="s">
        <v>75</v>
      </c>
      <c r="B23" s="37">
        <f>aantalw2001_niet_gespec</f>
        <v>48</v>
      </c>
      <c r="C23" s="166" t="s">
        <v>110</v>
      </c>
      <c r="D23" s="228"/>
      <c r="E23" s="15"/>
    </row>
    <row r="24" spans="1:7">
      <c r="A24" s="171" t="s">
        <v>76</v>
      </c>
      <c r="B24" s="37">
        <f>aantalw2001_steenkool</f>
        <v>263</v>
      </c>
      <c r="C24" s="166" t="s">
        <v>110</v>
      </c>
      <c r="D24" s="229"/>
      <c r="E24" s="15"/>
    </row>
    <row r="25" spans="1:7">
      <c r="A25" s="171" t="s">
        <v>77</v>
      </c>
      <c r="B25" s="37">
        <f>aantalw2001_stookolie</f>
        <v>1972</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695</v>
      </c>
      <c r="B28" s="37">
        <f>aantalHuishoudens</f>
        <v>3224</v>
      </c>
      <c r="C28" s="36"/>
      <c r="D28" s="228"/>
    </row>
    <row r="29" spans="1:7" s="15" customFormat="1">
      <c r="A29" s="230" t="s">
        <v>696</v>
      </c>
      <c r="B29" s="37">
        <f>SUM(HH_hh_gas_aantal,HH_rest_gas_aantal)</f>
        <v>1091</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1091</v>
      </c>
      <c r="C32" s="167">
        <f>IF(ISERROR(B32/SUM($B$32,$B$34,$B$35,$B$36,$B$38,$B$39)*100),0,B32/SUM($B$32,$B$34,$B$35,$B$36,$B$38,$B$39)*100)</f>
        <v>34.243565599497806</v>
      </c>
      <c r="D32" s="233"/>
      <c r="G32" s="15"/>
    </row>
    <row r="33" spans="1:7">
      <c r="A33" s="171" t="s">
        <v>71</v>
      </c>
      <c r="B33" s="34" t="s">
        <v>110</v>
      </c>
      <c r="C33" s="167"/>
      <c r="D33" s="233"/>
      <c r="G33" s="15"/>
    </row>
    <row r="34" spans="1:7">
      <c r="A34" s="171" t="s">
        <v>72</v>
      </c>
      <c r="B34" s="33">
        <f>IF((($B$28-$B$32-$B$39-$B$77-$B$38)*C20/100)&lt;0,0,($B$28-$B$32-$B$39-$B$77-$B$38)*C20/100)</f>
        <v>175.79999999999995</v>
      </c>
      <c r="C34" s="167">
        <f>IF(ISERROR(B34/SUM($B$32,$B$34,$B$35,$B$36,$B$38,$B$39)*100),0,B34/SUM($B$32,$B$34,$B$35,$B$36,$B$38,$B$39)*100)</f>
        <v>5.5178907721280588</v>
      </c>
      <c r="D34" s="233"/>
      <c r="G34" s="15"/>
    </row>
    <row r="35" spans="1:7">
      <c r="A35" s="171" t="s">
        <v>73</v>
      </c>
      <c r="B35" s="33">
        <f>IF((($B$28-$B$32-$B$39-$B$77-$B$38)*C21/100)&lt;0,0,($B$28-$B$32-$B$39-$B$77-$B$38)*C21/100)</f>
        <v>570.48823529411766</v>
      </c>
      <c r="C35" s="167">
        <f>IF(ISERROR(B35/SUM($B$32,$B$34,$B$35,$B$36,$B$38,$B$39)*100),0,B35/SUM($B$32,$B$34,$B$35,$B$36,$B$38,$B$39)*100)</f>
        <v>17.9060965252391</v>
      </c>
      <c r="D35" s="233"/>
      <c r="G35" s="15"/>
    </row>
    <row r="36" spans="1:7">
      <c r="A36" s="171" t="s">
        <v>74</v>
      </c>
      <c r="B36" s="33">
        <f>IF((($B$28-$B$32-$B$39-$B$77-$B$38)*C22/100)&lt;0,0,($B$28-$B$32-$B$39-$B$77-$B$38)*C22/100)</f>
        <v>132.71176470588233</v>
      </c>
      <c r="C36" s="167">
        <f>IF(ISERROR(B36/SUM($B$32,$B$34,$B$35,$B$36,$B$38,$B$39)*100),0,B36/SUM($B$32,$B$34,$B$35,$B$36,$B$38,$B$39)*100)</f>
        <v>4.1654665632731431</v>
      </c>
      <c r="D36" s="233"/>
      <c r="G36" s="15"/>
    </row>
    <row r="37" spans="1:7">
      <c r="A37" s="171" t="s">
        <v>75</v>
      </c>
      <c r="B37" s="34" t="s">
        <v>110</v>
      </c>
      <c r="C37" s="167"/>
      <c r="D37" s="173"/>
      <c r="G37" s="15"/>
    </row>
    <row r="38" spans="1:7">
      <c r="A38" s="171" t="s">
        <v>76</v>
      </c>
      <c r="B38" s="33">
        <f>IF((B24-(B29-B18)*0.1)&lt;0,0,B24-(B29-B18)*0.1)</f>
        <v>161.1</v>
      </c>
      <c r="C38" s="167">
        <f>IF(ISERROR(B38/SUM($B$32,$B$34,$B$35,$B$36,$B$38,$B$39)*100),0,B38/SUM($B$32,$B$34,$B$35,$B$36,$B$38,$B$39)*100)</f>
        <v>5.0564971751412422</v>
      </c>
      <c r="D38" s="234"/>
      <c r="G38" s="15"/>
    </row>
    <row r="39" spans="1:7">
      <c r="A39" s="171" t="s">
        <v>77</v>
      </c>
      <c r="B39" s="33">
        <f>IF((B25-(B29-B18))&lt;0,0,B25-(B29-B18)*0.9)</f>
        <v>1054.9000000000001</v>
      </c>
      <c r="C39" s="167">
        <f>IF(ISERROR(B39/SUM($B$32,$B$34,$B$35,$B$36,$B$38,$B$39)*100),0,B39/SUM($B$32,$B$34,$B$35,$B$36,$B$38,$B$39)*100)</f>
        <v>33.110483364720658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1091</v>
      </c>
      <c r="C44" s="34" t="s">
        <v>110</v>
      </c>
      <c r="D44" s="174"/>
    </row>
    <row r="45" spans="1:7">
      <c r="A45" s="171" t="s">
        <v>71</v>
      </c>
      <c r="B45" s="33" t="str">
        <f t="shared" si="0"/>
        <v>-</v>
      </c>
      <c r="C45" s="34" t="s">
        <v>110</v>
      </c>
      <c r="D45" s="174"/>
    </row>
    <row r="46" spans="1:7">
      <c r="A46" s="171" t="s">
        <v>72</v>
      </c>
      <c r="B46" s="33">
        <f t="shared" si="0"/>
        <v>175.79999999999995</v>
      </c>
      <c r="C46" s="34" t="s">
        <v>110</v>
      </c>
      <c r="D46" s="174"/>
    </row>
    <row r="47" spans="1:7">
      <c r="A47" s="171" t="s">
        <v>73</v>
      </c>
      <c r="B47" s="33">
        <f t="shared" si="0"/>
        <v>570.48823529411766</v>
      </c>
      <c r="C47" s="34" t="s">
        <v>110</v>
      </c>
      <c r="D47" s="174"/>
    </row>
    <row r="48" spans="1:7">
      <c r="A48" s="171" t="s">
        <v>74</v>
      </c>
      <c r="B48" s="33">
        <f t="shared" si="0"/>
        <v>132.71176470588233</v>
      </c>
      <c r="C48" s="33">
        <f>B48*10</f>
        <v>1327.1176470588234</v>
      </c>
      <c r="D48" s="234"/>
    </row>
    <row r="49" spans="1:6">
      <c r="A49" s="171" t="s">
        <v>75</v>
      </c>
      <c r="B49" s="33" t="str">
        <f t="shared" si="0"/>
        <v>-</v>
      </c>
      <c r="C49" s="34" t="s">
        <v>110</v>
      </c>
      <c r="D49" s="234"/>
    </row>
    <row r="50" spans="1:6">
      <c r="A50" s="171" t="s">
        <v>76</v>
      </c>
      <c r="B50" s="33">
        <f t="shared" si="0"/>
        <v>161.1</v>
      </c>
      <c r="C50" s="33">
        <f>B50*2</f>
        <v>322.2</v>
      </c>
      <c r="D50" s="234"/>
    </row>
    <row r="51" spans="1:6">
      <c r="A51" s="171" t="s">
        <v>77</v>
      </c>
      <c r="B51" s="33">
        <f t="shared" si="0"/>
        <v>1054.9000000000001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122</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38</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6142.7210995309997</v>
      </c>
      <c r="C5" s="17">
        <f>IF(ISERROR('Eigen informatie GS &amp; warmtenet'!B58),0,'Eigen informatie GS &amp; warmtenet'!B58)</f>
        <v>0</v>
      </c>
      <c r="D5" s="30">
        <f>SUM(D6:D12)</f>
        <v>4143.7144017213122</v>
      </c>
      <c r="E5" s="17">
        <f>SUM(E6:E12)</f>
        <v>102.98440504681849</v>
      </c>
      <c r="F5" s="17">
        <f>SUM(F6:F12)</f>
        <v>1584.6071857037391</v>
      </c>
      <c r="G5" s="18"/>
      <c r="H5" s="17"/>
      <c r="I5" s="17"/>
      <c r="J5" s="17">
        <f>SUM(J6:J12)</f>
        <v>0</v>
      </c>
      <c r="K5" s="17"/>
      <c r="L5" s="17"/>
      <c r="M5" s="17"/>
      <c r="N5" s="17">
        <f>SUM(N6:N12)</f>
        <v>1180.8157774154608</v>
      </c>
      <c r="O5" s="17">
        <f>B38*B39*B40</f>
        <v>9.3800000000000008</v>
      </c>
      <c r="P5" s="17">
        <f>B46*B47*B48/1000-B46*B47*B48/1000/B49</f>
        <v>0</v>
      </c>
      <c r="R5" s="32"/>
    </row>
    <row r="6" spans="1:18">
      <c r="A6" s="32" t="s">
        <v>53</v>
      </c>
      <c r="B6" s="37">
        <f>B26</f>
        <v>794.10820417000002</v>
      </c>
      <c r="C6" s="33"/>
      <c r="D6" s="37">
        <f>IF(ISERROR(TER_kantoor_gas_kWh/1000),0,TER_kantoor_gas_kWh/1000)*0.902</f>
        <v>673.81248862774009</v>
      </c>
      <c r="E6" s="33">
        <f>$C$26*'E Balans VL '!I12/100/3.6*1000000</f>
        <v>10.395854592049977</v>
      </c>
      <c r="F6" s="33">
        <f>$C$26*('E Balans VL '!L12+'E Balans VL '!N12)/100/3.6*1000000</f>
        <v>202.48938605570271</v>
      </c>
      <c r="G6" s="34"/>
      <c r="H6" s="33"/>
      <c r="I6" s="33"/>
      <c r="J6" s="33">
        <f>$C$26*('E Balans VL '!D12+'E Balans VL '!E12)/100/3.6*1000000</f>
        <v>0</v>
      </c>
      <c r="K6" s="33"/>
      <c r="L6" s="33"/>
      <c r="M6" s="33"/>
      <c r="N6" s="33">
        <f>$C$26*'E Balans VL '!Y12/100/3.6*1000000</f>
        <v>0.79678232101287605</v>
      </c>
      <c r="O6" s="33"/>
      <c r="P6" s="33"/>
      <c r="R6" s="32"/>
    </row>
    <row r="7" spans="1:18">
      <c r="A7" s="32" t="s">
        <v>52</v>
      </c>
      <c r="B7" s="37">
        <f t="shared" ref="B7:B12" si="0">B27</f>
        <v>551.63663858000007</v>
      </c>
      <c r="C7" s="33"/>
      <c r="D7" s="37">
        <f>IF(ISERROR(TER_horeca_gas_kWh/1000),0,TER_horeca_gas_kWh/1000)*0.902</f>
        <v>355.21782892353997</v>
      </c>
      <c r="E7" s="33">
        <f>$C$27*'E Balans VL '!I9/100/3.6*1000000</f>
        <v>18.255817243888689</v>
      </c>
      <c r="F7" s="33">
        <f>$C$27*('E Balans VL '!L9+'E Balans VL '!N9)/100/3.6*1000000</f>
        <v>237.20164046172039</v>
      </c>
      <c r="G7" s="34"/>
      <c r="H7" s="33"/>
      <c r="I7" s="33"/>
      <c r="J7" s="33">
        <f>$C$27*('E Balans VL '!D9+'E Balans VL '!E9)/100/3.6*1000000</f>
        <v>0</v>
      </c>
      <c r="K7" s="33"/>
      <c r="L7" s="33"/>
      <c r="M7" s="33"/>
      <c r="N7" s="33">
        <f>$C$27*'E Balans VL '!Y9/100/3.6*1000000</f>
        <v>0.13278694954929324</v>
      </c>
      <c r="O7" s="33"/>
      <c r="P7" s="33"/>
      <c r="R7" s="32"/>
    </row>
    <row r="8" spans="1:18">
      <c r="A8" s="6" t="s">
        <v>51</v>
      </c>
      <c r="B8" s="37">
        <f t="shared" si="0"/>
        <v>912.40995099000008</v>
      </c>
      <c r="C8" s="33"/>
      <c r="D8" s="37">
        <f>IF(ISERROR(TER_handel_gas_kWh/1000),0,TER_handel_gas_kWh/1000)*0.902</f>
        <v>80.042031176931985</v>
      </c>
      <c r="E8" s="33">
        <f>$C$28*'E Balans VL '!I13/100/3.6*1000000</f>
        <v>28.797052174151293</v>
      </c>
      <c r="F8" s="33">
        <f>$C$28*('E Balans VL '!L13+'E Balans VL '!N13)/100/3.6*1000000</f>
        <v>178.93965793087659</v>
      </c>
      <c r="G8" s="34"/>
      <c r="H8" s="33"/>
      <c r="I8" s="33"/>
      <c r="J8" s="33">
        <f>$C$28*('E Balans VL '!D13+'E Balans VL '!E13)/100/3.6*1000000</f>
        <v>0</v>
      </c>
      <c r="K8" s="33"/>
      <c r="L8" s="33"/>
      <c r="M8" s="33"/>
      <c r="N8" s="33">
        <f>$C$28*'E Balans VL '!Y13/100/3.6*1000000</f>
        <v>1.0828534696078256</v>
      </c>
      <c r="O8" s="33"/>
      <c r="P8" s="33"/>
      <c r="R8" s="32"/>
    </row>
    <row r="9" spans="1:18">
      <c r="A9" s="32" t="s">
        <v>50</v>
      </c>
      <c r="B9" s="37">
        <f t="shared" si="0"/>
        <v>116.50852646999999</v>
      </c>
      <c r="C9" s="33"/>
      <c r="D9" s="37">
        <f>IF(ISERROR(TER_gezond_gas_kWh/1000),0,TER_gezond_gas_kWh/1000)*0.902</f>
        <v>143.17007920248</v>
      </c>
      <c r="E9" s="33">
        <f>$C$29*'E Balans VL '!I10/100/3.6*1000000</f>
        <v>1.4916499769476291E-2</v>
      </c>
      <c r="F9" s="33">
        <f>$C$29*('E Balans VL '!L10+'E Balans VL '!N10)/100/3.6*1000000</f>
        <v>24.273609383569308</v>
      </c>
      <c r="G9" s="34"/>
      <c r="H9" s="33"/>
      <c r="I9" s="33"/>
      <c r="J9" s="33">
        <f>$C$29*('E Balans VL '!D10+'E Balans VL '!E10)/100/3.6*1000000</f>
        <v>0</v>
      </c>
      <c r="K9" s="33"/>
      <c r="L9" s="33"/>
      <c r="M9" s="33"/>
      <c r="N9" s="33">
        <f>$C$29*'E Balans VL '!Y10/100/3.6*1000000</f>
        <v>1.3684477125594734</v>
      </c>
      <c r="O9" s="33"/>
      <c r="P9" s="33"/>
      <c r="R9" s="32"/>
    </row>
    <row r="10" spans="1:18">
      <c r="A10" s="32" t="s">
        <v>49</v>
      </c>
      <c r="B10" s="37">
        <f t="shared" si="0"/>
        <v>1216.9010914</v>
      </c>
      <c r="C10" s="33"/>
      <c r="D10" s="37">
        <f>IF(ISERROR(TER_ander_gas_kWh/1000),0,TER_ander_gas_kWh/1000)*0.902</f>
        <v>95.923894561219996</v>
      </c>
      <c r="E10" s="33">
        <f>$C$30*'E Balans VL '!I14/100/3.6*1000000</f>
        <v>1.8299330682049997</v>
      </c>
      <c r="F10" s="33">
        <f>$C$30*('E Balans VL '!L14+'E Balans VL '!N14)/100/3.6*1000000</f>
        <v>268.65253466486502</v>
      </c>
      <c r="G10" s="34"/>
      <c r="H10" s="33"/>
      <c r="I10" s="33"/>
      <c r="J10" s="33">
        <f>$C$30*('E Balans VL '!D14+'E Balans VL '!E14)/100/3.6*1000000</f>
        <v>0</v>
      </c>
      <c r="K10" s="33"/>
      <c r="L10" s="33"/>
      <c r="M10" s="33"/>
      <c r="N10" s="33">
        <f>$C$30*'E Balans VL '!Y14/100/3.6*1000000</f>
        <v>958.99995437892665</v>
      </c>
      <c r="O10" s="33"/>
      <c r="P10" s="33"/>
      <c r="R10" s="32"/>
    </row>
    <row r="11" spans="1:18">
      <c r="A11" s="32" t="s">
        <v>54</v>
      </c>
      <c r="B11" s="37">
        <f t="shared" si="0"/>
        <v>77.381209620999996</v>
      </c>
      <c r="C11" s="33"/>
      <c r="D11" s="37">
        <f>IF(ISERROR(TER_onderwijs_gas_kWh/1000),0,TER_onderwijs_gas_kWh/1000)*0.902</f>
        <v>0</v>
      </c>
      <c r="E11" s="33">
        <f>$C$31*'E Balans VL '!I11/100/3.6*1000000</f>
        <v>0.13627479466553258</v>
      </c>
      <c r="F11" s="33">
        <f>$C$31*('E Balans VL '!L11+'E Balans VL '!N11)/100/3.6*1000000</f>
        <v>35.728304692687942</v>
      </c>
      <c r="G11" s="34"/>
      <c r="H11" s="33"/>
      <c r="I11" s="33"/>
      <c r="J11" s="33">
        <f>$C$31*('E Balans VL '!D11+'E Balans VL '!E11)/100/3.6*1000000</f>
        <v>0</v>
      </c>
      <c r="K11" s="33"/>
      <c r="L11" s="33"/>
      <c r="M11" s="33"/>
      <c r="N11" s="33">
        <f>$C$31*'E Balans VL '!Y11/100/3.6*1000000</f>
        <v>0.14416226361154721</v>
      </c>
      <c r="O11" s="33"/>
      <c r="P11" s="33"/>
      <c r="R11" s="32"/>
    </row>
    <row r="12" spans="1:18">
      <c r="A12" s="32" t="s">
        <v>259</v>
      </c>
      <c r="B12" s="37">
        <f t="shared" si="0"/>
        <v>2473.7754783</v>
      </c>
      <c r="C12" s="33"/>
      <c r="D12" s="37">
        <f>IF(ISERROR(TER_rest_gas_kWh/1000),0,TER_rest_gas_kWh/1000)*0.902</f>
        <v>2795.5480792294002</v>
      </c>
      <c r="E12" s="33">
        <f>$C$32*'E Balans VL '!I8/100/3.6*1000000</f>
        <v>43.554556674088531</v>
      </c>
      <c r="F12" s="33">
        <f>$C$32*('E Balans VL '!L8+'E Balans VL '!N8)/100/3.6*1000000</f>
        <v>637.32205251431719</v>
      </c>
      <c r="G12" s="34"/>
      <c r="H12" s="33"/>
      <c r="I12" s="33"/>
      <c r="J12" s="33">
        <f>$C$32*('E Balans VL '!D8+'E Balans VL '!E8)/100/3.6*1000000</f>
        <v>0</v>
      </c>
      <c r="K12" s="33"/>
      <c r="L12" s="33"/>
      <c r="M12" s="33"/>
      <c r="N12" s="33">
        <f>$C$32*'E Balans VL '!Y8/100/3.6*1000000</f>
        <v>218.29079032019325</v>
      </c>
      <c r="O12" s="33"/>
      <c r="P12" s="33"/>
      <c r="R12" s="32"/>
    </row>
    <row r="13" spans="1:18">
      <c r="A13" s="16" t="s">
        <v>490</v>
      </c>
      <c r="B13" s="247">
        <f ca="1">'lokale energieproductie'!N38+'lokale energieproductie'!N31</f>
        <v>270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-771.42857142857144</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6412.7210995309997</v>
      </c>
      <c r="C16" s="21">
        <f t="shared" ca="1" si="1"/>
        <v>0</v>
      </c>
      <c r="D16" s="21">
        <f t="shared" ca="1" si="1"/>
        <v>4143.7144017213122</v>
      </c>
      <c r="E16" s="21">
        <f t="shared" si="1"/>
        <v>102.98440504681849</v>
      </c>
      <c r="F16" s="21">
        <f t="shared" ca="1" si="1"/>
        <v>1584.6071857037391</v>
      </c>
      <c r="G16" s="21">
        <f t="shared" si="1"/>
        <v>0</v>
      </c>
      <c r="H16" s="21">
        <f t="shared" si="1"/>
        <v>0</v>
      </c>
      <c r="I16" s="21">
        <f t="shared" si="1"/>
        <v>0</v>
      </c>
      <c r="J16" s="21">
        <f t="shared" si="1"/>
        <v>0</v>
      </c>
      <c r="K16" s="21">
        <f t="shared" si="1"/>
        <v>0</v>
      </c>
      <c r="L16" s="21">
        <f t="shared" ca="1" si="1"/>
        <v>0</v>
      </c>
      <c r="M16" s="21">
        <f t="shared" si="1"/>
        <v>0</v>
      </c>
      <c r="N16" s="21">
        <f t="shared" ca="1" si="1"/>
        <v>409.3872059868894</v>
      </c>
      <c r="O16" s="21">
        <f>O5</f>
        <v>9.3800000000000008</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0.19991889783777619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1282.0241343592897</v>
      </c>
      <c r="C20" s="23">
        <f t="shared" ref="C20:P20" ca="1" si="2">C16*C18</f>
        <v>0</v>
      </c>
      <c r="D20" s="23">
        <f t="shared" ca="1" si="2"/>
        <v>837.03030914770511</v>
      </c>
      <c r="E20" s="23">
        <f t="shared" si="2"/>
        <v>23.377459945627798</v>
      </c>
      <c r="F20" s="23">
        <f t="shared" ca="1" si="2"/>
        <v>423.09011858289836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794.10820417000002</v>
      </c>
      <c r="C26" s="39">
        <f>IF(ISERROR(B26*3.6/1000000/'E Balans VL '!Z12*100),0,B26*3.6/1000000/'E Balans VL '!Z12*100)</f>
        <v>1.7010414651962697E-2</v>
      </c>
      <c r="D26" s="237" t="s">
        <v>659</v>
      </c>
      <c r="F26" s="6"/>
    </row>
    <row r="27" spans="1:18">
      <c r="A27" s="231" t="s">
        <v>52</v>
      </c>
      <c r="B27" s="33">
        <f>IF(ISERROR(TER_horeca_ele_kWh/1000),0,TER_horeca_ele_kWh/1000)</f>
        <v>551.63663858000007</v>
      </c>
      <c r="C27" s="39">
        <f>IF(ISERROR(B27*3.6/1000000/'E Balans VL '!Z9*100),0,B27*3.6/1000000/'E Balans VL '!Z9*100)</f>
        <v>4.4266922776661222E-2</v>
      </c>
      <c r="D27" s="237" t="s">
        <v>659</v>
      </c>
      <c r="F27" s="6"/>
    </row>
    <row r="28" spans="1:18">
      <c r="A28" s="171" t="s">
        <v>51</v>
      </c>
      <c r="B28" s="33">
        <f>IF(ISERROR(TER_handel_ele_kWh/1000),0,TER_handel_ele_kWh/1000)</f>
        <v>912.40995099000008</v>
      </c>
      <c r="C28" s="39">
        <f>IF(ISERROR(B28*3.6/1000000/'E Balans VL '!Z13*100),0,B28*3.6/1000000/'E Balans VL '!Z13*100)</f>
        <v>2.6910860179468483E-2</v>
      </c>
      <c r="D28" s="237" t="s">
        <v>659</v>
      </c>
      <c r="F28" s="6"/>
    </row>
    <row r="29" spans="1:18">
      <c r="A29" s="231" t="s">
        <v>50</v>
      </c>
      <c r="B29" s="33">
        <f>IF(ISERROR(TER_gezond_ele_kWh/1000),0,TER_gezond_ele_kWh/1000)</f>
        <v>116.50852646999999</v>
      </c>
      <c r="C29" s="39">
        <f>IF(ISERROR(B29*3.6/1000000/'E Balans VL '!Z10*100),0,B29*3.6/1000000/'E Balans VL '!Z10*100)</f>
        <v>1.2439986916263152E-2</v>
      </c>
      <c r="D29" s="237" t="s">
        <v>659</v>
      </c>
      <c r="F29" s="6"/>
    </row>
    <row r="30" spans="1:18">
      <c r="A30" s="231" t="s">
        <v>49</v>
      </c>
      <c r="B30" s="33">
        <f>IF(ISERROR(TER_ander_ele_kWh/1000),0,TER_ander_ele_kWh/1000)</f>
        <v>1216.9010914</v>
      </c>
      <c r="C30" s="39">
        <f>IF(ISERROR(B30*3.6/1000000/'E Balans VL '!Z14*100),0,B30*3.6/1000000/'E Balans VL '!Z14*100)</f>
        <v>9.1917318011275992E-2</v>
      </c>
      <c r="D30" s="237" t="s">
        <v>659</v>
      </c>
      <c r="F30" s="6"/>
    </row>
    <row r="31" spans="1:18">
      <c r="A31" s="231" t="s">
        <v>54</v>
      </c>
      <c r="B31" s="33">
        <f>IF(ISERROR(TER_onderwijs_ele_kWh/1000),0,TER_onderwijs_ele_kWh/1000)</f>
        <v>77.381209620999996</v>
      </c>
      <c r="C31" s="39">
        <f>IF(ISERROR(B31*3.6/1000000/'E Balans VL '!Z11*100),0,B31*3.6/1000000/'E Balans VL '!Z11*100)</f>
        <v>1.562584940681892E-2</v>
      </c>
      <c r="D31" s="237" t="s">
        <v>659</v>
      </c>
    </row>
    <row r="32" spans="1:18">
      <c r="A32" s="231" t="s">
        <v>259</v>
      </c>
      <c r="B32" s="33">
        <f>IF(ISERROR(TER_rest_ele_kWh/1000),0,TER_rest_ele_kWh/1000)</f>
        <v>2473.7754783</v>
      </c>
      <c r="C32" s="39">
        <f>IF(ISERROR(B32*3.6/1000000/'E Balans VL '!Z8*100),0,B32*3.6/1000000/'E Balans VL '!Z8*100)</f>
        <v>2.0511043422609999E-2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1438.8806128849999</v>
      </c>
      <c r="C5" s="17">
        <f>IF(ISERROR('Eigen informatie GS &amp; warmtenet'!B59),0,'Eigen informatie GS &amp; warmtenet'!B59)</f>
        <v>0</v>
      </c>
      <c r="D5" s="30">
        <f>SUM(D6:D15)</f>
        <v>398.98078899272002</v>
      </c>
      <c r="E5" s="17">
        <f>SUM(E6:E15)</f>
        <v>165.02661831759377</v>
      </c>
      <c r="F5" s="17">
        <f>SUM(F6:F15)</f>
        <v>604.10035914016748</v>
      </c>
      <c r="G5" s="18"/>
      <c r="H5" s="17"/>
      <c r="I5" s="17"/>
      <c r="J5" s="17">
        <f>SUM(J6:J15)</f>
        <v>7.7420351741595912</v>
      </c>
      <c r="K5" s="17"/>
      <c r="L5" s="17"/>
      <c r="M5" s="17"/>
      <c r="N5" s="17">
        <f>SUM(N6:N15)</f>
        <v>133.82378813450441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454.14412698000001</v>
      </c>
      <c r="C9" s="33"/>
      <c r="D9" s="37">
        <f>IF( ISERROR(IND_andere_gas_kWh/1000),0,IND_andere_gas_kWh/1000)*0.902</f>
        <v>144.26844321340002</v>
      </c>
      <c r="E9" s="33">
        <f>C31*'E Balans VL '!I19/100/3.6*1000000</f>
        <v>115.88730590662264</v>
      </c>
      <c r="F9" s="33">
        <f>C31*'E Balans VL '!L19/100/3.6*1000000+C31*'E Balans VL '!N19/100/3.6*1000000</f>
        <v>390.98395853014915</v>
      </c>
      <c r="G9" s="34"/>
      <c r="H9" s="33"/>
      <c r="I9" s="33"/>
      <c r="J9" s="40">
        <f>C31*'E Balans VL '!D19/100/3.6*1000000+C31*'E Balans VL '!E19/100/3.6*1000000</f>
        <v>0</v>
      </c>
      <c r="K9" s="33"/>
      <c r="L9" s="33"/>
      <c r="M9" s="33"/>
      <c r="N9" s="33">
        <f>C31*'E Balans VL '!Y19/100/3.6*1000000</f>
        <v>35.826657352988683</v>
      </c>
      <c r="O9" s="33"/>
      <c r="P9" s="33"/>
      <c r="R9" s="32"/>
    </row>
    <row r="10" spans="1:18">
      <c r="A10" s="6" t="s">
        <v>40</v>
      </c>
      <c r="B10" s="37">
        <f t="shared" si="0"/>
        <v>126.19928289000001</v>
      </c>
      <c r="C10" s="33"/>
      <c r="D10" s="37">
        <f>IF( ISERROR(IND_voed_gas_kWh/1000),0,IND_voed_gas_kWh/1000)*0.902</f>
        <v>0</v>
      </c>
      <c r="E10" s="33">
        <f>C32*'E Balans VL '!I20/100/3.6*1000000</f>
        <v>3.2081590568796878</v>
      </c>
      <c r="F10" s="33">
        <f>C32*'E Balans VL '!L20/100/3.6*1000000+C32*'E Balans VL '!N20/100/3.6*1000000</f>
        <v>28.557003303396407</v>
      </c>
      <c r="G10" s="34"/>
      <c r="H10" s="33"/>
      <c r="I10" s="33"/>
      <c r="J10" s="40">
        <f>C32*'E Balans VL '!D20/100/3.6*1000000+C32*'E Balans VL '!E20/100/3.6*1000000</f>
        <v>0</v>
      </c>
      <c r="K10" s="33"/>
      <c r="L10" s="33"/>
      <c r="M10" s="33"/>
      <c r="N10" s="33">
        <f>C32*'E Balans VL '!Y20/100/3.6*1000000</f>
        <v>47.328151849863985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13.287039685</v>
      </c>
      <c r="C13" s="33"/>
      <c r="D13" s="37">
        <f>IF( ISERROR(IND_papier_gas_kWh/1000),0,IND_papier_gas_kWh/1000)*0.902</f>
        <v>0</v>
      </c>
      <c r="E13" s="33">
        <f>C35*'E Balans VL '!I23/100/3.6*1000000</f>
        <v>5.6984247772829622E-2</v>
      </c>
      <c r="F13" s="33">
        <f>C35*'E Balans VL '!L23/100/3.6*1000000+C35*'E Balans VL '!N23/100/3.6*1000000</f>
        <v>0.33394454762987014</v>
      </c>
      <c r="G13" s="34"/>
      <c r="H13" s="33"/>
      <c r="I13" s="33"/>
      <c r="J13" s="40">
        <f>C35*'E Balans VL '!D23/100/3.6*1000000+C35*'E Balans VL '!E23/100/3.6*1000000</f>
        <v>0.88949443049591914</v>
      </c>
      <c r="K13" s="33"/>
      <c r="L13" s="33"/>
      <c r="M13" s="33"/>
      <c r="N13" s="33">
        <f>C35*'E Balans VL '!Y23/100/3.6*1000000</f>
        <v>3.2402260065913802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845.25016332999996</v>
      </c>
      <c r="C15" s="33"/>
      <c r="D15" s="37">
        <f>IF( ISERROR(IND_rest_gas_kWh/1000),0,IND_rest_gas_kWh/1000)*0.902</f>
        <v>254.71234577932</v>
      </c>
      <c r="E15" s="33">
        <f>C37*'E Balans VL '!I15/100/3.6*1000000</f>
        <v>45.874169106318611</v>
      </c>
      <c r="F15" s="33">
        <f>C37*'E Balans VL '!L15/100/3.6*1000000+C37*'E Balans VL '!N15/100/3.6*1000000</f>
        <v>184.22545275899202</v>
      </c>
      <c r="G15" s="34"/>
      <c r="H15" s="33"/>
      <c r="I15" s="33"/>
      <c r="J15" s="40">
        <f>C37*'E Balans VL '!D15/100/3.6*1000000+C37*'E Balans VL '!E15/100/3.6*1000000</f>
        <v>6.8525407436636723</v>
      </c>
      <c r="K15" s="33"/>
      <c r="L15" s="33"/>
      <c r="M15" s="33"/>
      <c r="N15" s="33">
        <f>C37*'E Balans VL '!Y15/100/3.6*1000000</f>
        <v>47.428752925060365</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1438.8806128849999</v>
      </c>
      <c r="C18" s="21">
        <f>C5+C16</f>
        <v>0</v>
      </c>
      <c r="D18" s="21">
        <f>MAX((D5+D16),0)</f>
        <v>398.98078899272002</v>
      </c>
      <c r="E18" s="21">
        <f>MAX((E5+E16),0)</f>
        <v>165.02661831759377</v>
      </c>
      <c r="F18" s="21">
        <f>MAX((F5+F16),0)</f>
        <v>604.10035914016748</v>
      </c>
      <c r="G18" s="21"/>
      <c r="H18" s="21"/>
      <c r="I18" s="21"/>
      <c r="J18" s="21">
        <f>MAX((J5+J16),0)</f>
        <v>7.7420351741595912</v>
      </c>
      <c r="K18" s="21"/>
      <c r="L18" s="21">
        <f>MAX((L5+L16),0)</f>
        <v>0</v>
      </c>
      <c r="M18" s="21"/>
      <c r="N18" s="21">
        <f>MAX((N5+N16),0)</f>
        <v>133.82378813450441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0.19991889783777619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287.65942624811311</v>
      </c>
      <c r="C22" s="23">
        <f ca="1">C18*C20</f>
        <v>0</v>
      </c>
      <c r="D22" s="23">
        <f>D18*D20</f>
        <v>80.594119376529449</v>
      </c>
      <c r="E22" s="23">
        <f>E18*E20</f>
        <v>37.461042358093785</v>
      </c>
      <c r="F22" s="23">
        <f>F18*F20</f>
        <v>161.29479589042472</v>
      </c>
      <c r="G22" s="23"/>
      <c r="H22" s="23"/>
      <c r="I22" s="23"/>
      <c r="J22" s="23">
        <f>J18*J20</f>
        <v>2.7406804516524952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0</v>
      </c>
      <c r="C30" s="39">
        <f>IF(ISERROR(B30*3.6/1000000/'E Balans VL '!Z18*100),0,B30*3.6/1000000/'E Balans VL '!Z18*100)</f>
        <v>0</v>
      </c>
      <c r="D30" s="237" t="s">
        <v>659</v>
      </c>
    </row>
    <row r="31" spans="1:18">
      <c r="A31" s="6" t="s">
        <v>32</v>
      </c>
      <c r="B31" s="37">
        <f>IF( ISERROR(IND_ander_ele_kWh/1000),0,IND_ander_ele_kWh/1000)</f>
        <v>454.14412698000001</v>
      </c>
      <c r="C31" s="39">
        <f>IF(ISERROR(B31*3.6/1000000/'E Balans VL '!Z19*100),0,B31*3.6/1000000/'E Balans VL '!Z19*100)</f>
        <v>1.9115957513824142E-2</v>
      </c>
      <c r="D31" s="237" t="s">
        <v>659</v>
      </c>
    </row>
    <row r="32" spans="1:18">
      <c r="A32" s="171" t="s">
        <v>40</v>
      </c>
      <c r="B32" s="37">
        <f>IF( ISERROR(IND_voed_ele_kWh/1000),0,IND_voed_ele_kWh/1000)</f>
        <v>126.19928289000001</v>
      </c>
      <c r="C32" s="39">
        <f>IF(ISERROR(B32*3.6/1000000/'E Balans VL '!Z20*100),0,B32*3.6/1000000/'E Balans VL '!Z20*100)</f>
        <v>2.1083018053457858E-2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13.287039685</v>
      </c>
      <c r="C35" s="39">
        <f>IF(ISERROR(B35*3.6/1000000/'E Balans VL '!Z22*100),0,B35*3.6/1000000/'E Balans VL '!Z22*100)</f>
        <v>1.6842039368671357E-3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845.25016332999996</v>
      </c>
      <c r="C37" s="39">
        <f>IF(ISERROR(B37*3.6/1000000/'E Balans VL '!Z15*100),0,B37*3.6/1000000/'E Balans VL '!Z15*100)</f>
        <v>6.8240318644275273E-3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985.80960462999997</v>
      </c>
      <c r="C5" s="17">
        <f>'Eigen informatie GS &amp; warmtenet'!B60</f>
        <v>0</v>
      </c>
      <c r="D5" s="30">
        <f>IF(ISERROR(SUM(LB_lb_gas_kWh,LB_rest_gas_kWh)/1000),0,SUM(LB_lb_gas_kWh,LB_rest_gas_kWh)/1000)*0.902</f>
        <v>163.11106460752401</v>
      </c>
      <c r="E5" s="17">
        <f>B17*'E Balans VL '!I25/3.6*1000000/100</f>
        <v>25.420244632136018</v>
      </c>
      <c r="F5" s="17">
        <f>B17*('E Balans VL '!L25/3.6*1000000+'E Balans VL '!N25/3.6*1000000)/100</f>
        <v>3603.3218432420613</v>
      </c>
      <c r="G5" s="18"/>
      <c r="H5" s="17"/>
      <c r="I5" s="17"/>
      <c r="J5" s="17">
        <f>('E Balans VL '!D25+'E Balans VL '!E25)/3.6*1000000*landbouw!B17/100</f>
        <v>141.92031842685412</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985.80960462999997</v>
      </c>
      <c r="C8" s="21">
        <f>C5+C6</f>
        <v>0</v>
      </c>
      <c r="D8" s="21">
        <f>MAX((D5+D6),0)</f>
        <v>163.11106460752401</v>
      </c>
      <c r="E8" s="21">
        <f>MAX((E5+E6),0)</f>
        <v>25.420244632136018</v>
      </c>
      <c r="F8" s="21">
        <f>MAX((F5+F6),0)</f>
        <v>3603.3218432420613</v>
      </c>
      <c r="G8" s="21"/>
      <c r="H8" s="21"/>
      <c r="I8" s="21"/>
      <c r="J8" s="21">
        <f>MAX((J5+J6),0)</f>
        <v>141.92031842685412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0.19991889783777619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197.08196963552351</v>
      </c>
      <c r="C12" s="23">
        <f ca="1">C8*C10</f>
        <v>0</v>
      </c>
      <c r="D12" s="23">
        <f>D8*D10</f>
        <v>32.948435050719851</v>
      </c>
      <c r="E12" s="23">
        <f>E8*E10</f>
        <v>5.7703955314948763</v>
      </c>
      <c r="F12" s="23">
        <f>F8*F10</f>
        <v>962.08693214563039</v>
      </c>
      <c r="G12" s="23"/>
      <c r="H12" s="23"/>
      <c r="I12" s="23"/>
      <c r="J12" s="23">
        <f>J8*J10</f>
        <v>50.239792723106355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0.13900568410923295</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180.13898367256198</v>
      </c>
      <c r="C26" s="247">
        <f>B26*'GWP N2O_CH4'!B5</f>
        <v>3782.9186571238015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46.596490142882459</v>
      </c>
      <c r="C27" s="247">
        <f>B27*'GWP N2O_CH4'!B5</f>
        <v>978.52629300053161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2.3375728160405802</v>
      </c>
      <c r="C28" s="247">
        <f>B28*'GWP N2O_CH4'!B4</f>
        <v>724.64757297257984</v>
      </c>
      <c r="D28" s="50"/>
    </row>
    <row r="29" spans="1:4">
      <c r="A29" s="41" t="s">
        <v>276</v>
      </c>
      <c r="B29" s="247">
        <f>B34*'ha_N2O bodem landbouw'!B4</f>
        <v>13.719288848760637</v>
      </c>
      <c r="C29" s="247">
        <f>B29*'GWP N2O_CH4'!B4</f>
        <v>4252.9795431157972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3.0875855188141391E-3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5.1047511040020002E-5</v>
      </c>
      <c r="C5" s="437" t="s">
        <v>210</v>
      </c>
      <c r="D5" s="422">
        <f>SUM(D6:D11)</f>
        <v>1.0599105511854084E-4</v>
      </c>
      <c r="E5" s="422">
        <f>SUM(E6:E11)</f>
        <v>4.7102185383677631E-4</v>
      </c>
      <c r="F5" s="435" t="s">
        <v>210</v>
      </c>
      <c r="G5" s="422">
        <f>SUM(G6:G11)</f>
        <v>0.17332477626417231</v>
      </c>
      <c r="H5" s="422">
        <f>SUM(H6:H11)</f>
        <v>3.6064479632419683E-2</v>
      </c>
      <c r="I5" s="437" t="s">
        <v>210</v>
      </c>
      <c r="J5" s="437" t="s">
        <v>210</v>
      </c>
      <c r="K5" s="437" t="s">
        <v>210</v>
      </c>
      <c r="L5" s="437" t="s">
        <v>210</v>
      </c>
      <c r="M5" s="422">
        <f>SUM(M6:M11)</f>
        <v>6.5336448987237204E-3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3.9972993909213303E-5</v>
      </c>
      <c r="C6" s="423"/>
      <c r="D6" s="865">
        <f>vkm_GW_PW*SUMIFS(TableVerdeelsleutelVkm[CNG],TableVerdeelsleutelVkm[Voertuigtype],"Lichte voertuigen")*SUMIFS(TableECFTransport[EnergieConsumptieFactor (PJ per km)],TableECFTransport[Index],CONCATENATE($A6,"_CNG_CNG"))</f>
        <v>7.2058383610540747E-5</v>
      </c>
      <c r="E6" s="865">
        <f>vkm_GW_PW*SUMIFS(TableVerdeelsleutelVkm[LPG],TableVerdeelsleutelVkm[Voertuigtype],"Lichte voertuigen")*SUMIFS(TableECFTransport[EnergieConsumptieFactor (PJ per km)],TableECFTransport[Index],CONCATENATE($A6,"_LPG_LPG"))</f>
        <v>3.2551843593789506E-4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8.8931192387625299E-2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2.474159292490102E-2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3.5392919425451435E-3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4.3529742405548216E-2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7.8548615775498642E-7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1.3694481362110098E-3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1.10745171308067E-5</v>
      </c>
      <c r="C8" s="423"/>
      <c r="D8" s="425">
        <f>vkm_NGW_PW*SUMIFS(TableVerdeelsleutelVkm[CNG],TableVerdeelsleutelVkm[Voertuigtype],"Lichte voertuigen")*SUMIFS(TableECFTransport[EnergieConsumptieFactor (PJ per km)],TableECFTransport[Index],CONCATENATE($A8,"_CNG_CNG"))</f>
        <v>3.3932671508000097E-5</v>
      </c>
      <c r="E8" s="425">
        <f>vkm_NGW_PW*SUMIFS(TableVerdeelsleutelVkm[LPG],TableVerdeelsleutelVkm[Voertuigtype],"Lichte voertuigen")*SUMIFS(TableECFTransport[EnergieConsumptieFactor (PJ per km)],TableECFTransport[Index],CONCATENATE($A8,"_LPG_LPG"))</f>
        <v>1.4550341789888125E-4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3.7324926028418137E-2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1.132202238992152E-2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1.5135698930096037E-3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3.5389154425806745E-3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7.8831439387601434E-8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1.1133492695796332E-4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14.179864177783333</v>
      </c>
      <c r="C14" s="21"/>
      <c r="D14" s="21">
        <f t="shared" ref="D14:M14" si="0">((D5)*10^9/3600)+D12</f>
        <v>29.441959755150233</v>
      </c>
      <c r="E14" s="21">
        <f t="shared" si="0"/>
        <v>130.83940384354898</v>
      </c>
      <c r="F14" s="21"/>
      <c r="G14" s="21">
        <f t="shared" si="0"/>
        <v>48145.771184492311</v>
      </c>
      <c r="H14" s="21">
        <f t="shared" si="0"/>
        <v>10017.911009005467</v>
      </c>
      <c r="I14" s="21"/>
      <c r="J14" s="21"/>
      <c r="K14" s="21"/>
      <c r="L14" s="21"/>
      <c r="M14" s="21">
        <f t="shared" si="0"/>
        <v>1814.9013607565892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0.19991889783777619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2.8348228179118085</v>
      </c>
      <c r="C18" s="23"/>
      <c r="D18" s="23">
        <f t="shared" ref="D18:M18" si="1">D14*D16</f>
        <v>5.9472758705403477</v>
      </c>
      <c r="E18" s="23">
        <f t="shared" si="1"/>
        <v>29.70054467248562</v>
      </c>
      <c r="F18" s="23"/>
      <c r="G18" s="23">
        <f t="shared" si="1"/>
        <v>12854.920906259447</v>
      </c>
      <c r="H18" s="23">
        <f t="shared" si="1"/>
        <v>2494.4598412423616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2.6938726045158405E-3</v>
      </c>
      <c r="H50" s="319">
        <f t="shared" si="2"/>
        <v>0</v>
      </c>
      <c r="I50" s="319">
        <f t="shared" si="2"/>
        <v>0</v>
      </c>
      <c r="J50" s="319">
        <f t="shared" si="2"/>
        <v>0</v>
      </c>
      <c r="K50" s="319">
        <f t="shared" si="2"/>
        <v>0</v>
      </c>
      <c r="L50" s="319">
        <f t="shared" si="2"/>
        <v>0</v>
      </c>
      <c r="M50" s="319">
        <f t="shared" si="2"/>
        <v>8.3452420790838859E-5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2.6938726045158405E-3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8.3452420790838859E-5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748.2979456988445</v>
      </c>
      <c r="H54" s="21">
        <f t="shared" si="3"/>
        <v>0</v>
      </c>
      <c r="I54" s="21">
        <f t="shared" si="3"/>
        <v>0</v>
      </c>
      <c r="J54" s="21">
        <f t="shared" si="3"/>
        <v>0</v>
      </c>
      <c r="K54" s="21">
        <f t="shared" si="3"/>
        <v>0</v>
      </c>
      <c r="L54" s="21">
        <f t="shared" si="3"/>
        <v>0</v>
      </c>
      <c r="M54" s="21">
        <f t="shared" si="3"/>
        <v>23.181227997455238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0.19991889783777619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199.79555150159149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7105.9870995309993</v>
      </c>
      <c r="D10" s="978">
        <f ca="1">tertiair!C16</f>
        <v>0</v>
      </c>
      <c r="E10" s="978">
        <f ca="1">tertiair!D16</f>
        <v>4143.7144017213122</v>
      </c>
      <c r="F10" s="978">
        <f>tertiair!E16</f>
        <v>102.98440504681849</v>
      </c>
      <c r="G10" s="978">
        <f ca="1">tertiair!F16</f>
        <v>1584.6071857037391</v>
      </c>
      <c r="H10" s="978">
        <f>tertiair!G16</f>
        <v>0</v>
      </c>
      <c r="I10" s="978">
        <f>tertiair!H16</f>
        <v>0</v>
      </c>
      <c r="J10" s="978">
        <f>tertiair!I16</f>
        <v>0</v>
      </c>
      <c r="K10" s="978">
        <f>tertiair!J16</f>
        <v>0</v>
      </c>
      <c r="L10" s="978">
        <f>tertiair!K16</f>
        <v>0</v>
      </c>
      <c r="M10" s="978">
        <f ca="1">tertiair!L16</f>
        <v>0</v>
      </c>
      <c r="N10" s="978">
        <f>tertiair!M16</f>
        <v>0</v>
      </c>
      <c r="O10" s="978">
        <f ca="1">tertiair!N16</f>
        <v>409.3872059868894</v>
      </c>
      <c r="P10" s="978">
        <f>tertiair!O16</f>
        <v>9.3800000000000008</v>
      </c>
      <c r="Q10" s="979">
        <f>tertiair!P16</f>
        <v>0</v>
      </c>
      <c r="R10" s="674">
        <f ca="1">SUM(C10:Q10)</f>
        <v>13356.060297989758</v>
      </c>
      <c r="S10" s="67"/>
    </row>
    <row r="11" spans="1:19" s="447" customFormat="1">
      <c r="A11" s="783" t="s">
        <v>224</v>
      </c>
      <c r="B11" s="788"/>
      <c r="C11" s="978">
        <f>huishoudens!B8</f>
        <v>15722.967015655713</v>
      </c>
      <c r="D11" s="978">
        <f>huishoudens!C8</f>
        <v>0</v>
      </c>
      <c r="E11" s="978">
        <f>huishoudens!D8</f>
        <v>15201.554601794003</v>
      </c>
      <c r="F11" s="978">
        <f>huishoudens!E8</f>
        <v>14346.899015647708</v>
      </c>
      <c r="G11" s="978">
        <f>huishoudens!F8</f>
        <v>21504.910728741757</v>
      </c>
      <c r="H11" s="978">
        <f>huishoudens!G8</f>
        <v>0</v>
      </c>
      <c r="I11" s="978">
        <f>huishoudens!H8</f>
        <v>0</v>
      </c>
      <c r="J11" s="978">
        <f>huishoudens!I8</f>
        <v>0</v>
      </c>
      <c r="K11" s="978">
        <f>huishoudens!J8</f>
        <v>2867.9606499787765</v>
      </c>
      <c r="L11" s="978">
        <f>huishoudens!K8</f>
        <v>0</v>
      </c>
      <c r="M11" s="978">
        <f>huishoudens!L8</f>
        <v>0</v>
      </c>
      <c r="N11" s="978">
        <f>huishoudens!M8</f>
        <v>0</v>
      </c>
      <c r="O11" s="978">
        <f>huishoudens!N8</f>
        <v>8655.0711779015437</v>
      </c>
      <c r="P11" s="978">
        <f>huishoudens!O8</f>
        <v>190.72666666666666</v>
      </c>
      <c r="Q11" s="979">
        <f>huishoudens!P8</f>
        <v>724.5333333333333</v>
      </c>
      <c r="R11" s="674">
        <f>SUM(C11:Q11)</f>
        <v>79214.62318971951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1438.8806128849999</v>
      </c>
      <c r="D13" s="978">
        <f>industrie!C18</f>
        <v>0</v>
      </c>
      <c r="E13" s="978">
        <f>industrie!D18</f>
        <v>398.98078899272002</v>
      </c>
      <c r="F13" s="978">
        <f>industrie!E18</f>
        <v>165.02661831759377</v>
      </c>
      <c r="G13" s="978">
        <f>industrie!F18</f>
        <v>604.10035914016748</v>
      </c>
      <c r="H13" s="978">
        <f>industrie!G18</f>
        <v>0</v>
      </c>
      <c r="I13" s="978">
        <f>industrie!H18</f>
        <v>0</v>
      </c>
      <c r="J13" s="978">
        <f>industrie!I18</f>
        <v>0</v>
      </c>
      <c r="K13" s="978">
        <f>industrie!J18</f>
        <v>7.7420351741595912</v>
      </c>
      <c r="L13" s="978">
        <f>industrie!K18</f>
        <v>0</v>
      </c>
      <c r="M13" s="978">
        <f>industrie!L18</f>
        <v>0</v>
      </c>
      <c r="N13" s="978">
        <f>industrie!M18</f>
        <v>0</v>
      </c>
      <c r="O13" s="978">
        <f>industrie!N18</f>
        <v>133.82378813450441</v>
      </c>
      <c r="P13" s="978">
        <f>industrie!O18</f>
        <v>0</v>
      </c>
      <c r="Q13" s="979">
        <f>industrie!P18</f>
        <v>0</v>
      </c>
      <c r="R13" s="674">
        <f>SUM(C13:Q13)</f>
        <v>2748.5542026441453</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24267.834728071713</v>
      </c>
      <c r="D16" s="706">
        <f t="shared" ref="D16:R16" ca="1" si="0">SUM(D9:D15)</f>
        <v>0</v>
      </c>
      <c r="E16" s="706">
        <f t="shared" ca="1" si="0"/>
        <v>19744.249792508035</v>
      </c>
      <c r="F16" s="706">
        <f t="shared" si="0"/>
        <v>14614.91003901212</v>
      </c>
      <c r="G16" s="706">
        <f t="shared" ca="1" si="0"/>
        <v>23693.618273585664</v>
      </c>
      <c r="H16" s="706">
        <f t="shared" si="0"/>
        <v>0</v>
      </c>
      <c r="I16" s="706">
        <f t="shared" si="0"/>
        <v>0</v>
      </c>
      <c r="J16" s="706">
        <f t="shared" si="0"/>
        <v>0</v>
      </c>
      <c r="K16" s="706">
        <f t="shared" si="0"/>
        <v>2875.7026851529363</v>
      </c>
      <c r="L16" s="706">
        <f t="shared" si="0"/>
        <v>0</v>
      </c>
      <c r="M16" s="706">
        <f t="shared" ca="1" si="0"/>
        <v>0</v>
      </c>
      <c r="N16" s="706">
        <f t="shared" si="0"/>
        <v>0</v>
      </c>
      <c r="O16" s="706">
        <f t="shared" ca="1" si="0"/>
        <v>9198.2821720229385</v>
      </c>
      <c r="P16" s="706">
        <f t="shared" si="0"/>
        <v>200.10666666666665</v>
      </c>
      <c r="Q16" s="706">
        <f t="shared" si="0"/>
        <v>724.5333333333333</v>
      </c>
      <c r="R16" s="706">
        <f t="shared" ca="1" si="0"/>
        <v>95319.237690353402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748.2979456988445</v>
      </c>
      <c r="I19" s="978">
        <f>transport!H54</f>
        <v>0</v>
      </c>
      <c r="J19" s="978">
        <f>transport!I54</f>
        <v>0</v>
      </c>
      <c r="K19" s="978">
        <f>transport!J54</f>
        <v>0</v>
      </c>
      <c r="L19" s="978">
        <f>transport!K54</f>
        <v>0</v>
      </c>
      <c r="M19" s="978">
        <f>transport!L54</f>
        <v>0</v>
      </c>
      <c r="N19" s="978">
        <f>transport!M54</f>
        <v>23.181227997455238</v>
      </c>
      <c r="O19" s="978">
        <f>transport!N54</f>
        <v>0</v>
      </c>
      <c r="P19" s="978">
        <f>transport!O54</f>
        <v>0</v>
      </c>
      <c r="Q19" s="979">
        <f>transport!P54</f>
        <v>0</v>
      </c>
      <c r="R19" s="674">
        <f>SUM(C19:Q19)</f>
        <v>771.47917369629977</v>
      </c>
      <c r="S19" s="67"/>
    </row>
    <row r="20" spans="1:19" s="447" customFormat="1">
      <c r="A20" s="783" t="s">
        <v>306</v>
      </c>
      <c r="B20" s="788"/>
      <c r="C20" s="978">
        <f>transport!B14</f>
        <v>14.179864177783333</v>
      </c>
      <c r="D20" s="978">
        <f>transport!C14</f>
        <v>0</v>
      </c>
      <c r="E20" s="978">
        <f>transport!D14</f>
        <v>29.441959755150233</v>
      </c>
      <c r="F20" s="978">
        <f>transport!E14</f>
        <v>130.83940384354898</v>
      </c>
      <c r="G20" s="978">
        <f>transport!F14</f>
        <v>0</v>
      </c>
      <c r="H20" s="978">
        <f>transport!G14</f>
        <v>48145.771184492311</v>
      </c>
      <c r="I20" s="978">
        <f>transport!H14</f>
        <v>10017.911009005467</v>
      </c>
      <c r="J20" s="978">
        <f>transport!I14</f>
        <v>0</v>
      </c>
      <c r="K20" s="978">
        <f>transport!J14</f>
        <v>0</v>
      </c>
      <c r="L20" s="978">
        <f>transport!K14</f>
        <v>0</v>
      </c>
      <c r="M20" s="978">
        <f>transport!L14</f>
        <v>0</v>
      </c>
      <c r="N20" s="978">
        <f>transport!M14</f>
        <v>1814.9013607565892</v>
      </c>
      <c r="O20" s="978">
        <f>transport!N14</f>
        <v>0</v>
      </c>
      <c r="P20" s="978">
        <f>transport!O14</f>
        <v>0</v>
      </c>
      <c r="Q20" s="979">
        <f>transport!P14</f>
        <v>0</v>
      </c>
      <c r="R20" s="674">
        <f>SUM(C20:Q20)</f>
        <v>60153.044782030847</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14.179864177783333</v>
      </c>
      <c r="D22" s="786">
        <f t="shared" ref="D22:R22" si="1">SUM(D18:D21)</f>
        <v>0</v>
      </c>
      <c r="E22" s="786">
        <f t="shared" si="1"/>
        <v>29.441959755150233</v>
      </c>
      <c r="F22" s="786">
        <f t="shared" si="1"/>
        <v>130.83940384354898</v>
      </c>
      <c r="G22" s="786">
        <f t="shared" si="1"/>
        <v>0</v>
      </c>
      <c r="H22" s="786">
        <f t="shared" si="1"/>
        <v>48894.069130191157</v>
      </c>
      <c r="I22" s="786">
        <f t="shared" si="1"/>
        <v>10017.911009005467</v>
      </c>
      <c r="J22" s="786">
        <f t="shared" si="1"/>
        <v>0</v>
      </c>
      <c r="K22" s="786">
        <f t="shared" si="1"/>
        <v>0</v>
      </c>
      <c r="L22" s="786">
        <f t="shared" si="1"/>
        <v>0</v>
      </c>
      <c r="M22" s="786">
        <f t="shared" si="1"/>
        <v>0</v>
      </c>
      <c r="N22" s="786">
        <f t="shared" si="1"/>
        <v>1838.0825887540443</v>
      </c>
      <c r="O22" s="786">
        <f t="shared" si="1"/>
        <v>0</v>
      </c>
      <c r="P22" s="786">
        <f t="shared" si="1"/>
        <v>0</v>
      </c>
      <c r="Q22" s="786">
        <f t="shared" si="1"/>
        <v>0</v>
      </c>
      <c r="R22" s="786">
        <f t="shared" si="1"/>
        <v>60924.523955727149</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985.80960462999997</v>
      </c>
      <c r="D24" s="978">
        <f>+landbouw!C8</f>
        <v>0</v>
      </c>
      <c r="E24" s="978">
        <f>+landbouw!D8</f>
        <v>163.11106460752401</v>
      </c>
      <c r="F24" s="978">
        <f>+landbouw!E8</f>
        <v>25.420244632136018</v>
      </c>
      <c r="G24" s="978">
        <f>+landbouw!F8</f>
        <v>3603.3218432420613</v>
      </c>
      <c r="H24" s="978">
        <f>+landbouw!G8</f>
        <v>0</v>
      </c>
      <c r="I24" s="978">
        <f>+landbouw!H8</f>
        <v>0</v>
      </c>
      <c r="J24" s="978">
        <f>+landbouw!I8</f>
        <v>0</v>
      </c>
      <c r="K24" s="978">
        <f>+landbouw!J8</f>
        <v>141.92031842685412</v>
      </c>
      <c r="L24" s="978">
        <f>+landbouw!K8</f>
        <v>0</v>
      </c>
      <c r="M24" s="978">
        <f>+landbouw!L8</f>
        <v>0</v>
      </c>
      <c r="N24" s="978">
        <f>+landbouw!M8</f>
        <v>0</v>
      </c>
      <c r="O24" s="978">
        <f>+landbouw!N8</f>
        <v>0</v>
      </c>
      <c r="P24" s="978">
        <f>+landbouw!O8</f>
        <v>0</v>
      </c>
      <c r="Q24" s="979">
        <f>+landbouw!P8</f>
        <v>0</v>
      </c>
      <c r="R24" s="674">
        <f>SUM(C24:Q24)</f>
        <v>4919.5830755385759</v>
      </c>
      <c r="S24" s="67"/>
    </row>
    <row r="25" spans="1:19" s="447" customFormat="1" ht="15" thickBot="1">
      <c r="A25" s="805" t="s">
        <v>834</v>
      </c>
      <c r="B25" s="981"/>
      <c r="C25" s="982">
        <f>IF(Onbekend_ele_kWh="---",0,Onbekend_ele_kWh)/1000+IF(REST_rest_ele_kWh="---",0,REST_rest_ele_kWh)/1000</f>
        <v>446.80011861000003</v>
      </c>
      <c r="D25" s="982"/>
      <c r="E25" s="982">
        <f>IF(onbekend_gas_kWh="---",0,onbekend_gas_kWh)/1000+IF(REST_rest_gas_kWh="---",0,REST_rest_gas_kWh)/1000</f>
        <v>228.82498569999998</v>
      </c>
      <c r="F25" s="982"/>
      <c r="G25" s="982"/>
      <c r="H25" s="982"/>
      <c r="I25" s="982"/>
      <c r="J25" s="982"/>
      <c r="K25" s="982"/>
      <c r="L25" s="982"/>
      <c r="M25" s="982"/>
      <c r="N25" s="982"/>
      <c r="O25" s="982"/>
      <c r="P25" s="982"/>
      <c r="Q25" s="983"/>
      <c r="R25" s="674">
        <f>SUM(C25:Q25)</f>
        <v>675.62510430999998</v>
      </c>
      <c r="S25" s="67"/>
    </row>
    <row r="26" spans="1:19" s="447" customFormat="1" ht="15.75" thickBot="1">
      <c r="A26" s="679" t="s">
        <v>835</v>
      </c>
      <c r="B26" s="791"/>
      <c r="C26" s="786">
        <f>SUM(C24:C25)</f>
        <v>1432.60972324</v>
      </c>
      <c r="D26" s="786">
        <f t="shared" ref="D26:R26" si="2">SUM(D24:D25)</f>
        <v>0</v>
      </c>
      <c r="E26" s="786">
        <f t="shared" si="2"/>
        <v>391.936050307524</v>
      </c>
      <c r="F26" s="786">
        <f t="shared" si="2"/>
        <v>25.420244632136018</v>
      </c>
      <c r="G26" s="786">
        <f t="shared" si="2"/>
        <v>3603.3218432420613</v>
      </c>
      <c r="H26" s="786">
        <f t="shared" si="2"/>
        <v>0</v>
      </c>
      <c r="I26" s="786">
        <f t="shared" si="2"/>
        <v>0</v>
      </c>
      <c r="J26" s="786">
        <f t="shared" si="2"/>
        <v>0</v>
      </c>
      <c r="K26" s="786">
        <f t="shared" si="2"/>
        <v>141.92031842685412</v>
      </c>
      <c r="L26" s="786">
        <f t="shared" si="2"/>
        <v>0</v>
      </c>
      <c r="M26" s="786">
        <f t="shared" si="2"/>
        <v>0</v>
      </c>
      <c r="N26" s="786">
        <f t="shared" si="2"/>
        <v>0</v>
      </c>
      <c r="O26" s="786">
        <f t="shared" si="2"/>
        <v>0</v>
      </c>
      <c r="P26" s="786">
        <f t="shared" si="2"/>
        <v>0</v>
      </c>
      <c r="Q26" s="786">
        <f t="shared" si="2"/>
        <v>0</v>
      </c>
      <c r="R26" s="786">
        <f t="shared" si="2"/>
        <v>5595.208179848576</v>
      </c>
      <c r="S26" s="67"/>
    </row>
    <row r="27" spans="1:19" s="447" customFormat="1" ht="17.25" thickTop="1" thickBot="1">
      <c r="A27" s="680" t="s">
        <v>115</v>
      </c>
      <c r="B27" s="779"/>
      <c r="C27" s="681">
        <f ca="1">C22+C16+C26</f>
        <v>25714.624315489495</v>
      </c>
      <c r="D27" s="681">
        <f t="shared" ref="D27:R27" ca="1" si="3">D22+D16+D26</f>
        <v>0</v>
      </c>
      <c r="E27" s="681">
        <f t="shared" ca="1" si="3"/>
        <v>20165.627802570707</v>
      </c>
      <c r="F27" s="681">
        <f t="shared" si="3"/>
        <v>14771.169687487805</v>
      </c>
      <c r="G27" s="681">
        <f t="shared" ca="1" si="3"/>
        <v>27296.940116827725</v>
      </c>
      <c r="H27" s="681">
        <f t="shared" si="3"/>
        <v>48894.069130191157</v>
      </c>
      <c r="I27" s="681">
        <f t="shared" si="3"/>
        <v>10017.911009005467</v>
      </c>
      <c r="J27" s="681">
        <f t="shared" si="3"/>
        <v>0</v>
      </c>
      <c r="K27" s="681">
        <f t="shared" si="3"/>
        <v>3017.6230035797903</v>
      </c>
      <c r="L27" s="681">
        <f t="shared" si="3"/>
        <v>0</v>
      </c>
      <c r="M27" s="681">
        <f t="shared" ca="1" si="3"/>
        <v>0</v>
      </c>
      <c r="N27" s="681">
        <f t="shared" si="3"/>
        <v>1838.0825887540443</v>
      </c>
      <c r="O27" s="681">
        <f t="shared" ca="1" si="3"/>
        <v>9198.2821720229385</v>
      </c>
      <c r="P27" s="681">
        <f t="shared" si="3"/>
        <v>200.10666666666665</v>
      </c>
      <c r="Q27" s="681">
        <f t="shared" si="3"/>
        <v>724.5333333333333</v>
      </c>
      <c r="R27" s="681">
        <f t="shared" ca="1" si="3"/>
        <v>161838.96982592915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1420.6211089876936</v>
      </c>
      <c r="D40" s="978">
        <f ca="1">tertiair!C20</f>
        <v>0</v>
      </c>
      <c r="E40" s="978">
        <f ca="1">tertiair!D20</f>
        <v>837.03030914770511</v>
      </c>
      <c r="F40" s="978">
        <f>tertiair!E20</f>
        <v>23.377459945627798</v>
      </c>
      <c r="G40" s="978">
        <f ca="1">tertiair!F20</f>
        <v>423.09011858289836</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2704.1189966639249</v>
      </c>
    </row>
    <row r="41" spans="1:18">
      <c r="A41" s="796" t="s">
        <v>224</v>
      </c>
      <c r="B41" s="803"/>
      <c r="C41" s="978">
        <f ca="1">huishoudens!B12</f>
        <v>3143.3182365095995</v>
      </c>
      <c r="D41" s="978">
        <f ca="1">huishoudens!C12</f>
        <v>0</v>
      </c>
      <c r="E41" s="978">
        <f>huishoudens!D12</f>
        <v>3070.714029562389</v>
      </c>
      <c r="F41" s="978">
        <f>huishoudens!E12</f>
        <v>3256.74607655203</v>
      </c>
      <c r="G41" s="978">
        <f>huishoudens!F12</f>
        <v>5741.8111645740491</v>
      </c>
      <c r="H41" s="978">
        <f>huishoudens!G12</f>
        <v>0</v>
      </c>
      <c r="I41" s="978">
        <f>huishoudens!H12</f>
        <v>0</v>
      </c>
      <c r="J41" s="978">
        <f>huishoudens!I12</f>
        <v>0</v>
      </c>
      <c r="K41" s="978">
        <f>huishoudens!J12</f>
        <v>1015.2580700924868</v>
      </c>
      <c r="L41" s="978">
        <f>huishoudens!K12</f>
        <v>0</v>
      </c>
      <c r="M41" s="978">
        <f>huishoudens!L12</f>
        <v>0</v>
      </c>
      <c r="N41" s="978">
        <f>huishoudens!M12</f>
        <v>0</v>
      </c>
      <c r="O41" s="978">
        <f>huishoudens!N12</f>
        <v>0</v>
      </c>
      <c r="P41" s="978">
        <f>huishoudens!O12</f>
        <v>0</v>
      </c>
      <c r="Q41" s="748">
        <f>huishoudens!P12</f>
        <v>0</v>
      </c>
      <c r="R41" s="824">
        <f t="shared" ca="1" si="4"/>
        <v>16227.847577290553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287.65942624811311</v>
      </c>
      <c r="D43" s="978">
        <f ca="1">industrie!C22</f>
        <v>0</v>
      </c>
      <c r="E43" s="978">
        <f>industrie!D22</f>
        <v>80.594119376529449</v>
      </c>
      <c r="F43" s="978">
        <f>industrie!E22</f>
        <v>37.461042358093785</v>
      </c>
      <c r="G43" s="978">
        <f>industrie!F22</f>
        <v>161.29479589042472</v>
      </c>
      <c r="H43" s="978">
        <f>industrie!G22</f>
        <v>0</v>
      </c>
      <c r="I43" s="978">
        <f>industrie!H22</f>
        <v>0</v>
      </c>
      <c r="J43" s="978">
        <f>industrie!I22</f>
        <v>0</v>
      </c>
      <c r="K43" s="978">
        <f>industrie!J22</f>
        <v>2.7406804516524952</v>
      </c>
      <c r="L43" s="978">
        <f>industrie!K22</f>
        <v>0</v>
      </c>
      <c r="M43" s="978">
        <f>industrie!L22</f>
        <v>0</v>
      </c>
      <c r="N43" s="978">
        <f>industrie!M22</f>
        <v>0</v>
      </c>
      <c r="O43" s="978">
        <f>industrie!N22</f>
        <v>0</v>
      </c>
      <c r="P43" s="978">
        <f>industrie!O22</f>
        <v>0</v>
      </c>
      <c r="Q43" s="748">
        <f>industrie!P22</f>
        <v>0</v>
      </c>
      <c r="R43" s="823">
        <f t="shared" ca="1" si="4"/>
        <v>569.75006432481359</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4851.5987717454063</v>
      </c>
      <c r="D46" s="706">
        <f t="shared" ref="D46:Q46" ca="1" si="5">SUM(D39:D45)</f>
        <v>0</v>
      </c>
      <c r="E46" s="706">
        <f t="shared" ca="1" si="5"/>
        <v>3988.3384580866232</v>
      </c>
      <c r="F46" s="706">
        <f t="shared" si="5"/>
        <v>3317.5845788557517</v>
      </c>
      <c r="G46" s="706">
        <f t="shared" ca="1" si="5"/>
        <v>6326.1960790473722</v>
      </c>
      <c r="H46" s="706">
        <f t="shared" si="5"/>
        <v>0</v>
      </c>
      <c r="I46" s="706">
        <f t="shared" si="5"/>
        <v>0</v>
      </c>
      <c r="J46" s="706">
        <f t="shared" si="5"/>
        <v>0</v>
      </c>
      <c r="K46" s="706">
        <f t="shared" si="5"/>
        <v>1017.9987505441393</v>
      </c>
      <c r="L46" s="706">
        <f t="shared" si="5"/>
        <v>0</v>
      </c>
      <c r="M46" s="706">
        <f t="shared" ca="1" si="5"/>
        <v>0</v>
      </c>
      <c r="N46" s="706">
        <f t="shared" si="5"/>
        <v>0</v>
      </c>
      <c r="O46" s="706">
        <f t="shared" ca="1" si="5"/>
        <v>0</v>
      </c>
      <c r="P46" s="706">
        <f t="shared" si="5"/>
        <v>0</v>
      </c>
      <c r="Q46" s="706">
        <f t="shared" si="5"/>
        <v>0</v>
      </c>
      <c r="R46" s="706">
        <f ca="1">SUM(R39:R45)</f>
        <v>19501.716638279293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199.79555150159149</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199.79555150159149</v>
      </c>
    </row>
    <row r="50" spans="1:18">
      <c r="A50" s="799" t="s">
        <v>306</v>
      </c>
      <c r="B50" s="809"/>
      <c r="C50" s="677">
        <f ca="1">transport!B18</f>
        <v>2.8348228179118085</v>
      </c>
      <c r="D50" s="677">
        <f>transport!C18</f>
        <v>0</v>
      </c>
      <c r="E50" s="677">
        <f>transport!D18</f>
        <v>5.9472758705403477</v>
      </c>
      <c r="F50" s="677">
        <f>transport!E18</f>
        <v>29.70054467248562</v>
      </c>
      <c r="G50" s="677">
        <f>transport!F18</f>
        <v>0</v>
      </c>
      <c r="H50" s="677">
        <f>transport!G18</f>
        <v>12854.920906259447</v>
      </c>
      <c r="I50" s="677">
        <f>transport!H18</f>
        <v>2494.4598412423616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15387.863390862747</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2.8348228179118085</v>
      </c>
      <c r="D52" s="706">
        <f t="shared" ref="D52:Q52" ca="1" si="6">SUM(D48:D51)</f>
        <v>0</v>
      </c>
      <c r="E52" s="706">
        <f t="shared" si="6"/>
        <v>5.9472758705403477</v>
      </c>
      <c r="F52" s="706">
        <f t="shared" si="6"/>
        <v>29.70054467248562</v>
      </c>
      <c r="G52" s="706">
        <f t="shared" si="6"/>
        <v>0</v>
      </c>
      <c r="H52" s="706">
        <f t="shared" si="6"/>
        <v>13054.716457761038</v>
      </c>
      <c r="I52" s="706">
        <f t="shared" si="6"/>
        <v>2494.4598412423616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15587.658942364338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197.08196963552351</v>
      </c>
      <c r="D54" s="677">
        <f ca="1">+landbouw!C12</f>
        <v>0</v>
      </c>
      <c r="E54" s="677">
        <f>+landbouw!D12</f>
        <v>32.948435050719851</v>
      </c>
      <c r="F54" s="677">
        <f>+landbouw!E12</f>
        <v>5.7703955314948763</v>
      </c>
      <c r="G54" s="677">
        <f>+landbouw!F12</f>
        <v>962.08693214563039</v>
      </c>
      <c r="H54" s="677">
        <f>+landbouw!G12</f>
        <v>0</v>
      </c>
      <c r="I54" s="677">
        <f>+landbouw!H12</f>
        <v>0</v>
      </c>
      <c r="J54" s="677">
        <f>+landbouw!I12</f>
        <v>0</v>
      </c>
      <c r="K54" s="677">
        <f>+landbouw!J12</f>
        <v>50.239792723106355</v>
      </c>
      <c r="L54" s="677">
        <f>+landbouw!K12</f>
        <v>0</v>
      </c>
      <c r="M54" s="677">
        <f>+landbouw!L12</f>
        <v>0</v>
      </c>
      <c r="N54" s="677">
        <f>+landbouw!M12</f>
        <v>0</v>
      </c>
      <c r="O54" s="677">
        <f>+landbouw!N12</f>
        <v>0</v>
      </c>
      <c r="P54" s="677">
        <f>+landbouw!O12</f>
        <v>0</v>
      </c>
      <c r="Q54" s="678">
        <f>+landbouw!P12</f>
        <v>0</v>
      </c>
      <c r="R54" s="705">
        <f ca="1">SUM(C54:Q54)</f>
        <v>1248.1275250864749</v>
      </c>
    </row>
    <row r="55" spans="1:18" ht="15" thickBot="1">
      <c r="A55" s="799" t="s">
        <v>834</v>
      </c>
      <c r="B55" s="809"/>
      <c r="C55" s="677">
        <f ca="1">C25*'EF ele_warmte'!B12</f>
        <v>89.323787266298879</v>
      </c>
      <c r="D55" s="677"/>
      <c r="E55" s="677">
        <f>E25*EF_CO2_aardgas</f>
        <v>46.222647111400001</v>
      </c>
      <c r="F55" s="677"/>
      <c r="G55" s="677"/>
      <c r="H55" s="677"/>
      <c r="I55" s="677"/>
      <c r="J55" s="677"/>
      <c r="K55" s="677"/>
      <c r="L55" s="677"/>
      <c r="M55" s="677"/>
      <c r="N55" s="677"/>
      <c r="O55" s="677"/>
      <c r="P55" s="677"/>
      <c r="Q55" s="678"/>
      <c r="R55" s="705">
        <f ca="1">SUM(C55:Q55)</f>
        <v>135.54643437769889</v>
      </c>
    </row>
    <row r="56" spans="1:18" ht="15.75" thickBot="1">
      <c r="A56" s="797" t="s">
        <v>835</v>
      </c>
      <c r="B56" s="810"/>
      <c r="C56" s="706">
        <f ca="1">SUM(C54:C55)</f>
        <v>286.40575690182237</v>
      </c>
      <c r="D56" s="706">
        <f t="shared" ref="D56:Q56" ca="1" si="7">SUM(D54:D55)</f>
        <v>0</v>
      </c>
      <c r="E56" s="706">
        <f t="shared" si="7"/>
        <v>79.171082162119859</v>
      </c>
      <c r="F56" s="706">
        <f t="shared" si="7"/>
        <v>5.7703955314948763</v>
      </c>
      <c r="G56" s="706">
        <f t="shared" si="7"/>
        <v>962.08693214563039</v>
      </c>
      <c r="H56" s="706">
        <f t="shared" si="7"/>
        <v>0</v>
      </c>
      <c r="I56" s="706">
        <f t="shared" si="7"/>
        <v>0</v>
      </c>
      <c r="J56" s="706">
        <f t="shared" si="7"/>
        <v>0</v>
      </c>
      <c r="K56" s="706">
        <f t="shared" si="7"/>
        <v>50.239792723106355</v>
      </c>
      <c r="L56" s="706">
        <f t="shared" si="7"/>
        <v>0</v>
      </c>
      <c r="M56" s="706">
        <f t="shared" si="7"/>
        <v>0</v>
      </c>
      <c r="N56" s="706">
        <f t="shared" si="7"/>
        <v>0</v>
      </c>
      <c r="O56" s="706">
        <f t="shared" si="7"/>
        <v>0</v>
      </c>
      <c r="P56" s="706">
        <f t="shared" si="7"/>
        <v>0</v>
      </c>
      <c r="Q56" s="707">
        <f t="shared" si="7"/>
        <v>0</v>
      </c>
      <c r="R56" s="708">
        <f ca="1">SUM(R54:R55)</f>
        <v>1383.6739594641738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5140.8393514651407</v>
      </c>
      <c r="D61" s="714">
        <f t="shared" ref="D61:Q61" ca="1" si="8">D46+D52+D56</f>
        <v>0</v>
      </c>
      <c r="E61" s="714">
        <f t="shared" ca="1" si="8"/>
        <v>4073.4568161192833</v>
      </c>
      <c r="F61" s="714">
        <f t="shared" si="8"/>
        <v>3353.0555190597324</v>
      </c>
      <c r="G61" s="714">
        <f t="shared" ca="1" si="8"/>
        <v>7288.2830111930025</v>
      </c>
      <c r="H61" s="714">
        <f t="shared" si="8"/>
        <v>13054.716457761038</v>
      </c>
      <c r="I61" s="714">
        <f t="shared" si="8"/>
        <v>2494.4598412423616</v>
      </c>
      <c r="J61" s="714">
        <f t="shared" si="8"/>
        <v>0</v>
      </c>
      <c r="K61" s="714">
        <f t="shared" si="8"/>
        <v>1068.2385432672456</v>
      </c>
      <c r="L61" s="714">
        <f t="shared" si="8"/>
        <v>0</v>
      </c>
      <c r="M61" s="714">
        <f t="shared" ca="1" si="8"/>
        <v>0</v>
      </c>
      <c r="N61" s="714">
        <f t="shared" si="8"/>
        <v>0</v>
      </c>
      <c r="O61" s="714">
        <f t="shared" ca="1" si="8"/>
        <v>0</v>
      </c>
      <c r="P61" s="714">
        <f t="shared" si="8"/>
        <v>0</v>
      </c>
      <c r="Q61" s="714">
        <f t="shared" si="8"/>
        <v>0</v>
      </c>
      <c r="R61" s="714">
        <f ca="1">R46+R52+R56</f>
        <v>36473.049540107808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0.19991889783777622</v>
      </c>
      <c r="D63" s="755">
        <f t="shared" ca="1" si="9"/>
        <v>0</v>
      </c>
      <c r="E63" s="989">
        <f t="shared" ca="1" si="9"/>
        <v>0.20200000000000001</v>
      </c>
      <c r="F63" s="755">
        <f t="shared" si="9"/>
        <v>0.22700000000000004</v>
      </c>
      <c r="G63" s="755">
        <f t="shared" ca="1" si="9"/>
        <v>0.26700000000000002</v>
      </c>
      <c r="H63" s="755">
        <f t="shared" si="9"/>
        <v>0.26699999999999996</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19.408284023668639</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2163.4995089991303</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270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771.42857142857144</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2452.9077930227991</v>
      </c>
      <c r="C78" s="729">
        <f>SUM(C72:C77)</f>
        <v>0</v>
      </c>
      <c r="D78" s="730">
        <f t="shared" ref="D78:H78" si="10">SUM(D76:D77)</f>
        <v>0</v>
      </c>
      <c r="E78" s="730">
        <f t="shared" si="10"/>
        <v>0</v>
      </c>
      <c r="F78" s="730">
        <f t="shared" si="10"/>
        <v>0</v>
      </c>
      <c r="G78" s="730">
        <f t="shared" si="10"/>
        <v>0</v>
      </c>
      <c r="H78" s="730">
        <f t="shared" si="10"/>
        <v>0</v>
      </c>
      <c r="I78" s="730">
        <f>SUM(I76:I77)</f>
        <v>0</v>
      </c>
      <c r="J78" s="730">
        <f>SUM(J76:J77)</f>
        <v>771.42857142857144</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19.408284023668639</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2163.4995089991303</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270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771.42857142857144</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2452.9077930227991</v>
      </c>
      <c r="C10" s="557">
        <f t="shared" ref="C10:L10" si="0">SUM(C8:C9)</f>
        <v>0</v>
      </c>
      <c r="D10" s="557">
        <f t="shared" si="0"/>
        <v>0</v>
      </c>
      <c r="E10" s="557">
        <f t="shared" si="0"/>
        <v>0</v>
      </c>
      <c r="F10" s="557">
        <f t="shared" si="0"/>
        <v>0</v>
      </c>
      <c r="G10" s="557">
        <f t="shared" si="0"/>
        <v>0</v>
      </c>
      <c r="H10" s="557">
        <f t="shared" si="0"/>
        <v>0</v>
      </c>
      <c r="I10" s="557">
        <f t="shared" si="0"/>
        <v>0</v>
      </c>
      <c r="J10" s="557">
        <f t="shared" si="0"/>
        <v>771.42857142857144</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63.75">
      <c r="A35" s="581"/>
      <c r="B35" s="770">
        <v>45065</v>
      </c>
      <c r="C35" s="770">
        <v>9630</v>
      </c>
      <c r="D35" s="629" t="s">
        <v>896</v>
      </c>
      <c r="E35" s="629" t="s">
        <v>897</v>
      </c>
      <c r="F35" s="629" t="s">
        <v>898</v>
      </c>
      <c r="G35" s="629" t="s">
        <v>899</v>
      </c>
      <c r="H35" s="629" t="s">
        <v>900</v>
      </c>
      <c r="I35" s="629" t="s">
        <v>901</v>
      </c>
      <c r="J35" s="769">
        <v>39937</v>
      </c>
      <c r="K35" s="769">
        <v>39937</v>
      </c>
      <c r="L35" s="629" t="s">
        <v>902</v>
      </c>
      <c r="M35" s="629">
        <v>60</v>
      </c>
      <c r="N35" s="629">
        <v>270</v>
      </c>
      <c r="O35" s="629">
        <v>0</v>
      </c>
      <c r="P35" s="629">
        <v>0</v>
      </c>
      <c r="Q35" s="629">
        <v>771.42857142857144</v>
      </c>
      <c r="R35" s="629">
        <v>0</v>
      </c>
      <c r="S35" s="629">
        <v>0</v>
      </c>
      <c r="T35" s="629">
        <v>0</v>
      </c>
      <c r="U35" s="629">
        <v>0</v>
      </c>
      <c r="V35" s="629">
        <v>0</v>
      </c>
      <c r="W35" s="629">
        <v>0</v>
      </c>
      <c r="X35" s="629">
        <v>1600</v>
      </c>
      <c r="Y35" s="629" t="s">
        <v>49</v>
      </c>
      <c r="Z35" s="630" t="s">
        <v>155</v>
      </c>
    </row>
    <row r="36" spans="1:27" s="564" customFormat="1">
      <c r="A36" s="582" t="s">
        <v>279</v>
      </c>
      <c r="B36" s="583"/>
      <c r="C36" s="583"/>
      <c r="D36" s="583"/>
      <c r="E36" s="583"/>
      <c r="F36" s="583"/>
      <c r="G36" s="583"/>
      <c r="H36" s="583"/>
      <c r="I36" s="583"/>
      <c r="J36" s="583"/>
      <c r="K36" s="583"/>
      <c r="L36" s="584"/>
      <c r="M36" s="584">
        <f>SUM(M35:M35)</f>
        <v>60</v>
      </c>
      <c r="N36" s="584">
        <f>SUM(N35:N35)</f>
        <v>270</v>
      </c>
      <c r="O36" s="584">
        <f>SUM(O35:O35)</f>
        <v>0</v>
      </c>
      <c r="P36" s="584">
        <f>SUM(P35:P35)</f>
        <v>0</v>
      </c>
      <c r="Q36" s="584">
        <f>SUM(Q35:Q35)</f>
        <v>771.42857142857144</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60</v>
      </c>
      <c r="N38" s="584">
        <f>SUMIF($Z$35:$Z$36,"tertiair",N35:N36)</f>
        <v>270</v>
      </c>
      <c r="O38" s="584">
        <f>SUMIF($Z$35:$Z$36,"tertiair",O35:O36)</f>
        <v>0</v>
      </c>
      <c r="P38" s="584">
        <f>SUMIF($Z$35:$Z$36,"tertiair",P35:P36)</f>
        <v>0</v>
      </c>
      <c r="Q38" s="584">
        <f>SUMIF($Z$35:$Z$36,"tertiair",Q35:Q36)</f>
        <v>771.42857142857144</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15722.967015655713</v>
      </c>
      <c r="C4" s="451">
        <f>huishoudens!C8</f>
        <v>0</v>
      </c>
      <c r="D4" s="451">
        <f>huishoudens!D8</f>
        <v>15201.554601794003</v>
      </c>
      <c r="E4" s="451">
        <f>huishoudens!E8</f>
        <v>14346.899015647708</v>
      </c>
      <c r="F4" s="451">
        <f>huishoudens!F8</f>
        <v>21504.910728741757</v>
      </c>
      <c r="G4" s="451">
        <f>huishoudens!G8</f>
        <v>0</v>
      </c>
      <c r="H4" s="451">
        <f>huishoudens!H8</f>
        <v>0</v>
      </c>
      <c r="I4" s="451">
        <f>huishoudens!I8</f>
        <v>0</v>
      </c>
      <c r="J4" s="451">
        <f>huishoudens!J8</f>
        <v>2867.9606499787765</v>
      </c>
      <c r="K4" s="451">
        <f>huishoudens!K8</f>
        <v>0</v>
      </c>
      <c r="L4" s="451">
        <f>huishoudens!L8</f>
        <v>0</v>
      </c>
      <c r="M4" s="451">
        <f>huishoudens!M8</f>
        <v>0</v>
      </c>
      <c r="N4" s="451">
        <f>huishoudens!N8</f>
        <v>8655.0711779015437</v>
      </c>
      <c r="O4" s="451">
        <f>huishoudens!O8</f>
        <v>190.72666666666666</v>
      </c>
      <c r="P4" s="452">
        <f>huishoudens!P8</f>
        <v>724.5333333333333</v>
      </c>
      <c r="Q4" s="453">
        <f>SUM(B4:P4)</f>
        <v>79214.62318971951</v>
      </c>
    </row>
    <row r="5" spans="1:17">
      <c r="A5" s="450" t="s">
        <v>155</v>
      </c>
      <c r="B5" s="451">
        <f ca="1">tertiair!B16</f>
        <v>6412.7210995309997</v>
      </c>
      <c r="C5" s="451">
        <f ca="1">tertiair!C16</f>
        <v>0</v>
      </c>
      <c r="D5" s="451">
        <f ca="1">tertiair!D16</f>
        <v>4143.7144017213122</v>
      </c>
      <c r="E5" s="451">
        <f>tertiair!E16</f>
        <v>102.98440504681849</v>
      </c>
      <c r="F5" s="451">
        <f ca="1">tertiair!F16</f>
        <v>1584.6071857037391</v>
      </c>
      <c r="G5" s="451">
        <f>tertiair!G16</f>
        <v>0</v>
      </c>
      <c r="H5" s="451">
        <f>tertiair!H16</f>
        <v>0</v>
      </c>
      <c r="I5" s="451">
        <f>tertiair!I16</f>
        <v>0</v>
      </c>
      <c r="J5" s="451">
        <f>tertiair!J16</f>
        <v>0</v>
      </c>
      <c r="K5" s="451">
        <f>tertiair!K16</f>
        <v>0</v>
      </c>
      <c r="L5" s="451">
        <f ca="1">tertiair!L16</f>
        <v>0</v>
      </c>
      <c r="M5" s="451">
        <f>tertiair!M16</f>
        <v>0</v>
      </c>
      <c r="N5" s="451">
        <f ca="1">tertiair!N16</f>
        <v>409.3872059868894</v>
      </c>
      <c r="O5" s="451">
        <f>tertiair!O16</f>
        <v>9.3800000000000008</v>
      </c>
      <c r="P5" s="452">
        <f>tertiair!P16</f>
        <v>0</v>
      </c>
      <c r="Q5" s="450">
        <f t="shared" ref="Q5:Q14" ca="1" si="0">SUM(B5:P5)</f>
        <v>12662.794297989758</v>
      </c>
    </row>
    <row r="6" spans="1:17">
      <c r="A6" s="450" t="s">
        <v>193</v>
      </c>
      <c r="B6" s="451">
        <f>'openbare verlichting'!B8</f>
        <v>693.26599999999996</v>
      </c>
      <c r="C6" s="451"/>
      <c r="D6" s="451"/>
      <c r="E6" s="451"/>
      <c r="F6" s="451"/>
      <c r="G6" s="451"/>
      <c r="H6" s="451"/>
      <c r="I6" s="451"/>
      <c r="J6" s="451"/>
      <c r="K6" s="451"/>
      <c r="L6" s="451"/>
      <c r="M6" s="451"/>
      <c r="N6" s="451"/>
      <c r="O6" s="451"/>
      <c r="P6" s="452"/>
      <c r="Q6" s="450">
        <f t="shared" si="0"/>
        <v>693.26599999999996</v>
      </c>
    </row>
    <row r="7" spans="1:17">
      <c r="A7" s="450" t="s">
        <v>111</v>
      </c>
      <c r="B7" s="451">
        <f>landbouw!B8</f>
        <v>985.80960462999997</v>
      </c>
      <c r="C7" s="451">
        <f>landbouw!C8</f>
        <v>0</v>
      </c>
      <c r="D7" s="451">
        <f>landbouw!D8</f>
        <v>163.11106460752401</v>
      </c>
      <c r="E7" s="451">
        <f>landbouw!E8</f>
        <v>25.420244632136018</v>
      </c>
      <c r="F7" s="451">
        <f>landbouw!F8</f>
        <v>3603.3218432420613</v>
      </c>
      <c r="G7" s="451">
        <f>landbouw!G8</f>
        <v>0</v>
      </c>
      <c r="H7" s="451">
        <f>landbouw!H8</f>
        <v>0</v>
      </c>
      <c r="I7" s="451">
        <f>landbouw!I8</f>
        <v>0</v>
      </c>
      <c r="J7" s="451">
        <f>landbouw!J8</f>
        <v>141.92031842685412</v>
      </c>
      <c r="K7" s="451">
        <f>landbouw!K8</f>
        <v>0</v>
      </c>
      <c r="L7" s="451">
        <f>landbouw!L8</f>
        <v>0</v>
      </c>
      <c r="M7" s="451">
        <f>landbouw!M8</f>
        <v>0</v>
      </c>
      <c r="N7" s="451">
        <f>landbouw!N8</f>
        <v>0</v>
      </c>
      <c r="O7" s="451">
        <f>landbouw!O8</f>
        <v>0</v>
      </c>
      <c r="P7" s="452">
        <f>landbouw!P8</f>
        <v>0</v>
      </c>
      <c r="Q7" s="450">
        <f t="shared" si="0"/>
        <v>4919.5830755385759</v>
      </c>
    </row>
    <row r="8" spans="1:17">
      <c r="A8" s="450" t="s">
        <v>637</v>
      </c>
      <c r="B8" s="451">
        <f>industrie!B18</f>
        <v>1438.8806128849999</v>
      </c>
      <c r="C8" s="451">
        <f>industrie!C18</f>
        <v>0</v>
      </c>
      <c r="D8" s="451">
        <f>industrie!D18</f>
        <v>398.98078899272002</v>
      </c>
      <c r="E8" s="451">
        <f>industrie!E18</f>
        <v>165.02661831759377</v>
      </c>
      <c r="F8" s="451">
        <f>industrie!F18</f>
        <v>604.10035914016748</v>
      </c>
      <c r="G8" s="451">
        <f>industrie!G18</f>
        <v>0</v>
      </c>
      <c r="H8" s="451">
        <f>industrie!H18</f>
        <v>0</v>
      </c>
      <c r="I8" s="451">
        <f>industrie!I18</f>
        <v>0</v>
      </c>
      <c r="J8" s="451">
        <f>industrie!J18</f>
        <v>7.7420351741595912</v>
      </c>
      <c r="K8" s="451">
        <f>industrie!K18</f>
        <v>0</v>
      </c>
      <c r="L8" s="451">
        <f>industrie!L18</f>
        <v>0</v>
      </c>
      <c r="M8" s="451">
        <f>industrie!M18</f>
        <v>0</v>
      </c>
      <c r="N8" s="451">
        <f>industrie!N18</f>
        <v>133.82378813450441</v>
      </c>
      <c r="O8" s="451">
        <f>industrie!O18</f>
        <v>0</v>
      </c>
      <c r="P8" s="452">
        <f>industrie!P18</f>
        <v>0</v>
      </c>
      <c r="Q8" s="450">
        <f t="shared" si="0"/>
        <v>2748.5542026441453</v>
      </c>
    </row>
    <row r="9" spans="1:17" s="456" customFormat="1">
      <c r="A9" s="454" t="s">
        <v>563</v>
      </c>
      <c r="B9" s="455">
        <f>transport!B14</f>
        <v>14.179864177783333</v>
      </c>
      <c r="C9" s="455">
        <f>transport!C14</f>
        <v>0</v>
      </c>
      <c r="D9" s="455">
        <f>transport!D14</f>
        <v>29.441959755150233</v>
      </c>
      <c r="E9" s="455">
        <f>transport!E14</f>
        <v>130.83940384354898</v>
      </c>
      <c r="F9" s="455">
        <f>transport!F14</f>
        <v>0</v>
      </c>
      <c r="G9" s="455">
        <f>transport!G14</f>
        <v>48145.771184492311</v>
      </c>
      <c r="H9" s="455">
        <f>transport!H14</f>
        <v>10017.911009005467</v>
      </c>
      <c r="I9" s="455">
        <f>transport!I14</f>
        <v>0</v>
      </c>
      <c r="J9" s="455">
        <f>transport!J14</f>
        <v>0</v>
      </c>
      <c r="K9" s="455">
        <f>transport!K14</f>
        <v>0</v>
      </c>
      <c r="L9" s="455">
        <f>transport!L14</f>
        <v>0</v>
      </c>
      <c r="M9" s="455">
        <f>transport!M14</f>
        <v>1814.9013607565892</v>
      </c>
      <c r="N9" s="455">
        <f>transport!N14</f>
        <v>0</v>
      </c>
      <c r="O9" s="455">
        <f>transport!O14</f>
        <v>0</v>
      </c>
      <c r="P9" s="455">
        <f>transport!P14</f>
        <v>0</v>
      </c>
      <c r="Q9" s="454">
        <f>SUM(B9:P9)</f>
        <v>60153.044782030847</v>
      </c>
    </row>
    <row r="10" spans="1:17">
      <c r="A10" s="450" t="s">
        <v>553</v>
      </c>
      <c r="B10" s="451">
        <f>transport!B54</f>
        <v>0</v>
      </c>
      <c r="C10" s="451">
        <f>transport!C54</f>
        <v>0</v>
      </c>
      <c r="D10" s="451">
        <f>transport!D54</f>
        <v>0</v>
      </c>
      <c r="E10" s="451">
        <f>transport!E54</f>
        <v>0</v>
      </c>
      <c r="F10" s="451">
        <f>transport!F54</f>
        <v>0</v>
      </c>
      <c r="G10" s="451">
        <f>transport!G54</f>
        <v>748.2979456988445</v>
      </c>
      <c r="H10" s="451">
        <f>transport!H54</f>
        <v>0</v>
      </c>
      <c r="I10" s="451">
        <f>transport!I54</f>
        <v>0</v>
      </c>
      <c r="J10" s="451">
        <f>transport!J54</f>
        <v>0</v>
      </c>
      <c r="K10" s="451">
        <f>transport!K54</f>
        <v>0</v>
      </c>
      <c r="L10" s="451">
        <f>transport!L54</f>
        <v>0</v>
      </c>
      <c r="M10" s="451">
        <f>transport!M54</f>
        <v>23.181227997455238</v>
      </c>
      <c r="N10" s="451">
        <f>transport!N54</f>
        <v>0</v>
      </c>
      <c r="O10" s="451">
        <f>transport!O54</f>
        <v>0</v>
      </c>
      <c r="P10" s="452">
        <f>transport!P54</f>
        <v>0</v>
      </c>
      <c r="Q10" s="450">
        <f t="shared" si="0"/>
        <v>771.47917369629977</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446.80011861000003</v>
      </c>
      <c r="C14" s="458"/>
      <c r="D14" s="458">
        <f>'SEAP template'!E25</f>
        <v>228.82498569999998</v>
      </c>
      <c r="E14" s="458"/>
      <c r="F14" s="458"/>
      <c r="G14" s="458"/>
      <c r="H14" s="458"/>
      <c r="I14" s="458"/>
      <c r="J14" s="458"/>
      <c r="K14" s="458"/>
      <c r="L14" s="458"/>
      <c r="M14" s="458"/>
      <c r="N14" s="458"/>
      <c r="O14" s="458"/>
      <c r="P14" s="459"/>
      <c r="Q14" s="450">
        <f t="shared" si="0"/>
        <v>675.62510430999998</v>
      </c>
    </row>
    <row r="15" spans="1:17" s="460" customFormat="1">
      <c r="A15" s="1004" t="s">
        <v>557</v>
      </c>
      <c r="B15" s="944">
        <f ca="1">SUM(B4:B14)</f>
        <v>25714.624315489498</v>
      </c>
      <c r="C15" s="944">
        <f t="shared" ref="C15:Q15" ca="1" si="1">SUM(C4:C14)</f>
        <v>0</v>
      </c>
      <c r="D15" s="944">
        <f t="shared" ca="1" si="1"/>
        <v>20165.627802570711</v>
      </c>
      <c r="E15" s="944">
        <f t="shared" si="1"/>
        <v>14771.169687487805</v>
      </c>
      <c r="F15" s="944">
        <f t="shared" ca="1" si="1"/>
        <v>27296.940116827725</v>
      </c>
      <c r="G15" s="944">
        <f t="shared" si="1"/>
        <v>48894.069130191157</v>
      </c>
      <c r="H15" s="944">
        <f t="shared" si="1"/>
        <v>10017.911009005467</v>
      </c>
      <c r="I15" s="944">
        <f t="shared" si="1"/>
        <v>0</v>
      </c>
      <c r="J15" s="944">
        <f t="shared" si="1"/>
        <v>3017.6230035797903</v>
      </c>
      <c r="K15" s="944">
        <f t="shared" si="1"/>
        <v>0</v>
      </c>
      <c r="L15" s="944">
        <f t="shared" ca="1" si="1"/>
        <v>0</v>
      </c>
      <c r="M15" s="944">
        <f t="shared" si="1"/>
        <v>1838.0825887540443</v>
      </c>
      <c r="N15" s="944">
        <f t="shared" ca="1" si="1"/>
        <v>9198.2821720229385</v>
      </c>
      <c r="O15" s="944">
        <f t="shared" si="1"/>
        <v>200.10666666666665</v>
      </c>
      <c r="P15" s="944">
        <f t="shared" si="1"/>
        <v>724.5333333333333</v>
      </c>
      <c r="Q15" s="944">
        <f t="shared" ca="1" si="1"/>
        <v>161838.96982592915</v>
      </c>
    </row>
    <row r="17" spans="1:17">
      <c r="A17" s="461" t="s">
        <v>558</v>
      </c>
      <c r="B17" s="760">
        <f ca="1">huishoudens!B10</f>
        <v>0.19991889783777619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3143.3182365095995</v>
      </c>
      <c r="C22" s="451">
        <f t="shared" ref="C22:C32" ca="1" si="3">C4*$C$17</f>
        <v>0</v>
      </c>
      <c r="D22" s="451">
        <f t="shared" ref="D22:D32" si="4">D4*$D$17</f>
        <v>3070.714029562389</v>
      </c>
      <c r="E22" s="451">
        <f t="shared" ref="E22:E32" si="5">E4*$E$17</f>
        <v>3256.74607655203</v>
      </c>
      <c r="F22" s="451">
        <f t="shared" ref="F22:F32" si="6">F4*$F$17</f>
        <v>5741.8111645740491</v>
      </c>
      <c r="G22" s="451">
        <f t="shared" ref="G22:G32" si="7">G4*$G$17</f>
        <v>0</v>
      </c>
      <c r="H22" s="451">
        <f t="shared" ref="H22:H32" si="8">H4*$H$17</f>
        <v>0</v>
      </c>
      <c r="I22" s="451">
        <f t="shared" ref="I22:I32" si="9">I4*$I$17</f>
        <v>0</v>
      </c>
      <c r="J22" s="451">
        <f t="shared" ref="J22:J32" si="10">J4*$J$17</f>
        <v>1015.2580700924868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16227.847577290553</v>
      </c>
    </row>
    <row r="23" spans="1:17">
      <c r="A23" s="450" t="s">
        <v>155</v>
      </c>
      <c r="B23" s="451">
        <f t="shared" ca="1" si="2"/>
        <v>1282.0241343592897</v>
      </c>
      <c r="C23" s="451">
        <f t="shared" ca="1" si="3"/>
        <v>0</v>
      </c>
      <c r="D23" s="451">
        <f t="shared" ca="1" si="4"/>
        <v>837.03030914770511</v>
      </c>
      <c r="E23" s="451">
        <f t="shared" si="5"/>
        <v>23.377459945627798</v>
      </c>
      <c r="F23" s="451">
        <f t="shared" ca="1" si="6"/>
        <v>423.09011858289836</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2565.5220220355213</v>
      </c>
    </row>
    <row r="24" spans="1:17">
      <c r="A24" s="450" t="s">
        <v>193</v>
      </c>
      <c r="B24" s="451">
        <f t="shared" ca="1" si="2"/>
        <v>138.59697462840376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138.59697462840376</v>
      </c>
    </row>
    <row r="25" spans="1:17">
      <c r="A25" s="450" t="s">
        <v>111</v>
      </c>
      <c r="B25" s="451">
        <f t="shared" ca="1" si="2"/>
        <v>197.08196963552351</v>
      </c>
      <c r="C25" s="451">
        <f t="shared" ca="1" si="3"/>
        <v>0</v>
      </c>
      <c r="D25" s="451">
        <f t="shared" si="4"/>
        <v>32.948435050719851</v>
      </c>
      <c r="E25" s="451">
        <f t="shared" si="5"/>
        <v>5.7703955314948763</v>
      </c>
      <c r="F25" s="451">
        <f t="shared" si="6"/>
        <v>962.08693214563039</v>
      </c>
      <c r="G25" s="451">
        <f t="shared" si="7"/>
        <v>0</v>
      </c>
      <c r="H25" s="451">
        <f t="shared" si="8"/>
        <v>0</v>
      </c>
      <c r="I25" s="451">
        <f t="shared" si="9"/>
        <v>0</v>
      </c>
      <c r="J25" s="451">
        <f t="shared" si="10"/>
        <v>50.239792723106355</v>
      </c>
      <c r="K25" s="451">
        <f t="shared" si="11"/>
        <v>0</v>
      </c>
      <c r="L25" s="451">
        <f t="shared" si="12"/>
        <v>0</v>
      </c>
      <c r="M25" s="451">
        <f t="shared" si="13"/>
        <v>0</v>
      </c>
      <c r="N25" s="451">
        <f t="shared" si="14"/>
        <v>0</v>
      </c>
      <c r="O25" s="451">
        <f t="shared" si="15"/>
        <v>0</v>
      </c>
      <c r="P25" s="452">
        <f t="shared" si="16"/>
        <v>0</v>
      </c>
      <c r="Q25" s="450">
        <f t="shared" ca="1" si="17"/>
        <v>1248.1275250864749</v>
      </c>
    </row>
    <row r="26" spans="1:17">
      <c r="A26" s="450" t="s">
        <v>637</v>
      </c>
      <c r="B26" s="451">
        <f t="shared" ca="1" si="2"/>
        <v>287.65942624811311</v>
      </c>
      <c r="C26" s="451">
        <f t="shared" ca="1" si="3"/>
        <v>0</v>
      </c>
      <c r="D26" s="451">
        <f t="shared" si="4"/>
        <v>80.594119376529449</v>
      </c>
      <c r="E26" s="451">
        <f t="shared" si="5"/>
        <v>37.461042358093785</v>
      </c>
      <c r="F26" s="451">
        <f t="shared" si="6"/>
        <v>161.29479589042472</v>
      </c>
      <c r="G26" s="451">
        <f t="shared" si="7"/>
        <v>0</v>
      </c>
      <c r="H26" s="451">
        <f t="shared" si="8"/>
        <v>0</v>
      </c>
      <c r="I26" s="451">
        <f t="shared" si="9"/>
        <v>0</v>
      </c>
      <c r="J26" s="451">
        <f t="shared" si="10"/>
        <v>2.7406804516524952</v>
      </c>
      <c r="K26" s="451">
        <f t="shared" si="11"/>
        <v>0</v>
      </c>
      <c r="L26" s="451">
        <f t="shared" si="12"/>
        <v>0</v>
      </c>
      <c r="M26" s="451">
        <f t="shared" si="13"/>
        <v>0</v>
      </c>
      <c r="N26" s="451">
        <f t="shared" si="14"/>
        <v>0</v>
      </c>
      <c r="O26" s="451">
        <f t="shared" si="15"/>
        <v>0</v>
      </c>
      <c r="P26" s="452">
        <f t="shared" si="16"/>
        <v>0</v>
      </c>
      <c r="Q26" s="450">
        <f t="shared" ca="1" si="17"/>
        <v>569.75006432481359</v>
      </c>
    </row>
    <row r="27" spans="1:17" s="456" customFormat="1">
      <c r="A27" s="454" t="s">
        <v>563</v>
      </c>
      <c r="B27" s="754">
        <f t="shared" ca="1" si="2"/>
        <v>2.8348228179118085</v>
      </c>
      <c r="C27" s="455">
        <f t="shared" ca="1" si="3"/>
        <v>0</v>
      </c>
      <c r="D27" s="455">
        <f t="shared" si="4"/>
        <v>5.9472758705403477</v>
      </c>
      <c r="E27" s="455">
        <f t="shared" si="5"/>
        <v>29.70054467248562</v>
      </c>
      <c r="F27" s="455">
        <f t="shared" si="6"/>
        <v>0</v>
      </c>
      <c r="G27" s="455">
        <f t="shared" si="7"/>
        <v>12854.920906259447</v>
      </c>
      <c r="H27" s="455">
        <f t="shared" si="8"/>
        <v>2494.4598412423616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15387.863390862747</v>
      </c>
    </row>
    <row r="28" spans="1:17">
      <c r="A28" s="450" t="s">
        <v>553</v>
      </c>
      <c r="B28" s="451">
        <f t="shared" ca="1" si="2"/>
        <v>0</v>
      </c>
      <c r="C28" s="451">
        <f t="shared" ca="1" si="3"/>
        <v>0</v>
      </c>
      <c r="D28" s="451">
        <f t="shared" si="4"/>
        <v>0</v>
      </c>
      <c r="E28" s="451">
        <f t="shared" si="5"/>
        <v>0</v>
      </c>
      <c r="F28" s="451">
        <f t="shared" si="6"/>
        <v>0</v>
      </c>
      <c r="G28" s="451">
        <f t="shared" si="7"/>
        <v>199.79555150159149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199.79555150159149</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89.323787266298879</v>
      </c>
      <c r="C32" s="451">
        <f t="shared" ca="1" si="3"/>
        <v>0</v>
      </c>
      <c r="D32" s="451">
        <f t="shared" si="4"/>
        <v>46.222647111400001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135.54643437769889</v>
      </c>
    </row>
    <row r="33" spans="1:17" s="460" customFormat="1">
      <c r="A33" s="1004" t="s">
        <v>557</v>
      </c>
      <c r="B33" s="944">
        <f ca="1">SUM(B22:B32)</f>
        <v>5140.8393514651407</v>
      </c>
      <c r="C33" s="944">
        <f t="shared" ref="C33:Q33" ca="1" si="18">SUM(C22:C32)</f>
        <v>0</v>
      </c>
      <c r="D33" s="944">
        <f t="shared" ca="1" si="18"/>
        <v>4073.4568161192833</v>
      </c>
      <c r="E33" s="944">
        <f t="shared" si="18"/>
        <v>3353.0555190597324</v>
      </c>
      <c r="F33" s="944">
        <f t="shared" ca="1" si="18"/>
        <v>7288.2830111930025</v>
      </c>
      <c r="G33" s="944">
        <f t="shared" si="18"/>
        <v>13054.716457761038</v>
      </c>
      <c r="H33" s="944">
        <f t="shared" si="18"/>
        <v>2494.4598412423616</v>
      </c>
      <c r="I33" s="944">
        <f t="shared" si="18"/>
        <v>0</v>
      </c>
      <c r="J33" s="944">
        <f t="shared" si="18"/>
        <v>1068.2385432672456</v>
      </c>
      <c r="K33" s="944">
        <f t="shared" si="18"/>
        <v>0</v>
      </c>
      <c r="L33" s="944">
        <f t="shared" ca="1" si="18"/>
        <v>0</v>
      </c>
      <c r="M33" s="944">
        <f t="shared" si="18"/>
        <v>0</v>
      </c>
      <c r="N33" s="944">
        <f t="shared" ca="1" si="18"/>
        <v>0</v>
      </c>
      <c r="O33" s="944">
        <f t="shared" si="18"/>
        <v>0</v>
      </c>
      <c r="P33" s="944">
        <f t="shared" si="18"/>
        <v>0</v>
      </c>
      <c r="Q33" s="944">
        <f t="shared" ca="1" si="18"/>
        <v>36473.049540107801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19.408284023668639</v>
      </c>
      <c r="C5" s="1021"/>
      <c r="D5" s="1021"/>
      <c r="E5" s="1021"/>
      <c r="F5" s="1021"/>
      <c r="G5" s="1021"/>
      <c r="H5" s="1021"/>
      <c r="I5" s="1021"/>
      <c r="J5" s="1021"/>
      <c r="K5" s="1021"/>
      <c r="L5" s="1021"/>
      <c r="M5" s="1021"/>
      <c r="N5" s="1021"/>
      <c r="O5" s="1021"/>
      <c r="P5" s="1022">
        <f>'SEAP template'!Q73</f>
        <v>0</v>
      </c>
    </row>
    <row r="6" spans="1:16">
      <c r="A6" s="1023" t="s">
        <v>250</v>
      </c>
      <c r="B6" s="1021">
        <f>'SEAP template'!B74</f>
        <v>2163.4995089991303</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270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771.42857142857144</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2452.9077930227991</v>
      </c>
      <c r="C10" s="1025">
        <f>SUM(C4:C9)</f>
        <v>0</v>
      </c>
      <c r="D10" s="1025">
        <f t="shared" ref="D10:H10" si="0">SUM(D8:D9)</f>
        <v>0</v>
      </c>
      <c r="E10" s="1025">
        <f t="shared" si="0"/>
        <v>0</v>
      </c>
      <c r="F10" s="1025">
        <f t="shared" si="0"/>
        <v>0</v>
      </c>
      <c r="G10" s="1025">
        <f t="shared" si="0"/>
        <v>0</v>
      </c>
      <c r="H10" s="1025">
        <f t="shared" si="0"/>
        <v>0</v>
      </c>
      <c r="I10" s="1025">
        <f>SUM(I8:I9)</f>
        <v>0</v>
      </c>
      <c r="J10" s="1025">
        <f>SUM(J8:J9)</f>
        <v>771.42857142857144</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0.19991889783777619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0.19991889783777619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2020-06-20T15:58:58Z</dcterms:modified>
</cp:coreProperties>
</file>