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G49" i="18"/>
  <c r="I17" i="18" s="1"/>
  <c r="D49" i="18"/>
  <c r="B48" i="18"/>
  <c r="C8" i="18" s="1"/>
  <c r="D76" i="14" s="1"/>
  <c r="D8" i="59" s="1"/>
  <c r="D10" i="59" s="1"/>
  <c r="F49" i="18"/>
  <c r="C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H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Q11" i="14"/>
  <c r="P4" i="48"/>
  <c r="P22" i="48" s="1"/>
  <c r="J15" i="16"/>
  <c r="C24" i="14"/>
  <c r="C26" i="14" s="1"/>
  <c r="B7" i="48"/>
  <c r="C11" i="14"/>
  <c r="B4" i="48"/>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J20" i="15"/>
  <c r="K40" i="14" s="1"/>
  <c r="O15" i="48"/>
  <c r="F10" i="14"/>
  <c r="E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F13" i="14"/>
  <c r="F16" i="14" s="1"/>
  <c r="F27" i="14" s="1"/>
  <c r="E22" i="16"/>
  <c r="F43" i="14" s="1"/>
  <c r="F46" i="14" s="1"/>
  <c r="F61" i="14" s="1"/>
  <c r="F63" i="14" s="1"/>
  <c r="G33" i="48"/>
  <c r="E23" i="48"/>
  <c r="E33" i="48" s="1"/>
  <c r="N8" i="48"/>
  <c r="N26" i="48" s="1"/>
  <c r="O13" i="14"/>
  <c r="N22" i="16"/>
  <c r="O43" i="14" s="1"/>
  <c r="G13" i="14"/>
  <c r="F8" i="48"/>
  <c r="J26" i="48" l="1"/>
  <c r="J33" i="48" s="1"/>
  <c r="J15" i="48"/>
  <c r="E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<sst xmlns="http://schemas.openxmlformats.org/spreadsheetml/2006/main" count="2407" uniqueCount="896">
  <si>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</si>
  <si>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</si>
  <si>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</si>
  <si>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</si>
  <si>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</si>
  <si>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</si>
  <si>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</si>
  <si>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</si>
  <si>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</si>
  <si>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</si>
  <si>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</si>
  <si>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</si>
  <si>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</si>
  <si>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</si>
  <si>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</si>
  <si>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</si>
  <si>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</si>
  <si>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</si>
  <si>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</si>
  <si>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</si>
  <si>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</si>
  <si>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</si>
  <si>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</si>
  <si>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</si>
  <si>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</si>
  <si>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</si>
  <si>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</si>
  <si>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</si>
  <si>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</si>
  <si>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</si>
  <si>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</si>
  <si>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</si>
  <si>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</si>
  <si>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</si>
  <si>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</si>
  <si>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</si>
  <si>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</si>
  <si>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</si>
  <si>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</si>
  <si>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</si>
  <si>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</si>
  <si>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</si>
  <si>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</si>
  <si>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</si>
  <si>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</si>
  <si>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</si>
  <si>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</si>
  <si>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</si>
  <si>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</si>
  <si>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</si>
  <si>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</si>
  <si>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</si>
  <si>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</si>
  <si>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</si>
  <si>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</si>
  <si>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</si>
  <si>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</si>
  <si>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</si>
  <si>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</si>
  <si>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</si>
  <si>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</si>
  <si>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</si>
  <si>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</si>
  <si>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</si>
  <si>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</si>
  <si>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</si>
  <si>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</si>
  <si>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</si>
  <si>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</si>
  <si>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</si>
  <si>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</si>
  <si>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</si>
  <si>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</si>
  <si>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</si>
  <si>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</si>
  <si>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</si>
  <si>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</si>
  <si>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</si>
  <si>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</si>
  <si>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</si>
  <si>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</si>
  <si>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</si>
  <si>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</si>
  <si>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</si>
  <si>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</si>
  <si>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</si>
  <si>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</si>
  <si>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</si>
  <si>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</si>
  <si>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</si>
  <si>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</si>
  <si>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</si>
  <si>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</si>
  <si>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</si>
  <si>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</si>
  <si>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</si>
  <si>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</si>
  <si>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</si>
  <si>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</si>
  <si>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</si>
  <si>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</si>
  <si>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</si>
  <si>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</si>
  <si>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</si>
  <si>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</si>
  <si>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</si>
  <si>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</si>
  <si>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</si>
  <si>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</si>
  <si>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</si>
  <si>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</si>
  <si>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</si>
  <si>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</si>
  <si>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</si>
  <si>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</si>
  <si>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</si>
  <si>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</si>
  <si>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</si>
  <si>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</si>
  <si>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</si>
  <si>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</si>
  <si>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</si>
  <si>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</si>
  <si>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</si>
  <si>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</si>
  <si>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</si>
  <si>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</si>
  <si>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</si>
  <si>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</si>
  <si>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</si>
  <si>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</si>
  <si>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</si>
  <si>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</si>
  <si>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</si>
  <si>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</si>
  <si>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</si>
  <si>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</si>
  <si>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</si>
  <si>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</si>
  <si>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</si>
  <si>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</si>
  <si>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</si>
  <si>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</si>
  <si>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</si>
  <si>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</si>
  <si>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</si>
  <si>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</si>
  <si>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</si>
  <si>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</si>
  <si>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</si>
  <si>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</si>
  <si>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</si>
  <si>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</si>
  <si>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</si>
  <si>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</si>
  <si>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</si>
  <si>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</si>
  <si>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</si>
  <si>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</si>
  <si>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</si>
  <si>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</si>
  <si>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</si>
  <si>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</si>
  <si>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</si>
  <si>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</si>
  <si>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</si>
  <si>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</si>
  <si>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</si>
  <si>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</si>
  <si>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</si>
  <si>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</si>
  <si>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</si>
  <si>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</si>
  <si>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</si>
  <si>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</si>
  <si>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</si>
  <si>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</si>
  <si>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</si>
  <si>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</si>
  <si>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</si>
  <si>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</si>
  <si>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</si>
  <si>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</si>
  <si>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</si>
  <si>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</si>
  <si>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</si>
  <si>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</si>
  <si>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</si>
  <si>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</si>
  <si>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</si>
  <si>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</si>
  <si>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</si>
  <si>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</si>
  <si>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</si>
  <si>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</si>
  <si>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</si>
  <si>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</si>
  <si>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</si>
  <si>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</si>
  <si>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</si>
  <si>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</si>
  <si>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</si>
  <si>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</si>
  <si>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</si>
  <si>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</si>
  <si>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</si>
  <si>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</si>
  <si>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</si>
  <si>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</si>
  <si>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</si>
  <si>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</si>
  <si>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</si>
  <si>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</si>
  <si>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</si>
  <si>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</si>
  <si>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</si>
  <si>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</si>
  <si>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</si>
  <si>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</si>
  <si>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</si>
  <si>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</si>
  <si>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</si>
  <si>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</si>
  <si>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</si>
  <si>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</si>
  <si>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</si>
  <si>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</si>
  <si>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</si>
  <si>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</si>
  <si>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</si>
  <si>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</si>
  <si>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</si>
  <si>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</si>
  <si>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</si>
  <si>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</si>
  <si>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</si>
  <si>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</si>
  <si>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</si>
  <si>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</si>
  <si>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</si>
  <si>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</si>
  <si>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</si>
  <si>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</si>
  <si>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</si>
  <si>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</si>
  <si>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</si>
  <si>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</si>
  <si>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</si>
  <si>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</si>
  <si>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</si>
  <si>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</si>
  <si>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</si>
  <si>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</si>
  <si>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</si>
  <si>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</si>
  <si>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</si>
  <si>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</si>
  <si>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</si>
  <si>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</si>
  <si>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</si>
  <si>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</si>
  <si>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</si>
  <si>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</si>
  <si>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</si>
  <si>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</si>
  <si>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</si>
  <si>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</si>
  <si>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</si>
  <si>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</si>
  <si>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</si>
  <si>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</si>
  <si>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</si>
  <si>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</si>
  <si>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</si>
  <si>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</si>
  <si>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</si>
  <si>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</si>
  <si>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</si>
  <si>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</si>
  <si>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</si>
  <si>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</si>
  <si>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</si>
  <si>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</si>
  <si>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</si>
  <si>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</si>
  <si>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</si>
  <si>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</si>
  <si>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</si>
  <si>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</si>
  <si>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</si>
  <si>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</si>
  <si>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</si>
  <si>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</si>
  <si>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</si>
  <si>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</si>
  <si>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</si>
  <si>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</si>
  <si>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</si>
  <si>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</si>
  <si>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</si>
  <si>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</si>
  <si>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</si>
  <si>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</si>
  <si>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</si>
  <si>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</si>
  <si>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</si>
  <si>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</si>
  <si>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</si>
  <si>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</si>
  <si>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</si>
  <si>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</si>
  <si>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</si>
  <si>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</si>
  <si>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</si>
  <si>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</si>
  <si>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</si>
  <si>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</si>
  <si>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</si>
  <si>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</si>
  <si>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</si>
  <si>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</si>
  <si>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</si>
  <si>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</si>
  <si>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</si>
  <si>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</si>
  <si>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</si>
  <si>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</si>
  <si>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</si>
  <si>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</si>
  <si>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</si>
  <si>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</si>
  <si>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</si>
  <si>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</si>
  <si>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</si>
  <si>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</si>
  <si>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</si>
  <si>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</si>
  <si>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</si>
  <si>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</si>
  <si>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</si>
  <si>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</si>
  <si>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</si>
  <si>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</si>
  <si>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</si>
  <si>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</si>
  <si>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</si>
  <si>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</si>
  <si>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</si>
  <si>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</si>
  <si>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</si>
  <si>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</si>
  <si>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</si>
  <si>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</si>
  <si>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</si>
  <si>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</si>
  <si>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</si>
  <si>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</si>
  <si>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</si>
  <si>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</si>
  <si>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</si>
  <si>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</si>
  <si>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</si>
  <si>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</si>
  <si>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</si>
  <si>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</si>
  <si>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</si>
  <si>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</si>
  <si>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</si>
  <si>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</si>
  <si>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</si>
  <si>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</si>
  <si>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</si>
  <si>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</si>
  <si>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</si>
  <si>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</si>
  <si>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</si>
  <si>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</si>
  <si>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</si>
  <si>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</si>
  <si>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</si>
  <si>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</si>
  <si>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</si>
  <si>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</si>
  <si>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</si>
  <si>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</si>
  <si>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</si>
  <si>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</si>
  <si>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</si>
  <si>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</si>
  <si>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</si>
  <si>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</si>
  <si>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</si>
  <si>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</si>
  <si>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</si>
  <si>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</si>
  <si>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</si>
  <si>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</si>
  <si>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</si>
  <si>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</si>
  <si>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</si>
  <si>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</si>
  <si>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</si>
  <si>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</si>
  <si>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</si>
  <si>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</si>
  <si>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</si>
  <si>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</si>
  <si>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</si>
  <si>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</si>
  <si>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</si>
  <si>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</si>
  <si>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</si>
  <si>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</si>
  <si>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</si>
  <si>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</si>
  <si>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</si>
  <si>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</si>
  <si>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</si>
  <si>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</si>
  <si>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</si>
  <si>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</si>
  <si>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</si>
  <si>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</si>
  <si>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</si>
  <si>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</si>
  <si>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</si>
  <si>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</si>
  <si>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</si>
  <si>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</si>
  <si>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</si>
  <si>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</si>
  <si>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</si>
  <si>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</si>
  <si>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</si>
  <si>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</si>
  <si>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</si>
  <si>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</si>
  <si>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</si>
  <si>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</si>
  <si>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</si>
  <si>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</si>
  <si>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</si>
  <si>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</si>
  <si>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</si>
  <si>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</si>
  <si>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</si>
  <si>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</si>
  <si>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</si>
  <si>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</si>
  <si>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</si>
  <si>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</si>
  <si>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</si>
  <si>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</si>
  <si>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</si>
  <si>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</si>
  <si>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</si>
  <si>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</si>
  <si>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</si>
  <si>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</si>
  <si>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</si>
  <si>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</si>
  <si>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</si>
  <si>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</si>
  <si>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</si>
  <si>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</si>
  <si>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</si>
  <si>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</si>
  <si>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</si>
  <si>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</si>
  <si>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</si>
  <si>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</si>
  <si>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</si>
  <si>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</si>
  <si>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</si>
  <si>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</si>
  <si>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</si>
  <si>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</si>
  <si>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</si>
  <si>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</si>
  <si>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</si>
  <si>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</si>
  <si>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</si>
  <si>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</si>
  <si>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</si>
  <si>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</si>
  <si>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</si>
  <si>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</si>
  <si>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</si>
  <si>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</si>
  <si>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</si>
  <si>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</si>
  <si>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</si>
  <si>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</si>
  <si>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</si>
  <si>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</si>
  <si>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</si>
  <si>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</si>
  <si>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</si>
  <si>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</si>
  <si>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</si>
  <si>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</si>
  <si>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</si>
  <si>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</si>
  <si>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</si>
  <si>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</si>
  <si>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</si>
  <si>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</si>
  <si>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</si>
  <si>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</si>
  <si>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</si>
  <si>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</si>
  <si>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</si>
  <si>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</si>
  <si>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</si>
  <si>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</si>
  <si>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</si>
  <si>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</si>
  <si>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</si>
  <si>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</si>
  <si>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</si>
  <si>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</si>
  <si>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</si>
  <si>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</si>
  <si>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</si>
  <si>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</si>
  <si>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</si>
  <si>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</si>
  <si>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</si>
  <si>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</si>
  <si>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</si>
  <si>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</si>
  <si>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</si>
  <si>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</si>
  <si>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</si>
  <si>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</si>
  <si>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</si>
  <si>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</si>
  <si>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</si>
  <si>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</si>
  <si>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</si>
  <si>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</si>
  <si>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</si>
  <si>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</si>
  <si>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</si>
  <si>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</si>
  <si>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</si>
  <si>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</si>
  <si>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</si>
  <si>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</si>
  <si>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</si>
  <si>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</si>
  <si>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</si>
  <si>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</si>
  <si>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</si>
  <si>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</si>
  <si>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</si>
  <si>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</si>
  <si>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</si>
  <si>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</si>
  <si>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</si>
  <si>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</si>
  <si>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</si>
  <si>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</si>
  <si>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</si>
  <si>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</si>
  <si>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</si>
  <si>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</si>
  <si>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</si>
  <si>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</si>
  <si>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</si>
  <si>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</si>
  <si>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</si>
  <si>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</si>
  <si>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</si>
  <si>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</si>
  <si>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</si>
  <si>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</si>
  <si>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</si>
  <si>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</si>
  <si>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</si>
  <si>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</si>
  <si>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</si>
  <si>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</si>
  <si>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</si>
  <si>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</si>
  <si>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</si>
  <si>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</si>
  <si>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</si>
  <si>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</si>
  <si>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</si>
  <si>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</si>
  <si>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</si>
  <si>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</si>
  <si>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</si>
  <si>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</si>
  <si>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</si>
  <si>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</si>
  <si>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</si>
  <si>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</si>
  <si>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</si>
  <si>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</si>
  <si>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</si>
  <si>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</si>
  <si>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</si>
  <si>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</si>
  <si>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</si>
  <si>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</si>
  <si>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</si>
  <si>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</si>
  <si>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</si>
  <si>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</si>
  <si>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</si>
  <si>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</si>
  <si>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</si>
  <si>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</si>
  <si>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</si>
  <si>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</si>
  <si>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</si>
  <si>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</si>
  <si>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</si>
  <si>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</si>
  <si>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</si>
  <si>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</si>
  <si>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</si>
  <si>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</si>
  <si>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</si>
  <si>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</si>
  <si>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</si>
  <si>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</si>
  <si>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</si>
  <si>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</si>
  <si>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</si>
  <si>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</si>
  <si>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</si>
  <si>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</si>
  <si>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</si>
  <si>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</si>
  <si>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</si>
  <si>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</si>
  <si>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</si>
  <si>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</si>
  <si>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</si>
  <si>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</si>
  <si>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</si>
  <si>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</si>
  <si>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</si>
  <si>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</si>
  <si>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</si>
  <si>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</si>
  <si>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</si>
  <si>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</si>
  <si>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</si>
  <si>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</si>
  <si>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</si>
  <si>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</si>
  <si>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</si>
  <si>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</si>
  <si>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</si>
  <si>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</si>
  <si>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</si>
  <si>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</si>
  <si>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</si>
  <si>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</si>
  <si>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</si>
  <si>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</si>
  <si>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</si>
  <si>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</si>
  <si>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</si>
  <si>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</si>
  <si>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</si>
  <si>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</si>
  <si>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</si>
  <si>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</si>
  <si>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</si>
  <si>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</si>
  <si>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</si>
  <si>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</si>
  <si>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</si>
  <si>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</si>
  <si>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</si>
  <si>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</si>
  <si>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</si>
  <si>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</si>
  <si>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</si>
  <si>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</si>
  <si>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</si>
  <si>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</si>
  <si>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</si>
  <si>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</si>
  <si>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</si>
  <si>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</si>
  <si>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</si>
  <si>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</si>
  <si>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</si>
  <si>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</si>
  <si>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</si>
  <si>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</si>
  <si>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</si>
  <si>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</si>
  <si>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</si>
  <si>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</si>
  <si>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</si>
  <si>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</si>
  <si>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</si>
  <si>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</si>
  <si>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</si>
  <si>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</si>
  <si>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</si>
  <si>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</si>
  <si>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</si>
  <si>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</si>
  <si>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</si>
  <si>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</si>
  <si>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</si>
  <si>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</si>
  <si>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</si>
  <si>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</si>
  <si>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</si>
  <si>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</si>
  <si>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</si>
  <si>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</si>
  <si>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</si>
  <si>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</si>
  <si>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</si>
  <si>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</si>
  <si>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</si>
  <si>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</si>
  <si>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</si>
  <si>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</si>
  <si>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</si>
  <si>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</si>
  <si>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</si>
  <si>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</si>
  <si>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</si>
  <si>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</si>
  <si>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</si>
  <si>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</si>
  <si>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</si>
  <si>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</si>
  <si>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</si>
  <si>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</si>
  <si>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</si>
  <si>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</si>
  <si>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</si>
  <si>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</si>
  <si>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</si>
  <si>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</si>
  <si>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</si>
  <si>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</si>
  <si>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</si>
  <si>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</si>
  <si>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</si>
  <si>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</si>
  <si>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</si>
  <si>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</si>
  <si>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</si>
  <si>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</si>
  <si>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</si>
  <si>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</si>
  <si>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</si>
  <si>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</si>
  <si>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</si>
  <si>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</si>
  <si>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</si>
  <si>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</si>
  <si>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</si>
  <si>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</si>
  <si>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</si>
  <si>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</si>
  <si>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</si>
  <si>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</si>
  <si>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</si>
  <si>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</si>
  <si>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</si>
  <si>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</si>
  <si>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</si>
  <si>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</si>
  <si>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</si>
  <si>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</si>
  <si>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</si>
  <si>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</si>
  <si>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</si>
  <si>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</si>
  <si>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</si>
  <si>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</si>
  <si>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</si>
  <si>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</si>
  <si>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</si>
  <si>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</si>
  <si>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</si>
  <si>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</si>
  <si>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</si>
  <si>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</si>
  <si>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</si>
  <si>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</si>
  <si>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</si>
  <si>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</si>
  <si>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</si>
  <si>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</si>
  <si>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</si>
  <si>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</si>
  <si>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</si>
  <si>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</si>
  <si>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</si>
  <si>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</si>
  <si>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</si>
  <si>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</si>
  <si>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</si>
  <si>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</si>
  <si>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</si>
  <si>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</si>
  <si>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</si>
  <si>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</si>
  <si>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</si>
  <si>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</si>
  <si>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</si>
  <si>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</si>
  <si>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</si>
  <si>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</si>
  <si>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</si>
  <si>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</si>
  <si>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</si>
  <si>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</si>
  <si>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</si>
  <si>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</si>
  <si>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</si>
  <si>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</si>
  <si>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</si>
  <si>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</si>
  <si>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</si>
  <si>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</si>
  <si>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</si>
  <si>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</si>
  <si>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</si>
  <si>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</si>
  <si>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</si>
  <si>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</si>
  <si>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</si>
  <si>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</si>
  <si>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</si>
  <si>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</si>
  <si>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</si>
  <si>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</si>
  <si>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</si>
  <si>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</si>
  <si>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</si>
  <si>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</si>
  <si>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</si>
  <si>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</si>
  <si>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</si>
  <si>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</si>
  <si>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</si>
  <si>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</si>
  <si>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</si>
  <si>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</si>
  <si>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</si>
  <si>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</si>
  <si>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</si>
  <si>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</si>
  <si>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</si>
  <si>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</si>
  <si>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</si>
  <si>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</si>
  <si>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</si>
  <si>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</si>
  <si>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</si>
  <si>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</si>
  <si>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</si>
  <si>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</si>
  <si>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</si>
  <si>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</si>
  <si>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</si>
  <si>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</si>
  <si>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</si>
  <si>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</si>
  <si>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</si>
  <si>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</si>
  <si>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</si>
  <si>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</si>
  <si>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</si>
  <si>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</si>
  <si>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</si>
  <si>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</si>
  <si>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</si>
  <si>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</si>
  <si>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</si>
  <si>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</si>
  <si>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</si>
  <si>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</si>
  <si>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</si>
  <si>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44043</t>
  </si>
  <si>
    <t>MERELBEKE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</si>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</sst>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178853.32975446846</c:v>
                </c:pt>
                <c:pt idx="1">
                  <c:v>96856.015920465303</c:v>
                </c:pt>
                <c:pt idx="2">
                  <c:v>1880.5640000000001</c:v>
                </c:pt>
                <c:pt idx="3">
                  <c:v>15898.518930559974</c:v>
                </c:pt>
                <c:pt idx="4">
                  <c:v>53920.993518084717</c:v>
                </c:pt>
                <c:pt idx="5">
                  <c:v>230381.69769342337</c:v>
                </c:pt>
                <c:pt idx="6">
                  <c:v>3264.9134410800439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178853.32975446846</c:v>
                </c:pt>
                <c:pt idx="1">
                  <c:v>96856.015920465303</c:v>
                </c:pt>
                <c:pt idx="2">
                  <c:v>1880.5640000000001</c:v>
                </c:pt>
                <c:pt idx="3">
                  <c:v>15898.518930559974</c:v>
                </c:pt>
                <c:pt idx="4">
                  <c:v>53920.993518084717</c:v>
                </c:pt>
                <c:pt idx="5">
                  <c:v>230381.69769342337</c:v>
                </c:pt>
                <c:pt idx="6">
                  <c:v>3264.9134410800439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34666.42201675332</c:v>
                </c:pt>
                <c:pt idx="2">
                  <c:v>20136.361845883843</c:v>
                </c:pt>
                <c:pt idx="3">
                  <c:v>398.83298123457809</c:v>
                </c:pt>
                <c:pt idx="4">
                  <c:v>3763.1970113163902</c:v>
                </c:pt>
                <c:pt idx="5">
                  <c:v>11381.752807779647</c:v>
                </c:pt>
                <c:pt idx="6">
                  <c:v>58976.095478916257</c:v>
                </c:pt>
                <c:pt idx="7">
                  <c:v>845.5382903470786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34666.42201675332</c:v>
                </c:pt>
                <c:pt idx="2">
                  <c:v>20136.361845883843</c:v>
                </c:pt>
                <c:pt idx="3">
                  <c:v>398.83298123457809</c:v>
                </c:pt>
                <c:pt idx="4">
                  <c:v>3763.1970113163902</c:v>
                </c:pt>
                <c:pt idx="5">
                  <c:v>11381.752807779647</c:v>
                </c:pt>
                <c:pt idx="6">
                  <c:v>58976.095478916257</c:v>
                </c:pt>
                <c:pt idx="7">
                  <c:v>845.5382903470786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44043</v>
      </c>
      <c r="B6" s="390"/>
      <c r="C6" s="391"/>
    </row>
    <row r="7" spans="1:7" s="388" customFormat="1" ht="15.75" customHeight="1">
      <c r="A7" s="392" t="str">
        <f>txtMunicipality</f>
        <v>MERELBEKE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40101.577997600005</v>
      </c>
      <c r="D10" s="978">
        <f ca="1">tertiair!C16</f>
        <v>0</v>
      </c>
      <c r="E10" s="978">
        <f ca="1">tertiair!D16</f>
        <v>44933.772875694995</v>
      </c>
      <c r="F10" s="978">
        <f>tertiair!E16</f>
        <v>606.92554668165928</v>
      </c>
      <c r="G10" s="978">
        <f ca="1">tertiair!F16</f>
        <v>10546.796451851518</v>
      </c>
      <c r="H10" s="978">
        <f>tertiair!G16</f>
        <v>0</v>
      </c>
      <c r="I10" s="978">
        <f>tertiair!H16</f>
        <v>0</v>
      </c>
      <c r="J10" s="978">
        <f>tertiair!I16</f>
        <v>0</v>
      </c>
      <c r="K10" s="978">
        <f>tertiair!J16</f>
        <v>0</v>
      </c>
      <c r="L10" s="978">
        <f>tertiair!K16</f>
        <v>0</v>
      </c>
      <c r="M10" s="978">
        <f ca="1">tertiair!L16</f>
        <v>0</v>
      </c>
      <c r="N10" s="978">
        <f>tertiair!M16</f>
        <v>0</v>
      </c>
      <c r="O10" s="978">
        <f ca="1">tertiair!N16</f>
        <v>2480.927048637127</v>
      </c>
      <c r="P10" s="978">
        <f>tertiair!O16</f>
        <v>9.3800000000000008</v>
      </c>
      <c r="Q10" s="979">
        <f>tertiair!P16</f>
        <v>57.2</v>
      </c>
      <c r="R10" s="674">
        <f ca="1">SUM(C10:Q10)</f>
        <v>98736.579920465301</v>
      </c>
      <c r="S10" s="67"/>
    </row>
    <row r="11" spans="1:19" s="447" customFormat="1">
      <c r="A11" s="783" t="s">
        <v>224</v>
      </c>
      <c r="B11" s="788"/>
      <c r="C11" s="978">
        <f>huishoudens!B8</f>
        <v>45804.16143939265</v>
      </c>
      <c r="D11" s="978">
        <f>huishoudens!C8</f>
        <v>0</v>
      </c>
      <c r="E11" s="978">
        <f>huishoudens!D8</f>
        <v>95586.39040697999</v>
      </c>
      <c r="F11" s="978">
        <f>huishoudens!E8</f>
        <v>13743.777069327041</v>
      </c>
      <c r="G11" s="978">
        <f>huishoudens!F8</f>
        <v>9452.8648259717011</v>
      </c>
      <c r="H11" s="978">
        <f>huishoudens!G8</f>
        <v>0</v>
      </c>
      <c r="I11" s="978">
        <f>huishoudens!H8</f>
        <v>0</v>
      </c>
      <c r="J11" s="978">
        <f>huishoudens!I8</f>
        <v>0</v>
      </c>
      <c r="K11" s="978">
        <f>huishoudens!J8</f>
        <v>0</v>
      </c>
      <c r="L11" s="978">
        <f>huishoudens!K8</f>
        <v>0</v>
      </c>
      <c r="M11" s="978">
        <f>huishoudens!L8</f>
        <v>0</v>
      </c>
      <c r="N11" s="978">
        <f>huishoudens!M8</f>
        <v>0</v>
      </c>
      <c r="O11" s="978">
        <f>huishoudens!N8</f>
        <v>12886.932679463722</v>
      </c>
      <c r="P11" s="978">
        <f>huishoudens!O8</f>
        <v>483.07</v>
      </c>
      <c r="Q11" s="979">
        <f>huishoudens!P8</f>
        <v>896.13333333333333</v>
      </c>
      <c r="R11" s="674">
        <f>SUM(C11:Q11)</f>
        <v>178853.32975446846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30084.189672531</v>
      </c>
      <c r="D13" s="978">
        <f>industrie!C18</f>
        <v>0</v>
      </c>
      <c r="E13" s="978">
        <f>industrie!D18</f>
        <v>11809.763417237566</v>
      </c>
      <c r="F13" s="978">
        <f>industrie!E18</f>
        <v>1938.2950710071123</v>
      </c>
      <c r="G13" s="978">
        <f>industrie!F18</f>
        <v>7816.3453075397247</v>
      </c>
      <c r="H13" s="978">
        <f>industrie!G18</f>
        <v>0</v>
      </c>
      <c r="I13" s="978">
        <f>industrie!H18</f>
        <v>0</v>
      </c>
      <c r="J13" s="978">
        <f>industrie!I18</f>
        <v>0</v>
      </c>
      <c r="K13" s="978">
        <f>industrie!J18</f>
        <v>251.18924099544435</v>
      </c>
      <c r="L13" s="978">
        <f>industrie!K18</f>
        <v>0</v>
      </c>
      <c r="M13" s="978">
        <f>industrie!L18</f>
        <v>0</v>
      </c>
      <c r="N13" s="978">
        <f>industrie!M18</f>
        <v>0</v>
      </c>
      <c r="O13" s="978">
        <f>industrie!N18</f>
        <v>2021.210808773872</v>
      </c>
      <c r="P13" s="978">
        <f>industrie!O18</f>
        <v>0</v>
      </c>
      <c r="Q13" s="979">
        <f>industrie!P18</f>
        <v>0</v>
      </c>
      <c r="R13" s="674">
        <f>SUM(C13:Q13)</f>
        <v>53920.993518084717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115989.92910952365</v>
      </c>
      <c r="D16" s="706">
        <f t="shared" ref="D16:R16" ca="1" si="0">SUM(D9:D15)</f>
        <v>0</v>
      </c>
      <c r="E16" s="706">
        <f t="shared" ca="1" si="0"/>
        <v>152329.92669991252</v>
      </c>
      <c r="F16" s="706">
        <f t="shared" si="0"/>
        <v>16288.997687015813</v>
      </c>
      <c r="G16" s="706">
        <f t="shared" ca="1" si="0"/>
        <v>27816.006585362942</v>
      </c>
      <c r="H16" s="706">
        <f t="shared" si="0"/>
        <v>0</v>
      </c>
      <c r="I16" s="706">
        <f t="shared" si="0"/>
        <v>0</v>
      </c>
      <c r="J16" s="706">
        <f t="shared" si="0"/>
        <v>0</v>
      </c>
      <c r="K16" s="706">
        <f t="shared" si="0"/>
        <v>251.18924099544435</v>
      </c>
      <c r="L16" s="706">
        <f t="shared" si="0"/>
        <v>0</v>
      </c>
      <c r="M16" s="706">
        <f t="shared" ca="1" si="0"/>
        <v>0</v>
      </c>
      <c r="N16" s="706">
        <f t="shared" si="0"/>
        <v>0</v>
      </c>
      <c r="O16" s="706">
        <f t="shared" ca="1" si="0"/>
        <v>17389.070536874719</v>
      </c>
      <c r="P16" s="706">
        <f t="shared" si="0"/>
        <v>492.45</v>
      </c>
      <c r="Q16" s="706">
        <f t="shared" si="0"/>
        <v>953.33333333333337</v>
      </c>
      <c r="R16" s="706">
        <f t="shared" ca="1" si="0"/>
        <v>331510.90319301846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3166.8100762062868</v>
      </c>
      <c r="I19" s="978">
        <f>transport!H54</f>
        <v>0</v>
      </c>
      <c r="J19" s="978">
        <f>transport!I54</f>
        <v>0</v>
      </c>
      <c r="K19" s="978">
        <f>transport!J54</f>
        <v>0</v>
      </c>
      <c r="L19" s="978">
        <f>transport!K54</f>
        <v>0</v>
      </c>
      <c r="M19" s="978">
        <f>transport!L54</f>
        <v>0</v>
      </c>
      <c r="N19" s="978">
        <f>transport!M54</f>
        <v>98.103364873756959</v>
      </c>
      <c r="O19" s="978">
        <f>transport!N54</f>
        <v>0</v>
      </c>
      <c r="P19" s="978">
        <f>transport!O54</f>
        <v>0</v>
      </c>
      <c r="Q19" s="979">
        <f>transport!P54</f>
        <v>0</v>
      </c>
      <c r="R19" s="674">
        <f>SUM(C19:Q19)</f>
        <v>3264.9134410800439</v>
      </c>
      <c r="S19" s="67"/>
    </row>
    <row r="20" spans="1:19" s="447" customFormat="1">
      <c r="A20" s="783" t="s">
        <v>306</v>
      </c>
      <c r="B20" s="788"/>
      <c r="C20" s="978">
        <f>transport!B14</f>
        <v>49.817993002374017</v>
      </c>
      <c r="D20" s="978">
        <f>transport!C14</f>
        <v>0</v>
      </c>
      <c r="E20" s="978">
        <f>transport!D14</f>
        <v>104.00733154360576</v>
      </c>
      <c r="F20" s="978">
        <f>transport!E14</f>
        <v>510.5089427688668</v>
      </c>
      <c r="G20" s="978">
        <f>transport!F14</f>
        <v>0</v>
      </c>
      <c r="H20" s="978">
        <f>transport!G14</f>
        <v>186702.9284447192</v>
      </c>
      <c r="I20" s="978">
        <f>transport!H14</f>
        <v>36060.052588801875</v>
      </c>
      <c r="J20" s="978">
        <f>transport!I14</f>
        <v>0</v>
      </c>
      <c r="K20" s="978">
        <f>transport!J14</f>
        <v>0</v>
      </c>
      <c r="L20" s="978">
        <f>transport!K14</f>
        <v>0</v>
      </c>
      <c r="M20" s="978">
        <f>transport!L14</f>
        <v>0</v>
      </c>
      <c r="N20" s="978">
        <f>transport!M14</f>
        <v>6954.3823925874403</v>
      </c>
      <c r="O20" s="978">
        <f>transport!N14</f>
        <v>0</v>
      </c>
      <c r="P20" s="978">
        <f>transport!O14</f>
        <v>0</v>
      </c>
      <c r="Q20" s="979">
        <f>transport!P14</f>
        <v>0</v>
      </c>
      <c r="R20" s="674">
        <f>SUM(C20:Q20)</f>
        <v>230381.69769342337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49.817993002374017</v>
      </c>
      <c r="D22" s="786">
        <f t="shared" ref="D22:R22" si="1">SUM(D18:D21)</f>
        <v>0</v>
      </c>
      <c r="E22" s="786">
        <f t="shared" si="1"/>
        <v>104.00733154360576</v>
      </c>
      <c r="F22" s="786">
        <f t="shared" si="1"/>
        <v>510.5089427688668</v>
      </c>
      <c r="G22" s="786">
        <f t="shared" si="1"/>
        <v>0</v>
      </c>
      <c r="H22" s="786">
        <f t="shared" si="1"/>
        <v>189869.73852092549</v>
      </c>
      <c r="I22" s="786">
        <f t="shared" si="1"/>
        <v>36060.052588801875</v>
      </c>
      <c r="J22" s="786">
        <f t="shared" si="1"/>
        <v>0</v>
      </c>
      <c r="K22" s="786">
        <f t="shared" si="1"/>
        <v>0</v>
      </c>
      <c r="L22" s="786">
        <f t="shared" si="1"/>
        <v>0</v>
      </c>
      <c r="M22" s="786">
        <f t="shared" si="1"/>
        <v>0</v>
      </c>
      <c r="N22" s="786">
        <f t="shared" si="1"/>
        <v>7052.485757461197</v>
      </c>
      <c r="O22" s="786">
        <f t="shared" si="1"/>
        <v>0</v>
      </c>
      <c r="P22" s="786">
        <f t="shared" si="1"/>
        <v>0</v>
      </c>
      <c r="Q22" s="786">
        <f t="shared" si="1"/>
        <v>0</v>
      </c>
      <c r="R22" s="786">
        <f t="shared" si="1"/>
        <v>233646.61113450342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2041.8368433809999</v>
      </c>
      <c r="D24" s="978">
        <f>+landbouw!C8</f>
        <v>0</v>
      </c>
      <c r="E24" s="978">
        <f>+landbouw!D8</f>
        <v>6046.7790501449545</v>
      </c>
      <c r="F24" s="978">
        <f>+landbouw!E8</f>
        <v>52.651132443707858</v>
      </c>
      <c r="G24" s="978">
        <f>+landbouw!F8</f>
        <v>7463.302511495207</v>
      </c>
      <c r="H24" s="978">
        <f>+landbouw!G8</f>
        <v>0</v>
      </c>
      <c r="I24" s="978">
        <f>+landbouw!H8</f>
        <v>0</v>
      </c>
      <c r="J24" s="978">
        <f>+landbouw!I8</f>
        <v>0</v>
      </c>
      <c r="K24" s="978">
        <f>+landbouw!J8</f>
        <v>293.94939309510528</v>
      </c>
      <c r="L24" s="978">
        <f>+landbouw!K8</f>
        <v>0</v>
      </c>
      <c r="M24" s="978">
        <f>+landbouw!L8</f>
        <v>0</v>
      </c>
      <c r="N24" s="978">
        <f>+landbouw!M8</f>
        <v>0</v>
      </c>
      <c r="O24" s="978">
        <f>+landbouw!N8</f>
        <v>0</v>
      </c>
      <c r="P24" s="978">
        <f>+landbouw!O8</f>
        <v>0</v>
      </c>
      <c r="Q24" s="979">
        <f>+landbouw!P8</f>
        <v>0</v>
      </c>
      <c r="R24" s="674">
        <f>SUM(C24:Q24)</f>
        <v>15898.518930559974</v>
      </c>
      <c r="S24" s="67"/>
    </row>
    <row r="25" spans="1:19" s="447" customFormat="1" ht="15" thickBot="1">
      <c r="A25" s="805" t="s">
        <v>834</v>
      </c>
      <c r="B25" s="981"/>
      <c r="C25" s="982">
        <f>IF(Onbekend_ele_kWh="---",0,Onbekend_ele_kWh)/1000+IF(REST_rest_ele_kWh="---",0,REST_rest_ele_kWh)/1000</f>
        <v>1477.9736924000001</v>
      </c>
      <c r="D25" s="982"/>
      <c r="E25" s="982">
        <f>IF(onbekend_gas_kWh="---",0,onbekend_gas_kWh)/1000+IF(REST_rest_gas_kWh="---",0,REST_rest_gas_kWh)/1000</f>
        <v>5010.1625195000006</v>
      </c>
      <c r="F25" s="982"/>
      <c r="G25" s="982"/>
      <c r="H25" s="982"/>
      <c r="I25" s="982"/>
      <c r="J25" s="982"/>
      <c r="K25" s="982"/>
      <c r="L25" s="982"/>
      <c r="M25" s="982"/>
      <c r="N25" s="982"/>
      <c r="O25" s="982"/>
      <c r="P25" s="982"/>
      <c r="Q25" s="983"/>
      <c r="R25" s="674">
        <f>SUM(C25:Q25)</f>
        <v>6488.1362119000005</v>
      </c>
      <c r="S25" s="67"/>
    </row>
    <row r="26" spans="1:19" s="447" customFormat="1" ht="15.75" thickBot="1">
      <c r="A26" s="679" t="s">
        <v>835</v>
      </c>
      <c r="B26" s="791"/>
      <c r="C26" s="786">
        <f>SUM(C24:C25)</f>
        <v>3519.810535781</v>
      </c>
      <c r="D26" s="786">
        <f t="shared" ref="D26:R26" si="2">SUM(D24:D25)</f>
        <v>0</v>
      </c>
      <c r="E26" s="786">
        <f t="shared" si="2"/>
        <v>11056.941569644954</v>
      </c>
      <c r="F26" s="786">
        <f t="shared" si="2"/>
        <v>52.651132443707858</v>
      </c>
      <c r="G26" s="786">
        <f t="shared" si="2"/>
        <v>7463.302511495207</v>
      </c>
      <c r="H26" s="786">
        <f t="shared" si="2"/>
        <v>0</v>
      </c>
      <c r="I26" s="786">
        <f t="shared" si="2"/>
        <v>0</v>
      </c>
      <c r="J26" s="786">
        <f t="shared" si="2"/>
        <v>0</v>
      </c>
      <c r="K26" s="786">
        <f t="shared" si="2"/>
        <v>293.94939309510528</v>
      </c>
      <c r="L26" s="786">
        <f t="shared" si="2"/>
        <v>0</v>
      </c>
      <c r="M26" s="786">
        <f t="shared" si="2"/>
        <v>0</v>
      </c>
      <c r="N26" s="786">
        <f t="shared" si="2"/>
        <v>0</v>
      </c>
      <c r="O26" s="786">
        <f t="shared" si="2"/>
        <v>0</v>
      </c>
      <c r="P26" s="786">
        <f t="shared" si="2"/>
        <v>0</v>
      </c>
      <c r="Q26" s="786">
        <f t="shared" si="2"/>
        <v>0</v>
      </c>
      <c r="R26" s="786">
        <f t="shared" si="2"/>
        <v>22386.655142459975</v>
      </c>
      <c r="S26" s="67"/>
    </row>
    <row r="27" spans="1:19" s="447" customFormat="1" ht="17.25" thickTop="1" thickBot="1">
      <c r="A27" s="680" t="s">
        <v>115</v>
      </c>
      <c r="B27" s="779"/>
      <c r="C27" s="681">
        <f ca="1">C22+C16+C26</f>
        <v>119559.55763830703</v>
      </c>
      <c r="D27" s="681">
        <f t="shared" ref="D27:R27" ca="1" si="3">D22+D16+D26</f>
        <v>0</v>
      </c>
      <c r="E27" s="681">
        <f t="shared" ca="1" si="3"/>
        <v>163490.87560110108</v>
      </c>
      <c r="F27" s="681">
        <f t="shared" si="3"/>
        <v>16852.157762228388</v>
      </c>
      <c r="G27" s="681">
        <f t="shared" ca="1" si="3"/>
        <v>35279.309096858153</v>
      </c>
      <c r="H27" s="681">
        <f t="shared" si="3"/>
        <v>189869.73852092549</v>
      </c>
      <c r="I27" s="681">
        <f t="shared" si="3"/>
        <v>36060.052588801875</v>
      </c>
      <c r="J27" s="681">
        <f t="shared" si="3"/>
        <v>0</v>
      </c>
      <c r="K27" s="681">
        <f t="shared" si="3"/>
        <v>545.13863409054966</v>
      </c>
      <c r="L27" s="681">
        <f t="shared" si="3"/>
        <v>0</v>
      </c>
      <c r="M27" s="681">
        <f t="shared" ca="1" si="3"/>
        <v>0</v>
      </c>
      <c r="N27" s="681">
        <f t="shared" si="3"/>
        <v>7052.485757461197</v>
      </c>
      <c r="O27" s="681">
        <f t="shared" ca="1" si="3"/>
        <v>17389.070536874719</v>
      </c>
      <c r="P27" s="681">
        <f t="shared" si="3"/>
        <v>492.45</v>
      </c>
      <c r="Q27" s="681">
        <f t="shared" si="3"/>
        <v>953.33333333333337</v>
      </c>
      <c r="R27" s="681">
        <f t="shared" ca="1" si="3"/>
        <v>587544.16946998192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8504.8059544869375</v>
      </c>
      <c r="D40" s="978">
        <f ca="1">tertiair!C20</f>
        <v>0</v>
      </c>
      <c r="E40" s="978">
        <f ca="1">tertiair!D20</f>
        <v>9076.6221208903899</v>
      </c>
      <c r="F40" s="978">
        <f>tertiair!E20</f>
        <v>137.77209909673667</v>
      </c>
      <c r="G40" s="978">
        <f ca="1">tertiair!F20</f>
        <v>2815.9946526443555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20535.194827118419</v>
      </c>
    </row>
    <row r="41" spans="1:18">
      <c r="A41" s="796" t="s">
        <v>224</v>
      </c>
      <c r="B41" s="803"/>
      <c r="C41" s="978">
        <f ca="1">huishoudens!B12</f>
        <v>9714.2188512716784</v>
      </c>
      <c r="D41" s="978">
        <f ca="1">huishoudens!C12</f>
        <v>0</v>
      </c>
      <c r="E41" s="978">
        <f>huishoudens!D12</f>
        <v>19308.45086220996</v>
      </c>
      <c r="F41" s="978">
        <f>huishoudens!E12</f>
        <v>3119.8373947372384</v>
      </c>
      <c r="G41" s="978">
        <f>huishoudens!F12</f>
        <v>2523.9149085344443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34666.42201675332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6380.3024279535521</v>
      </c>
      <c r="D43" s="978">
        <f ca="1">industrie!C22</f>
        <v>0</v>
      </c>
      <c r="E43" s="978">
        <f>industrie!D22</f>
        <v>2385.5722102819882</v>
      </c>
      <c r="F43" s="978">
        <f>industrie!E22</f>
        <v>439.99298111861452</v>
      </c>
      <c r="G43" s="978">
        <f>industrie!F22</f>
        <v>2086.9641971131068</v>
      </c>
      <c r="H43" s="978">
        <f>industrie!G22</f>
        <v>0</v>
      </c>
      <c r="I43" s="978">
        <f>industrie!H22</f>
        <v>0</v>
      </c>
      <c r="J43" s="978">
        <f>industrie!I22</f>
        <v>0</v>
      </c>
      <c r="K43" s="978">
        <f>industrie!J22</f>
        <v>88.920991312387301</v>
      </c>
      <c r="L43" s="978">
        <f>industrie!K22</f>
        <v>0</v>
      </c>
      <c r="M43" s="978">
        <f>industrie!L22</f>
        <v>0</v>
      </c>
      <c r="N43" s="978">
        <f>industrie!M22</f>
        <v>0</v>
      </c>
      <c r="O43" s="978">
        <f>industrie!N22</f>
        <v>0</v>
      </c>
      <c r="P43" s="978">
        <f>industrie!O22</f>
        <v>0</v>
      </c>
      <c r="Q43" s="748">
        <f>industrie!P22</f>
        <v>0</v>
      </c>
      <c r="R43" s="823">
        <f t="shared" ca="1" si="4"/>
        <v>11381.752807779647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24599.327233712167</v>
      </c>
      <c r="D46" s="706">
        <f t="shared" ref="D46:Q46" ca="1" si="5">SUM(D39:D45)</f>
        <v>0</v>
      </c>
      <c r="E46" s="706">
        <f t="shared" ca="1" si="5"/>
        <v>30770.645193382337</v>
      </c>
      <c r="F46" s="706">
        <f t="shared" si="5"/>
        <v>3697.6024749525895</v>
      </c>
      <c r="G46" s="706">
        <f t="shared" ca="1" si="5"/>
        <v>7426.8737582919066</v>
      </c>
      <c r="H46" s="706">
        <f t="shared" si="5"/>
        <v>0</v>
      </c>
      <c r="I46" s="706">
        <f t="shared" si="5"/>
        <v>0</v>
      </c>
      <c r="J46" s="706">
        <f t="shared" si="5"/>
        <v>0</v>
      </c>
      <c r="K46" s="706">
        <f t="shared" si="5"/>
        <v>88.920991312387301</v>
      </c>
      <c r="L46" s="706">
        <f t="shared" si="5"/>
        <v>0</v>
      </c>
      <c r="M46" s="706">
        <f t="shared" ca="1" si="5"/>
        <v>0</v>
      </c>
      <c r="N46" s="706">
        <f t="shared" si="5"/>
        <v>0</v>
      </c>
      <c r="O46" s="706">
        <f t="shared" ca="1" si="5"/>
        <v>0</v>
      </c>
      <c r="P46" s="706">
        <f t="shared" si="5"/>
        <v>0</v>
      </c>
      <c r="Q46" s="706">
        <f t="shared" si="5"/>
        <v>0</v>
      </c>
      <c r="R46" s="706">
        <f ca="1">SUM(R39:R45)</f>
        <v>66583.369651651388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845.5382903470786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845.5382903470786</v>
      </c>
    </row>
    <row r="50" spans="1:18">
      <c r="A50" s="799" t="s">
        <v>306</v>
      </c>
      <c r="B50" s="809"/>
      <c r="C50" s="677">
        <f ca="1">transport!B18</f>
        <v>10.565478584222699</v>
      </c>
      <c r="D50" s="677">
        <f>transport!C18</f>
        <v>0</v>
      </c>
      <c r="E50" s="677">
        <f>transport!D18</f>
        <v>21.009480971808365</v>
      </c>
      <c r="F50" s="677">
        <f>transport!E18</f>
        <v>115.88553000853277</v>
      </c>
      <c r="G50" s="677">
        <f>transport!F18</f>
        <v>0</v>
      </c>
      <c r="H50" s="677">
        <f>transport!G18</f>
        <v>49849.681894740032</v>
      </c>
      <c r="I50" s="677">
        <f>transport!H18</f>
        <v>8978.9530946116665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58976.095478916257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10.565478584222699</v>
      </c>
      <c r="D52" s="706">
        <f t="shared" ref="D52:Q52" ca="1" si="6">SUM(D48:D51)</f>
        <v>0</v>
      </c>
      <c r="E52" s="706">
        <f t="shared" si="6"/>
        <v>21.009480971808365</v>
      </c>
      <c r="F52" s="706">
        <f t="shared" si="6"/>
        <v>115.88553000853277</v>
      </c>
      <c r="G52" s="706">
        <f t="shared" si="6"/>
        <v>0</v>
      </c>
      <c r="H52" s="706">
        <f t="shared" si="6"/>
        <v>50695.220185087113</v>
      </c>
      <c r="I52" s="706">
        <f t="shared" si="6"/>
        <v>8978.9530946116665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59821.633769263339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433.03598039750011</v>
      </c>
      <c r="D54" s="677">
        <f ca="1">+landbouw!C12</f>
        <v>0</v>
      </c>
      <c r="E54" s="677">
        <f>+landbouw!D12</f>
        <v>1221.4493681292809</v>
      </c>
      <c r="F54" s="677">
        <f>+landbouw!E12</f>
        <v>11.951807064721685</v>
      </c>
      <c r="G54" s="677">
        <f>+landbouw!F12</f>
        <v>1992.7017705692203</v>
      </c>
      <c r="H54" s="677">
        <f>+landbouw!G12</f>
        <v>0</v>
      </c>
      <c r="I54" s="677">
        <f>+landbouw!H12</f>
        <v>0</v>
      </c>
      <c r="J54" s="677">
        <f>+landbouw!I12</f>
        <v>0</v>
      </c>
      <c r="K54" s="677">
        <f>+landbouw!J12</f>
        <v>104.05808515566726</v>
      </c>
      <c r="L54" s="677">
        <f>+landbouw!K12</f>
        <v>0</v>
      </c>
      <c r="M54" s="677">
        <f>+landbouw!L12</f>
        <v>0</v>
      </c>
      <c r="N54" s="677">
        <f>+landbouw!M12</f>
        <v>0</v>
      </c>
      <c r="O54" s="677">
        <f>+landbouw!N12</f>
        <v>0</v>
      </c>
      <c r="P54" s="677">
        <f>+landbouw!O12</f>
        <v>0</v>
      </c>
      <c r="Q54" s="678">
        <f>+landbouw!P12</f>
        <v>0</v>
      </c>
      <c r="R54" s="705">
        <f ca="1">SUM(C54:Q54)</f>
        <v>3763.1970113163902</v>
      </c>
    </row>
    <row r="55" spans="1:18" ht="15" thickBot="1">
      <c r="A55" s="799" t="s">
        <v>834</v>
      </c>
      <c r="B55" s="809"/>
      <c r="C55" s="677">
        <f ca="1">C25*'EF ele_warmte'!B12</f>
        <v>313.45099338611675</v>
      </c>
      <c r="D55" s="677"/>
      <c r="E55" s="677">
        <f>E25*EF_CO2_aardgas</f>
        <v>1012.0528289390002</v>
      </c>
      <c r="F55" s="677"/>
      <c r="G55" s="677"/>
      <c r="H55" s="677"/>
      <c r="I55" s="677"/>
      <c r="J55" s="677"/>
      <c r="K55" s="677"/>
      <c r="L55" s="677"/>
      <c r="M55" s="677"/>
      <c r="N55" s="677"/>
      <c r="O55" s="677"/>
      <c r="P55" s="677"/>
      <c r="Q55" s="678"/>
      <c r="R55" s="705">
        <f ca="1">SUM(C55:Q55)</f>
        <v>1325.503822325117</v>
      </c>
    </row>
    <row r="56" spans="1:18" ht="15.75" thickBot="1">
      <c r="A56" s="797" t="s">
        <v>835</v>
      </c>
      <c r="B56" s="810"/>
      <c r="C56" s="706">
        <f ca="1">SUM(C54:C55)</f>
        <v>746.4869737836168</v>
      </c>
      <c r="D56" s="706">
        <f t="shared" ref="D56:Q56" ca="1" si="7">SUM(D54:D55)</f>
        <v>0</v>
      </c>
      <c r="E56" s="706">
        <f t="shared" si="7"/>
        <v>2233.502197068281</v>
      </c>
      <c r="F56" s="706">
        <f t="shared" si="7"/>
        <v>11.951807064721685</v>
      </c>
      <c r="G56" s="706">
        <f t="shared" si="7"/>
        <v>1992.7017705692203</v>
      </c>
      <c r="H56" s="706">
        <f t="shared" si="7"/>
        <v>0</v>
      </c>
      <c r="I56" s="706">
        <f t="shared" si="7"/>
        <v>0</v>
      </c>
      <c r="J56" s="706">
        <f t="shared" si="7"/>
        <v>0</v>
      </c>
      <c r="K56" s="706">
        <f t="shared" si="7"/>
        <v>104.05808515566726</v>
      </c>
      <c r="L56" s="706">
        <f t="shared" si="7"/>
        <v>0</v>
      </c>
      <c r="M56" s="706">
        <f t="shared" si="7"/>
        <v>0</v>
      </c>
      <c r="N56" s="706">
        <f t="shared" si="7"/>
        <v>0</v>
      </c>
      <c r="O56" s="706">
        <f t="shared" si="7"/>
        <v>0</v>
      </c>
      <c r="P56" s="706">
        <f t="shared" si="7"/>
        <v>0</v>
      </c>
      <c r="Q56" s="707">
        <f t="shared" si="7"/>
        <v>0</v>
      </c>
      <c r="R56" s="708">
        <f ca="1">SUM(R54:R55)</f>
        <v>5088.7008336415074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25356.379686080007</v>
      </c>
      <c r="D61" s="714">
        <f t="shared" ref="D61:Q61" ca="1" si="8">D46+D52+D56</f>
        <v>0</v>
      </c>
      <c r="E61" s="714">
        <f t="shared" ca="1" si="8"/>
        <v>33025.156871422427</v>
      </c>
      <c r="F61" s="714">
        <f t="shared" si="8"/>
        <v>3825.4398120258443</v>
      </c>
      <c r="G61" s="714">
        <f t="shared" ca="1" si="8"/>
        <v>9419.5755288611272</v>
      </c>
      <c r="H61" s="714">
        <f t="shared" si="8"/>
        <v>50695.220185087113</v>
      </c>
      <c r="I61" s="714">
        <f t="shared" si="8"/>
        <v>8978.9530946116665</v>
      </c>
      <c r="J61" s="714">
        <f t="shared" si="8"/>
        <v>0</v>
      </c>
      <c r="K61" s="714">
        <f t="shared" si="8"/>
        <v>192.97907646805456</v>
      </c>
      <c r="L61" s="714">
        <f t="shared" si="8"/>
        <v>0</v>
      </c>
      <c r="M61" s="714">
        <f t="shared" ca="1" si="8"/>
        <v>0</v>
      </c>
      <c r="N61" s="714">
        <f t="shared" si="8"/>
        <v>0</v>
      </c>
      <c r="O61" s="714">
        <f t="shared" ca="1" si="8"/>
        <v>0</v>
      </c>
      <c r="P61" s="714">
        <f t="shared" si="8"/>
        <v>0</v>
      </c>
      <c r="Q61" s="714">
        <f t="shared" si="8"/>
        <v>0</v>
      </c>
      <c r="R61" s="714">
        <f ca="1">R46+R52+R56</f>
        <v>131493.70425455624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0.21208157831085678</v>
      </c>
      <c r="D63" s="755">
        <f t="shared" ca="1" si="9"/>
        <v>0</v>
      </c>
      <c r="E63" s="989">
        <f t="shared" ca="1" si="9"/>
        <v>0.20200000000000004</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4824.8079275377622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4824.8079275377622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45804.16143939265</v>
      </c>
      <c r="C4" s="451">
        <f>huishoudens!C8</f>
        <v>0</v>
      </c>
      <c r="D4" s="451">
        <f>huishoudens!D8</f>
        <v>95586.39040697999</v>
      </c>
      <c r="E4" s="451">
        <f>huishoudens!E8</f>
        <v>13743.777069327041</v>
      </c>
      <c r="F4" s="451">
        <f>huishoudens!F8</f>
        <v>9452.8648259717011</v>
      </c>
      <c r="G4" s="451">
        <f>huishoudens!G8</f>
        <v>0</v>
      </c>
      <c r="H4" s="451">
        <f>huishoudens!H8</f>
        <v>0</v>
      </c>
      <c r="I4" s="451">
        <f>huishoudens!I8</f>
        <v>0</v>
      </c>
      <c r="J4" s="451">
        <f>huishoudens!J8</f>
        <v>0</v>
      </c>
      <c r="K4" s="451">
        <f>huishoudens!K8</f>
        <v>0</v>
      </c>
      <c r="L4" s="451">
        <f>huishoudens!L8</f>
        <v>0</v>
      </c>
      <c r="M4" s="451">
        <f>huishoudens!M8</f>
        <v>0</v>
      </c>
      <c r="N4" s="451">
        <f>huishoudens!N8</f>
        <v>12886.932679463722</v>
      </c>
      <c r="O4" s="451">
        <f>huishoudens!O8</f>
        <v>483.07</v>
      </c>
      <c r="P4" s="452">
        <f>huishoudens!P8</f>
        <v>896.13333333333333</v>
      </c>
      <c r="Q4" s="453">
        <f>SUM(B4:P4)</f>
        <v>178853.32975446846</v>
      </c>
    </row>
    <row r="5" spans="1:17">
      <c r="A5" s="450" t="s">
        <v>155</v>
      </c>
      <c r="B5" s="451">
        <f ca="1">tertiair!B16</f>
        <v>38221.013997600006</v>
      </c>
      <c r="C5" s="451">
        <f ca="1">tertiair!C16</f>
        <v>0</v>
      </c>
      <c r="D5" s="451">
        <f ca="1">tertiair!D16</f>
        <v>44933.772875694995</v>
      </c>
      <c r="E5" s="451">
        <f>tertiair!E16</f>
        <v>606.92554668165928</v>
      </c>
      <c r="F5" s="451">
        <f ca="1">tertiair!F16</f>
        <v>10546.796451851518</v>
      </c>
      <c r="G5" s="451">
        <f>tertiair!G16</f>
        <v>0</v>
      </c>
      <c r="H5" s="451">
        <f>tertiair!H16</f>
        <v>0</v>
      </c>
      <c r="I5" s="451">
        <f>tertiair!I16</f>
        <v>0</v>
      </c>
      <c r="J5" s="451">
        <f>tertiair!J16</f>
        <v>0</v>
      </c>
      <c r="K5" s="451">
        <f>tertiair!K16</f>
        <v>0</v>
      </c>
      <c r="L5" s="451">
        <f ca="1">tertiair!L16</f>
        <v>0</v>
      </c>
      <c r="M5" s="451">
        <f>tertiair!M16</f>
        <v>0</v>
      </c>
      <c r="N5" s="451">
        <f ca="1">tertiair!N16</f>
        <v>2480.927048637127</v>
      </c>
      <c r="O5" s="451">
        <f>tertiair!O16</f>
        <v>9.3800000000000008</v>
      </c>
      <c r="P5" s="452">
        <f>tertiair!P16</f>
        <v>57.2</v>
      </c>
      <c r="Q5" s="450">
        <f t="shared" ref="Q5:Q14" ca="1" si="0">SUM(B5:P5)</f>
        <v>96856.015920465303</v>
      </c>
    </row>
    <row r="6" spans="1:17">
      <c r="A6" s="450" t="s">
        <v>193</v>
      </c>
      <c r="B6" s="451">
        <f>'openbare verlichting'!B8</f>
        <v>1880.5640000000001</v>
      </c>
      <c r="C6" s="451"/>
      <c r="D6" s="451"/>
      <c r="E6" s="451"/>
      <c r="F6" s="451"/>
      <c r="G6" s="451"/>
      <c r="H6" s="451"/>
      <c r="I6" s="451"/>
      <c r="J6" s="451"/>
      <c r="K6" s="451"/>
      <c r="L6" s="451"/>
      <c r="M6" s="451"/>
      <c r="N6" s="451"/>
      <c r="O6" s="451"/>
      <c r="P6" s="452"/>
      <c r="Q6" s="450">
        <f t="shared" si="0"/>
        <v>1880.5640000000001</v>
      </c>
    </row>
    <row r="7" spans="1:17">
      <c r="A7" s="450" t="s">
        <v>111</v>
      </c>
      <c r="B7" s="451">
        <f>landbouw!B8</f>
        <v>2041.8368433809999</v>
      </c>
      <c r="C7" s="451">
        <f>landbouw!C8</f>
        <v>0</v>
      </c>
      <c r="D7" s="451">
        <f>landbouw!D8</f>
        <v>6046.7790501449545</v>
      </c>
      <c r="E7" s="451">
        <f>landbouw!E8</f>
        <v>52.651132443707858</v>
      </c>
      <c r="F7" s="451">
        <f>landbouw!F8</f>
        <v>7463.302511495207</v>
      </c>
      <c r="G7" s="451">
        <f>landbouw!G8</f>
        <v>0</v>
      </c>
      <c r="H7" s="451">
        <f>landbouw!H8</f>
        <v>0</v>
      </c>
      <c r="I7" s="451">
        <f>landbouw!I8</f>
        <v>0</v>
      </c>
      <c r="J7" s="451">
        <f>landbouw!J8</f>
        <v>293.94939309510528</v>
      </c>
      <c r="K7" s="451">
        <f>landbouw!K8</f>
        <v>0</v>
      </c>
      <c r="L7" s="451">
        <f>landbouw!L8</f>
        <v>0</v>
      </c>
      <c r="M7" s="451">
        <f>landbouw!M8</f>
        <v>0</v>
      </c>
      <c r="N7" s="451">
        <f>landbouw!N8</f>
        <v>0</v>
      </c>
      <c r="O7" s="451">
        <f>landbouw!O8</f>
        <v>0</v>
      </c>
      <c r="P7" s="452">
        <f>landbouw!P8</f>
        <v>0</v>
      </c>
      <c r="Q7" s="450">
        <f t="shared" si="0"/>
        <v>15898.518930559974</v>
      </c>
    </row>
    <row r="8" spans="1:17">
      <c r="A8" s="450" t="s">
        <v>637</v>
      </c>
      <c r="B8" s="451">
        <f>industrie!B18</f>
        <v>30084.189672531</v>
      </c>
      <c r="C8" s="451">
        <f>industrie!C18</f>
        <v>0</v>
      </c>
      <c r="D8" s="451">
        <f>industrie!D18</f>
        <v>11809.763417237566</v>
      </c>
      <c r="E8" s="451">
        <f>industrie!E18</f>
        <v>1938.2950710071123</v>
      </c>
      <c r="F8" s="451">
        <f>industrie!F18</f>
        <v>7816.3453075397247</v>
      </c>
      <c r="G8" s="451">
        <f>industrie!G18</f>
        <v>0</v>
      </c>
      <c r="H8" s="451">
        <f>industrie!H18</f>
        <v>0</v>
      </c>
      <c r="I8" s="451">
        <f>industrie!I18</f>
        <v>0</v>
      </c>
      <c r="J8" s="451">
        <f>industrie!J18</f>
        <v>251.18924099544435</v>
      </c>
      <c r="K8" s="451">
        <f>industrie!K18</f>
        <v>0</v>
      </c>
      <c r="L8" s="451">
        <f>industrie!L18</f>
        <v>0</v>
      </c>
      <c r="M8" s="451">
        <f>industrie!M18</f>
        <v>0</v>
      </c>
      <c r="N8" s="451">
        <f>industrie!N18</f>
        <v>2021.210808773872</v>
      </c>
      <c r="O8" s="451">
        <f>industrie!O18</f>
        <v>0</v>
      </c>
      <c r="P8" s="452">
        <f>industrie!P18</f>
        <v>0</v>
      </c>
      <c r="Q8" s="450">
        <f t="shared" si="0"/>
        <v>53920.993518084717</v>
      </c>
    </row>
    <row r="9" spans="1:17" s="456" customFormat="1">
      <c r="A9" s="454" t="s">
        <v>563</v>
      </c>
      <c r="B9" s="455">
        <f>transport!B14</f>
        <v>49.817993002374017</v>
      </c>
      <c r="C9" s="455">
        <f>transport!C14</f>
        <v>0</v>
      </c>
      <c r="D9" s="455">
        <f>transport!D14</f>
        <v>104.00733154360576</v>
      </c>
      <c r="E9" s="455">
        <f>transport!E14</f>
        <v>510.5089427688668</v>
      </c>
      <c r="F9" s="455">
        <f>transport!F14</f>
        <v>0</v>
      </c>
      <c r="G9" s="455">
        <f>transport!G14</f>
        <v>186702.9284447192</v>
      </c>
      <c r="H9" s="455">
        <f>transport!H14</f>
        <v>36060.052588801875</v>
      </c>
      <c r="I9" s="455">
        <f>transport!I14</f>
        <v>0</v>
      </c>
      <c r="J9" s="455">
        <f>transport!J14</f>
        <v>0</v>
      </c>
      <c r="K9" s="455">
        <f>transport!K14</f>
        <v>0</v>
      </c>
      <c r="L9" s="455">
        <f>transport!L14</f>
        <v>0</v>
      </c>
      <c r="M9" s="455">
        <f>transport!M14</f>
        <v>6954.3823925874403</v>
      </c>
      <c r="N9" s="455">
        <f>transport!N14</f>
        <v>0</v>
      </c>
      <c r="O9" s="455">
        <f>transport!O14</f>
        <v>0</v>
      </c>
      <c r="P9" s="455">
        <f>transport!P14</f>
        <v>0</v>
      </c>
      <c r="Q9" s="454">
        <f>SUM(B9:P9)</f>
        <v>230381.69769342337</v>
      </c>
    </row>
    <row r="10" spans="1:17">
      <c r="A10" s="450" t="s">
        <v>553</v>
      </c>
      <c r="B10" s="451">
        <f>transport!B54</f>
        <v>0</v>
      </c>
      <c r="C10" s="451">
        <f>transport!C54</f>
        <v>0</v>
      </c>
      <c r="D10" s="451">
        <f>transport!D54</f>
        <v>0</v>
      </c>
      <c r="E10" s="451">
        <f>transport!E54</f>
        <v>0</v>
      </c>
      <c r="F10" s="451">
        <f>transport!F54</f>
        <v>0</v>
      </c>
      <c r="G10" s="451">
        <f>transport!G54</f>
        <v>3166.8100762062868</v>
      </c>
      <c r="H10" s="451">
        <f>transport!H54</f>
        <v>0</v>
      </c>
      <c r="I10" s="451">
        <f>transport!I54</f>
        <v>0</v>
      </c>
      <c r="J10" s="451">
        <f>transport!J54</f>
        <v>0</v>
      </c>
      <c r="K10" s="451">
        <f>transport!K54</f>
        <v>0</v>
      </c>
      <c r="L10" s="451">
        <f>transport!L54</f>
        <v>0</v>
      </c>
      <c r="M10" s="451">
        <f>transport!M54</f>
        <v>98.103364873756959</v>
      </c>
      <c r="N10" s="451">
        <f>transport!N54</f>
        <v>0</v>
      </c>
      <c r="O10" s="451">
        <f>transport!O54</f>
        <v>0</v>
      </c>
      <c r="P10" s="452">
        <f>transport!P54</f>
        <v>0</v>
      </c>
      <c r="Q10" s="450">
        <f t="shared" si="0"/>
        <v>3264.9134410800439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1477.9736924000001</v>
      </c>
      <c r="C14" s="458"/>
      <c r="D14" s="458">
        <f>'SEAP template'!E25</f>
        <v>5010.1625195000006</v>
      </c>
      <c r="E14" s="458"/>
      <c r="F14" s="458"/>
      <c r="G14" s="458"/>
      <c r="H14" s="458"/>
      <c r="I14" s="458"/>
      <c r="J14" s="458"/>
      <c r="K14" s="458"/>
      <c r="L14" s="458"/>
      <c r="M14" s="458"/>
      <c r="N14" s="458"/>
      <c r="O14" s="458"/>
      <c r="P14" s="459"/>
      <c r="Q14" s="450">
        <f t="shared" si="0"/>
        <v>6488.1362119000005</v>
      </c>
    </row>
    <row r="15" spans="1:17" s="460" customFormat="1">
      <c r="A15" s="1004" t="s">
        <v>557</v>
      </c>
      <c r="B15" s="944">
        <f ca="1">SUM(B4:B14)</f>
        <v>119559.55763830703</v>
      </c>
      <c r="C15" s="944">
        <f t="shared" ref="C15:Q15" ca="1" si="1">SUM(C4:C14)</f>
        <v>0</v>
      </c>
      <c r="D15" s="944">
        <f t="shared" ca="1" si="1"/>
        <v>163490.87560110108</v>
      </c>
      <c r="E15" s="944">
        <f t="shared" si="1"/>
        <v>16852.157762228388</v>
      </c>
      <c r="F15" s="944">
        <f t="shared" ca="1" si="1"/>
        <v>35279.309096858153</v>
      </c>
      <c r="G15" s="944">
        <f t="shared" si="1"/>
        <v>189869.73852092549</v>
      </c>
      <c r="H15" s="944">
        <f t="shared" si="1"/>
        <v>36060.052588801875</v>
      </c>
      <c r="I15" s="944">
        <f t="shared" si="1"/>
        <v>0</v>
      </c>
      <c r="J15" s="944">
        <f t="shared" si="1"/>
        <v>545.13863409054966</v>
      </c>
      <c r="K15" s="944">
        <f t="shared" si="1"/>
        <v>0</v>
      </c>
      <c r="L15" s="944">
        <f t="shared" ca="1" si="1"/>
        <v>0</v>
      </c>
      <c r="M15" s="944">
        <f t="shared" si="1"/>
        <v>7052.485757461197</v>
      </c>
      <c r="N15" s="944">
        <f t="shared" ca="1" si="1"/>
        <v>17389.070536874719</v>
      </c>
      <c r="O15" s="944">
        <f t="shared" si="1"/>
        <v>492.45</v>
      </c>
      <c r="P15" s="944">
        <f t="shared" si="1"/>
        <v>953.33333333333337</v>
      </c>
      <c r="Q15" s="944">
        <f t="shared" ca="1" si="1"/>
        <v>587544.1694699818</v>
      </c>
    </row>
    <row r="17" spans="1:17">
      <c r="A17" s="461" t="s">
        <v>558</v>
      </c>
      <c r="B17" s="760">
        <f ca="1">huishoudens!B10</f>
        <v>0.21208157831085678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9714.2188512716784</v>
      </c>
      <c r="C22" s="451">
        <f t="shared" ref="C22:C32" ca="1" si="3">C4*$C$17</f>
        <v>0</v>
      </c>
      <c r="D22" s="451">
        <f t="shared" ref="D22:D32" si="4">D4*$D$17</f>
        <v>19308.45086220996</v>
      </c>
      <c r="E22" s="451">
        <f t="shared" ref="E22:E32" si="5">E4*$E$17</f>
        <v>3119.8373947372384</v>
      </c>
      <c r="F22" s="451">
        <f t="shared" ref="F22:F32" si="6">F4*$F$17</f>
        <v>2523.9149085344443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34666.42201675332</v>
      </c>
    </row>
    <row r="23" spans="1:17">
      <c r="A23" s="450" t="s">
        <v>155</v>
      </c>
      <c r="B23" s="451">
        <f t="shared" ca="1" si="2"/>
        <v>8105.9729732523592</v>
      </c>
      <c r="C23" s="451">
        <f t="shared" ca="1" si="3"/>
        <v>0</v>
      </c>
      <c r="D23" s="451">
        <f t="shared" ca="1" si="4"/>
        <v>9076.6221208903899</v>
      </c>
      <c r="E23" s="451">
        <f t="shared" si="5"/>
        <v>137.77209909673667</v>
      </c>
      <c r="F23" s="451">
        <f t="shared" ca="1" si="6"/>
        <v>2815.9946526443555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20136.361845883843</v>
      </c>
    </row>
    <row r="24" spans="1:17">
      <c r="A24" s="450" t="s">
        <v>193</v>
      </c>
      <c r="B24" s="451">
        <f t="shared" ca="1" si="2"/>
        <v>398.83298123457809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398.83298123457809</v>
      </c>
    </row>
    <row r="25" spans="1:17">
      <c r="A25" s="450" t="s">
        <v>111</v>
      </c>
      <c r="B25" s="451">
        <f t="shared" ca="1" si="2"/>
        <v>433.03598039750011</v>
      </c>
      <c r="C25" s="451">
        <f t="shared" ca="1" si="3"/>
        <v>0</v>
      </c>
      <c r="D25" s="451">
        <f t="shared" si="4"/>
        <v>1221.4493681292809</v>
      </c>
      <c r="E25" s="451">
        <f t="shared" si="5"/>
        <v>11.951807064721685</v>
      </c>
      <c r="F25" s="451">
        <f t="shared" si="6"/>
        <v>1992.7017705692203</v>
      </c>
      <c r="G25" s="451">
        <f t="shared" si="7"/>
        <v>0</v>
      </c>
      <c r="H25" s="451">
        <f t="shared" si="8"/>
        <v>0</v>
      </c>
      <c r="I25" s="451">
        <f t="shared" si="9"/>
        <v>0</v>
      </c>
      <c r="J25" s="451">
        <f t="shared" si="10"/>
        <v>104.05808515566726</v>
      </c>
      <c r="K25" s="451">
        <f t="shared" si="11"/>
        <v>0</v>
      </c>
      <c r="L25" s="451">
        <f t="shared" si="12"/>
        <v>0</v>
      </c>
      <c r="M25" s="451">
        <f t="shared" si="13"/>
        <v>0</v>
      </c>
      <c r="N25" s="451">
        <f t="shared" si="14"/>
        <v>0</v>
      </c>
      <c r="O25" s="451">
        <f t="shared" si="15"/>
        <v>0</v>
      </c>
      <c r="P25" s="452">
        <f t="shared" si="16"/>
        <v>0</v>
      </c>
      <c r="Q25" s="450">
        <f t="shared" ca="1" si="17"/>
        <v>3763.1970113163902</v>
      </c>
    </row>
    <row r="26" spans="1:17">
      <c r="A26" s="450" t="s">
        <v>637</v>
      </c>
      <c r="B26" s="451">
        <f t="shared" ca="1" si="2"/>
        <v>6380.3024279535521</v>
      </c>
      <c r="C26" s="451">
        <f t="shared" ca="1" si="3"/>
        <v>0</v>
      </c>
      <c r="D26" s="451">
        <f t="shared" si="4"/>
        <v>2385.5722102819882</v>
      </c>
      <c r="E26" s="451">
        <f t="shared" si="5"/>
        <v>439.99298111861452</v>
      </c>
      <c r="F26" s="451">
        <f t="shared" si="6"/>
        <v>2086.9641971131068</v>
      </c>
      <c r="G26" s="451">
        <f t="shared" si="7"/>
        <v>0</v>
      </c>
      <c r="H26" s="451">
        <f t="shared" si="8"/>
        <v>0</v>
      </c>
      <c r="I26" s="451">
        <f t="shared" si="9"/>
        <v>0</v>
      </c>
      <c r="J26" s="451">
        <f t="shared" si="10"/>
        <v>88.920991312387301</v>
      </c>
      <c r="K26" s="451">
        <f t="shared" si="11"/>
        <v>0</v>
      </c>
      <c r="L26" s="451">
        <f t="shared" si="12"/>
        <v>0</v>
      </c>
      <c r="M26" s="451">
        <f t="shared" si="13"/>
        <v>0</v>
      </c>
      <c r="N26" s="451">
        <f t="shared" si="14"/>
        <v>0</v>
      </c>
      <c r="O26" s="451">
        <f t="shared" si="15"/>
        <v>0</v>
      </c>
      <c r="P26" s="452">
        <f t="shared" si="16"/>
        <v>0</v>
      </c>
      <c r="Q26" s="450">
        <f t="shared" ca="1" si="17"/>
        <v>11381.752807779647</v>
      </c>
    </row>
    <row r="27" spans="1:17" s="456" customFormat="1">
      <c r="A27" s="454" t="s">
        <v>563</v>
      </c>
      <c r="B27" s="754">
        <f t="shared" ca="1" si="2"/>
        <v>10.565478584222699</v>
      </c>
      <c r="C27" s="455">
        <f t="shared" ca="1" si="3"/>
        <v>0</v>
      </c>
      <c r="D27" s="455">
        <f t="shared" si="4"/>
        <v>21.009480971808365</v>
      </c>
      <c r="E27" s="455">
        <f t="shared" si="5"/>
        <v>115.88553000853277</v>
      </c>
      <c r="F27" s="455">
        <f t="shared" si="6"/>
        <v>0</v>
      </c>
      <c r="G27" s="455">
        <f t="shared" si="7"/>
        <v>49849.681894740032</v>
      </c>
      <c r="H27" s="455">
        <f t="shared" si="8"/>
        <v>8978.9530946116665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58976.095478916257</v>
      </c>
    </row>
    <row r="28" spans="1:17">
      <c r="A28" s="450" t="s">
        <v>553</v>
      </c>
      <c r="B28" s="451">
        <f t="shared" ca="1" si="2"/>
        <v>0</v>
      </c>
      <c r="C28" s="451">
        <f t="shared" ca="1" si="3"/>
        <v>0</v>
      </c>
      <c r="D28" s="451">
        <f t="shared" si="4"/>
        <v>0</v>
      </c>
      <c r="E28" s="451">
        <f t="shared" si="5"/>
        <v>0</v>
      </c>
      <c r="F28" s="451">
        <f t="shared" si="6"/>
        <v>0</v>
      </c>
      <c r="G28" s="451">
        <f t="shared" si="7"/>
        <v>845.5382903470786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845.5382903470786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313.45099338611675</v>
      </c>
      <c r="C32" s="451">
        <f t="shared" ca="1" si="3"/>
        <v>0</v>
      </c>
      <c r="D32" s="451">
        <f t="shared" si="4"/>
        <v>1012.0528289390002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1325.503822325117</v>
      </c>
    </row>
    <row r="33" spans="1:17" s="460" customFormat="1">
      <c r="A33" s="1004" t="s">
        <v>557</v>
      </c>
      <c r="B33" s="944">
        <f ca="1">SUM(B22:B32)</f>
        <v>25356.379686080007</v>
      </c>
      <c r="C33" s="944">
        <f t="shared" ref="C33:Q33" ca="1" si="18">SUM(C22:C32)</f>
        <v>0</v>
      </c>
      <c r="D33" s="944">
        <f t="shared" ca="1" si="18"/>
        <v>33025.156871422427</v>
      </c>
      <c r="E33" s="944">
        <f t="shared" si="18"/>
        <v>3825.4398120258443</v>
      </c>
      <c r="F33" s="944">
        <f t="shared" ca="1" si="18"/>
        <v>9419.5755288611272</v>
      </c>
      <c r="G33" s="944">
        <f t="shared" si="18"/>
        <v>50695.220185087113</v>
      </c>
      <c r="H33" s="944">
        <f t="shared" si="18"/>
        <v>8978.9530946116665</v>
      </c>
      <c r="I33" s="944">
        <f t="shared" si="18"/>
        <v>0</v>
      </c>
      <c r="J33" s="944">
        <f t="shared" si="18"/>
        <v>192.97907646805456</v>
      </c>
      <c r="K33" s="944">
        <f t="shared" si="18"/>
        <v>0</v>
      </c>
      <c r="L33" s="944">
        <f t="shared" ca="1" si="18"/>
        <v>0</v>
      </c>
      <c r="M33" s="944">
        <f t="shared" si="18"/>
        <v>0</v>
      </c>
      <c r="N33" s="944">
        <f t="shared" ca="1" si="18"/>
        <v>0</v>
      </c>
      <c r="O33" s="944">
        <f t="shared" si="18"/>
        <v>0</v>
      </c>
      <c r="P33" s="944">
        <f t="shared" si="18"/>
        <v>0</v>
      </c>
      <c r="Q33" s="944">
        <f t="shared" ca="1" si="18"/>
        <v>131493.70425455621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4824.8079275377622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4824.8079275377622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0.21208157831085678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0.21208157831085678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0.21208157831085678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0.21208157831085678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9900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1380</v>
      </c>
      <c r="C14" s="330"/>
      <c r="D14" s="330"/>
      <c r="E14" s="330"/>
      <c r="F14" s="330"/>
    </row>
    <row r="15" spans="1:6">
      <c r="A15" s="1291" t="s">
        <v>183</v>
      </c>
      <c r="B15" s="1292">
        <v>6</v>
      </c>
      <c r="C15" s="330"/>
      <c r="D15" s="330"/>
      <c r="E15" s="330"/>
      <c r="F15" s="330"/>
    </row>
    <row r="16" spans="1:6">
      <c r="A16" s="1291" t="s">
        <v>6</v>
      </c>
      <c r="B16" s="1292">
        <v>231</v>
      </c>
      <c r="C16" s="330"/>
      <c r="D16" s="330"/>
      <c r="E16" s="330"/>
      <c r="F16" s="330"/>
    </row>
    <row r="17" spans="1:6">
      <c r="A17" s="1291" t="s">
        <v>7</v>
      </c>
      <c r="B17" s="1292">
        <v>351</v>
      </c>
      <c r="C17" s="330"/>
      <c r="D17" s="330"/>
      <c r="E17" s="330"/>
      <c r="F17" s="330"/>
    </row>
    <row r="18" spans="1:6">
      <c r="A18" s="1291" t="s">
        <v>8</v>
      </c>
      <c r="B18" s="1292">
        <v>434</v>
      </c>
      <c r="C18" s="330"/>
      <c r="D18" s="330"/>
      <c r="E18" s="330"/>
      <c r="F18" s="330"/>
    </row>
    <row r="19" spans="1:6">
      <c r="A19" s="1291" t="s">
        <v>9</v>
      </c>
      <c r="B19" s="1292">
        <v>363</v>
      </c>
      <c r="C19" s="330"/>
      <c r="D19" s="330"/>
      <c r="E19" s="330"/>
      <c r="F19" s="330"/>
    </row>
    <row r="20" spans="1:6">
      <c r="A20" s="1291" t="s">
        <v>10</v>
      </c>
      <c r="B20" s="1292">
        <v>319</v>
      </c>
      <c r="C20" s="330"/>
      <c r="D20" s="330"/>
      <c r="E20" s="330"/>
      <c r="F20" s="330"/>
    </row>
    <row r="21" spans="1:6">
      <c r="A21" s="1291" t="s">
        <v>11</v>
      </c>
      <c r="B21" s="1292">
        <v>158</v>
      </c>
      <c r="C21" s="330"/>
      <c r="D21" s="330"/>
      <c r="E21" s="330"/>
      <c r="F21" s="330"/>
    </row>
    <row r="22" spans="1:6">
      <c r="A22" s="1291" t="s">
        <v>12</v>
      </c>
      <c r="B22" s="1292">
        <v>90</v>
      </c>
      <c r="C22" s="330"/>
      <c r="D22" s="330"/>
      <c r="E22" s="330"/>
      <c r="F22" s="330"/>
    </row>
    <row r="23" spans="1:6">
      <c r="A23" s="1291" t="s">
        <v>13</v>
      </c>
      <c r="B23" s="1292">
        <v>1</v>
      </c>
      <c r="C23" s="330"/>
      <c r="D23" s="330"/>
      <c r="E23" s="330"/>
      <c r="F23" s="330"/>
    </row>
    <row r="24" spans="1:6">
      <c r="A24" s="1291" t="s">
        <v>14</v>
      </c>
      <c r="B24" s="1292">
        <v>7</v>
      </c>
      <c r="C24" s="330"/>
      <c r="D24" s="330"/>
      <c r="E24" s="330"/>
      <c r="F24" s="330"/>
    </row>
    <row r="25" spans="1:6">
      <c r="A25" s="1291" t="s">
        <v>15</v>
      </c>
      <c r="B25" s="1292">
        <v>30</v>
      </c>
      <c r="C25" s="330"/>
      <c r="D25" s="330"/>
      <c r="E25" s="330"/>
      <c r="F25" s="330"/>
    </row>
    <row r="26" spans="1:6">
      <c r="A26" s="1291" t="s">
        <v>16</v>
      </c>
      <c r="B26" s="1292">
        <v>29</v>
      </c>
      <c r="C26" s="330"/>
      <c r="D26" s="330"/>
      <c r="E26" s="330"/>
      <c r="F26" s="330"/>
    </row>
    <row r="27" spans="1:6">
      <c r="A27" s="1291" t="s">
        <v>17</v>
      </c>
      <c r="B27" s="1292">
        <v>2</v>
      </c>
      <c r="C27" s="330"/>
      <c r="D27" s="330"/>
      <c r="E27" s="330"/>
      <c r="F27" s="330"/>
    </row>
    <row r="28" spans="1:6" s="43" customFormat="1">
      <c r="A28" s="1293" t="s">
        <v>18</v>
      </c>
      <c r="B28" s="1294">
        <v>4188</v>
      </c>
      <c r="C28" s="336"/>
      <c r="D28" s="336"/>
      <c r="E28" s="336"/>
      <c r="F28" s="336"/>
    </row>
    <row r="29" spans="1:6">
      <c r="A29" s="1293" t="s">
        <v>892</v>
      </c>
      <c r="B29" s="1294">
        <v>194</v>
      </c>
      <c r="C29" s="336"/>
      <c r="D29" s="336"/>
      <c r="E29" s="336"/>
      <c r="F29" s="336"/>
    </row>
    <row r="30" spans="1:6">
      <c r="A30" s="1286" t="s">
        <v>893</v>
      </c>
      <c r="B30" s="1295">
        <v>41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188865.28604000001</v>
      </c>
    </row>
    <row r="36" spans="1:6">
      <c r="A36" s="1291" t="s">
        <v>24</v>
      </c>
      <c r="B36" s="1291" t="s">
        <v>26</v>
      </c>
      <c r="C36" s="1292">
        <v>0</v>
      </c>
      <c r="D36" s="1292">
        <v>0</v>
      </c>
      <c r="E36" s="1292">
        <v>3</v>
      </c>
      <c r="F36" s="1292">
        <v>18131</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6569</v>
      </c>
      <c r="D39" s="1292">
        <v>105971607.98999999</v>
      </c>
      <c r="E39" s="1292">
        <v>9645</v>
      </c>
      <c r="F39" s="1292">
        <v>41388307.836000003</v>
      </c>
    </row>
    <row r="40" spans="1:6">
      <c r="A40" s="1291" t="s">
        <v>29</v>
      </c>
      <c r="B40" s="1291" t="s">
        <v>28</v>
      </c>
      <c r="C40" s="1292">
        <v>0</v>
      </c>
      <c r="D40" s="1292">
        <v>0</v>
      </c>
      <c r="E40" s="1292">
        <v>0</v>
      </c>
      <c r="F40" s="1292">
        <v>0</v>
      </c>
    </row>
    <row r="41" spans="1:6">
      <c r="A41" s="1291" t="s">
        <v>31</v>
      </c>
      <c r="B41" s="1291" t="s">
        <v>32</v>
      </c>
      <c r="C41" s="1292">
        <v>105</v>
      </c>
      <c r="D41" s="1292">
        <v>2240837.7489</v>
      </c>
      <c r="E41" s="1292">
        <v>204</v>
      </c>
      <c r="F41" s="1292">
        <v>1830385.7583999999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10</v>
      </c>
      <c r="D44" s="1292">
        <v>833468.30992999999</v>
      </c>
      <c r="E44" s="1292">
        <v>30</v>
      </c>
      <c r="F44" s="1292">
        <v>867294.92087999999</v>
      </c>
    </row>
    <row r="45" spans="1:6">
      <c r="A45" s="1291" t="s">
        <v>31</v>
      </c>
      <c r="B45" s="1291" t="s">
        <v>36</v>
      </c>
      <c r="C45" s="1292">
        <v>3</v>
      </c>
      <c r="D45" s="1292">
        <v>27743.399122999999</v>
      </c>
      <c r="E45" s="1292">
        <v>4</v>
      </c>
      <c r="F45" s="1292">
        <v>10703.702131</v>
      </c>
    </row>
    <row r="46" spans="1:6">
      <c r="A46" s="1291" t="s">
        <v>31</v>
      </c>
      <c r="B46" s="1291" t="s">
        <v>37</v>
      </c>
      <c r="C46" s="1292">
        <v>0</v>
      </c>
      <c r="D46" s="1292">
        <v>0</v>
      </c>
      <c r="E46" s="1292">
        <v>0</v>
      </c>
      <c r="F46" s="1292">
        <v>0</v>
      </c>
    </row>
    <row r="47" spans="1:6">
      <c r="A47" s="1291" t="s">
        <v>31</v>
      </c>
      <c r="B47" s="1291" t="s">
        <v>38</v>
      </c>
      <c r="C47" s="1292">
        <v>5</v>
      </c>
      <c r="D47" s="1292">
        <v>218674.37768999999</v>
      </c>
      <c r="E47" s="1292">
        <v>8</v>
      </c>
      <c r="F47" s="1292">
        <v>578427.34637000004</v>
      </c>
    </row>
    <row r="48" spans="1:6">
      <c r="A48" s="1291" t="s">
        <v>31</v>
      </c>
      <c r="B48" s="1291" t="s">
        <v>28</v>
      </c>
      <c r="C48" s="1292">
        <v>26</v>
      </c>
      <c r="D48" s="1292">
        <v>9503772.8346999995</v>
      </c>
      <c r="E48" s="1292">
        <v>41</v>
      </c>
      <c r="F48" s="1292">
        <v>26205896.603999998</v>
      </c>
    </row>
    <row r="49" spans="1:6">
      <c r="A49" s="1291" t="s">
        <v>31</v>
      </c>
      <c r="B49" s="1291" t="s">
        <v>39</v>
      </c>
      <c r="C49" s="1292">
        <v>0</v>
      </c>
      <c r="D49" s="1292">
        <v>0</v>
      </c>
      <c r="E49" s="1292">
        <v>0</v>
      </c>
      <c r="F49" s="1292">
        <v>0</v>
      </c>
    </row>
    <row r="50" spans="1:6">
      <c r="A50" s="1291" t="s">
        <v>31</v>
      </c>
      <c r="B50" s="1291" t="s">
        <v>40</v>
      </c>
      <c r="C50" s="1292">
        <v>9</v>
      </c>
      <c r="D50" s="1292">
        <v>268367.42859000002</v>
      </c>
      <c r="E50" s="1292">
        <v>18</v>
      </c>
      <c r="F50" s="1292">
        <v>591481.34074999997</v>
      </c>
    </row>
    <row r="51" spans="1:6">
      <c r="A51" s="1291" t="s">
        <v>41</v>
      </c>
      <c r="B51" s="1291" t="s">
        <v>42</v>
      </c>
      <c r="C51" s="1292">
        <v>23</v>
      </c>
      <c r="D51" s="1292">
        <v>6665227.8360000001</v>
      </c>
      <c r="E51" s="1292">
        <v>86</v>
      </c>
      <c r="F51" s="1292">
        <v>1984334.7145</v>
      </c>
    </row>
    <row r="52" spans="1:6">
      <c r="A52" s="1291" t="s">
        <v>41</v>
      </c>
      <c r="B52" s="1291" t="s">
        <v>28</v>
      </c>
      <c r="C52" s="1292">
        <v>3</v>
      </c>
      <c r="D52" s="1292">
        <v>38518.339327000002</v>
      </c>
      <c r="E52" s="1292">
        <v>8</v>
      </c>
      <c r="F52" s="1292">
        <v>57502.128880999997</v>
      </c>
    </row>
    <row r="53" spans="1:6">
      <c r="A53" s="1291" t="s">
        <v>43</v>
      </c>
      <c r="B53" s="1291" t="s">
        <v>44</v>
      </c>
      <c r="C53" s="1292">
        <v>183</v>
      </c>
      <c r="D53" s="1292">
        <v>5010162.5195000004</v>
      </c>
      <c r="E53" s="1292">
        <v>362</v>
      </c>
      <c r="F53" s="1292">
        <v>1477973.6924000001</v>
      </c>
    </row>
    <row r="54" spans="1:6">
      <c r="A54" s="1291" t="s">
        <v>45</v>
      </c>
      <c r="B54" s="1291" t="s">
        <v>46</v>
      </c>
      <c r="C54" s="1292">
        <v>0</v>
      </c>
      <c r="D54" s="1292">
        <v>0</v>
      </c>
      <c r="E54" s="1292">
        <v>5</v>
      </c>
      <c r="F54" s="1292">
        <v>1880564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50</v>
      </c>
      <c r="D57" s="1292">
        <v>2896719.2927999999</v>
      </c>
      <c r="E57" s="1292">
        <v>151</v>
      </c>
      <c r="F57" s="1292">
        <v>2708486.5610000002</v>
      </c>
    </row>
    <row r="58" spans="1:6">
      <c r="A58" s="1291" t="s">
        <v>48</v>
      </c>
      <c r="B58" s="1291" t="s">
        <v>50</v>
      </c>
      <c r="C58" s="1292">
        <v>58</v>
      </c>
      <c r="D58" s="1292">
        <v>3512737.5493000001</v>
      </c>
      <c r="E58" s="1292">
        <v>93</v>
      </c>
      <c r="F58" s="1292">
        <v>1409324.2482</v>
      </c>
    </row>
    <row r="59" spans="1:6">
      <c r="A59" s="1291" t="s">
        <v>48</v>
      </c>
      <c r="B59" s="1291" t="s">
        <v>51</v>
      </c>
      <c r="C59" s="1292">
        <v>132</v>
      </c>
      <c r="D59" s="1292">
        <v>5055004.9677999998</v>
      </c>
      <c r="E59" s="1292">
        <v>271</v>
      </c>
      <c r="F59" s="1292">
        <v>9081285.0659999996</v>
      </c>
    </row>
    <row r="60" spans="1:6">
      <c r="A60" s="1291" t="s">
        <v>48</v>
      </c>
      <c r="B60" s="1291" t="s">
        <v>52</v>
      </c>
      <c r="C60" s="1292">
        <v>70</v>
      </c>
      <c r="D60" s="1292">
        <v>2994325.02</v>
      </c>
      <c r="E60" s="1292">
        <v>82</v>
      </c>
      <c r="F60" s="1292">
        <v>1852985.7692</v>
      </c>
    </row>
    <row r="61" spans="1:6">
      <c r="A61" s="1291" t="s">
        <v>48</v>
      </c>
      <c r="B61" s="1291" t="s">
        <v>53</v>
      </c>
      <c r="C61" s="1292">
        <v>302</v>
      </c>
      <c r="D61" s="1292">
        <v>18784587.348999999</v>
      </c>
      <c r="E61" s="1292">
        <v>455</v>
      </c>
      <c r="F61" s="1292">
        <v>14222601.356000001</v>
      </c>
    </row>
    <row r="62" spans="1:6">
      <c r="A62" s="1291" t="s">
        <v>48</v>
      </c>
      <c r="B62" s="1291" t="s">
        <v>54</v>
      </c>
      <c r="C62" s="1292">
        <v>16</v>
      </c>
      <c r="D62" s="1292">
        <v>11020637.086999999</v>
      </c>
      <c r="E62" s="1292">
        <v>25</v>
      </c>
      <c r="F62" s="1292">
        <v>5615162.8140000002</v>
      </c>
    </row>
    <row r="63" spans="1:6">
      <c r="A63" s="1291" t="s">
        <v>48</v>
      </c>
      <c r="B63" s="1291" t="s">
        <v>28</v>
      </c>
      <c r="C63" s="1292">
        <v>115</v>
      </c>
      <c r="D63" s="1292">
        <v>5551701.4566000002</v>
      </c>
      <c r="E63" s="1292">
        <v>104</v>
      </c>
      <c r="F63" s="1292">
        <v>3331168.1831999999</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5</v>
      </c>
      <c r="D66" s="1292">
        <v>2461585.4465000001</v>
      </c>
      <c r="E66" s="1292">
        <v>17</v>
      </c>
      <c r="F66" s="1292">
        <v>2000808.2275</v>
      </c>
    </row>
    <row r="67" spans="1:6">
      <c r="A67" s="1293" t="s">
        <v>55</v>
      </c>
      <c r="B67" s="1293" t="s">
        <v>58</v>
      </c>
      <c r="C67" s="1292">
        <v>0</v>
      </c>
      <c r="D67" s="1292">
        <v>0</v>
      </c>
      <c r="E67" s="1292">
        <v>0</v>
      </c>
      <c r="F67" s="1292">
        <v>0</v>
      </c>
    </row>
    <row r="68" spans="1:6">
      <c r="A68" s="1286" t="s">
        <v>55</v>
      </c>
      <c r="B68" s="1286" t="s">
        <v>59</v>
      </c>
      <c r="C68" s="1295">
        <v>6</v>
      </c>
      <c r="D68" s="1295">
        <v>143228.10633000001</v>
      </c>
      <c r="E68" s="1295">
        <v>8</v>
      </c>
      <c r="F68" s="1295">
        <v>65541.454303999999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71193697</v>
      </c>
      <c r="E73" s="449"/>
      <c r="F73" s="330"/>
    </row>
    <row r="74" spans="1:6">
      <c r="A74" s="1291" t="s">
        <v>63</v>
      </c>
      <c r="B74" s="1291" t="s">
        <v>664</v>
      </c>
      <c r="C74" s="1305" t="s">
        <v>666</v>
      </c>
      <c r="D74" s="1306">
        <v>5524561.5268952083</v>
      </c>
      <c r="E74" s="449"/>
      <c r="F74" s="330"/>
    </row>
    <row r="75" spans="1:6">
      <c r="A75" s="1291" t="s">
        <v>64</v>
      </c>
      <c r="B75" s="1291" t="s">
        <v>663</v>
      </c>
      <c r="C75" s="1305" t="s">
        <v>667</v>
      </c>
      <c r="D75" s="1306">
        <v>53754288</v>
      </c>
      <c r="E75" s="449"/>
      <c r="F75" s="330"/>
    </row>
    <row r="76" spans="1:6">
      <c r="A76" s="1291" t="s">
        <v>64</v>
      </c>
      <c r="B76" s="1291" t="s">
        <v>664</v>
      </c>
      <c r="C76" s="1305" t="s">
        <v>668</v>
      </c>
      <c r="D76" s="1306">
        <v>3048071.5268952078</v>
      </c>
      <c r="E76" s="449"/>
      <c r="F76" s="330"/>
    </row>
    <row r="77" spans="1:6">
      <c r="A77" s="1291" t="s">
        <v>65</v>
      </c>
      <c r="B77" s="1291" t="s">
        <v>663</v>
      </c>
      <c r="C77" s="1305" t="s">
        <v>669</v>
      </c>
      <c r="D77" s="1306">
        <v>117178212</v>
      </c>
      <c r="E77" s="449"/>
      <c r="F77" s="330"/>
    </row>
    <row r="78" spans="1:6">
      <c r="A78" s="1286" t="s">
        <v>65</v>
      </c>
      <c r="B78" s="1286" t="s">
        <v>664</v>
      </c>
      <c r="C78" s="1286" t="s">
        <v>670</v>
      </c>
      <c r="D78" s="1307">
        <v>12242268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885880.94620958425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4415.853603392653</v>
      </c>
      <c r="C91" s="330"/>
      <c r="D91" s="330"/>
      <c r="E91" s="330"/>
      <c r="F91" s="330"/>
    </row>
    <row r="92" spans="1:6">
      <c r="A92" s="1286" t="s">
        <v>68</v>
      </c>
      <c r="B92" s="1287">
        <v>408.9543241451093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3542</v>
      </c>
      <c r="C97" s="330"/>
      <c r="D97" s="330"/>
      <c r="E97" s="330"/>
      <c r="F97" s="330"/>
    </row>
    <row r="98" spans="1:6">
      <c r="A98" s="1291" t="s">
        <v>71</v>
      </c>
      <c r="B98" s="1292">
        <v>1</v>
      </c>
      <c r="C98" s="330"/>
      <c r="D98" s="330"/>
      <c r="E98" s="330"/>
      <c r="F98" s="330"/>
    </row>
    <row r="99" spans="1:6">
      <c r="A99" s="1291" t="s">
        <v>72</v>
      </c>
      <c r="B99" s="1292">
        <v>75</v>
      </c>
      <c r="C99" s="330"/>
      <c r="D99" s="330"/>
      <c r="E99" s="330"/>
      <c r="F99" s="330"/>
    </row>
    <row r="100" spans="1:6">
      <c r="A100" s="1291" t="s">
        <v>73</v>
      </c>
      <c r="B100" s="1292">
        <v>1093</v>
      </c>
      <c r="C100" s="330"/>
      <c r="D100" s="330"/>
      <c r="E100" s="330"/>
      <c r="F100" s="330"/>
    </row>
    <row r="101" spans="1:6">
      <c r="A101" s="1291" t="s">
        <v>74</v>
      </c>
      <c r="B101" s="1292">
        <v>88</v>
      </c>
      <c r="C101" s="330"/>
      <c r="D101" s="330"/>
      <c r="E101" s="330"/>
      <c r="F101" s="330"/>
    </row>
    <row r="102" spans="1:6">
      <c r="A102" s="1291" t="s">
        <v>75</v>
      </c>
      <c r="B102" s="1292">
        <v>153</v>
      </c>
      <c r="C102" s="330"/>
      <c r="D102" s="330"/>
      <c r="E102" s="330"/>
      <c r="F102" s="330"/>
    </row>
    <row r="103" spans="1:6">
      <c r="A103" s="1291" t="s">
        <v>76</v>
      </c>
      <c r="B103" s="1292">
        <v>240</v>
      </c>
      <c r="C103" s="330"/>
      <c r="D103" s="330"/>
      <c r="E103" s="330"/>
      <c r="F103" s="330"/>
    </row>
    <row r="104" spans="1:6">
      <c r="A104" s="1291" t="s">
        <v>77</v>
      </c>
      <c r="B104" s="1292">
        <v>3188</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30</v>
      </c>
      <c r="C123" s="1292">
        <v>51</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256</v>
      </c>
      <c r="C129" s="330"/>
      <c r="D129" s="330"/>
      <c r="E129" s="330"/>
      <c r="F129" s="330"/>
    </row>
    <row r="130" spans="1:6">
      <c r="A130" s="1291" t="s">
        <v>294</v>
      </c>
      <c r="B130" s="1292">
        <v>6</v>
      </c>
      <c r="C130" s="330"/>
      <c r="D130" s="330"/>
      <c r="E130" s="330"/>
      <c r="F130" s="330"/>
    </row>
    <row r="131" spans="1:6">
      <c r="A131" s="1291" t="s">
        <v>295</v>
      </c>
      <c r="B131" s="1292">
        <v>3</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119559.55763830703</v>
      </c>
      <c r="C3" s="43" t="s">
        <v>169</v>
      </c>
      <c r="D3" s="43"/>
      <c r="E3" s="154"/>
      <c r="F3" s="43"/>
      <c r="G3" s="43"/>
      <c r="H3" s="43"/>
      <c r="I3" s="43"/>
      <c r="J3" s="43"/>
      <c r="K3" s="96"/>
    </row>
    <row r="4" spans="1:11">
      <c r="A4" s="358" t="s">
        <v>170</v>
      </c>
      <c r="B4" s="49">
        <f>IF(ISERROR('SEAP template'!B78+'SEAP template'!C78),0,'SEAP template'!B78+'SEAP template'!C78)</f>
        <v>4824.8079275377622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0.21208157831085678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1880.5640000000001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1880.5640000000001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0.21208157831085678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398.83298123457809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41388.307836</v>
      </c>
      <c r="C5" s="17">
        <f>IF(ISERROR('Eigen informatie GS &amp; warmtenet'!B57),0,'Eigen informatie GS &amp; warmtenet'!B57)</f>
        <v>0</v>
      </c>
      <c r="D5" s="30">
        <f>(SUM(HH_hh_gas_kWh,HH_rest_gas_kWh)/1000)*0.902</f>
        <v>95586.39040697999</v>
      </c>
      <c r="E5" s="17">
        <f>B46*B57</f>
        <v>13743.777069327041</v>
      </c>
      <c r="F5" s="17">
        <f>B51*B62</f>
        <v>9452.8648259717011</v>
      </c>
      <c r="G5" s="18"/>
      <c r="H5" s="17"/>
      <c r="I5" s="17"/>
      <c r="J5" s="17">
        <f>B50*B61+C50*C61</f>
        <v>0</v>
      </c>
      <c r="K5" s="17"/>
      <c r="L5" s="17"/>
      <c r="M5" s="17"/>
      <c r="N5" s="17">
        <f>B48*B59+C48*C59</f>
        <v>12886.932679463722</v>
      </c>
      <c r="O5" s="17">
        <f>B69*B70*B71</f>
        <v>483.07</v>
      </c>
      <c r="P5" s="17">
        <f>B77*B78*B79/1000-B77*B78*B79/1000/B80</f>
        <v>896.13333333333333</v>
      </c>
    </row>
    <row r="6" spans="1:16">
      <c r="A6" s="16" t="s">
        <v>623</v>
      </c>
      <c r="B6" s="762">
        <f>kWh_PV_kleiner_dan_10kW</f>
        <v>4415.853603392653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45804.16143939265</v>
      </c>
      <c r="C8" s="21">
        <f>C5</f>
        <v>0</v>
      </c>
      <c r="D8" s="21">
        <f>D5</f>
        <v>95586.39040697999</v>
      </c>
      <c r="E8" s="21">
        <f>E5</f>
        <v>13743.777069327041</v>
      </c>
      <c r="F8" s="21">
        <f>F5</f>
        <v>9452.8648259717011</v>
      </c>
      <c r="G8" s="21"/>
      <c r="H8" s="21"/>
      <c r="I8" s="21"/>
      <c r="J8" s="21">
        <f>J5</f>
        <v>0</v>
      </c>
      <c r="K8" s="21"/>
      <c r="L8" s="21">
        <f>L5</f>
        <v>0</v>
      </c>
      <c r="M8" s="21">
        <f>M5</f>
        <v>0</v>
      </c>
      <c r="N8" s="21">
        <f>N5</f>
        <v>12886.932679463722</v>
      </c>
      <c r="O8" s="21">
        <f>O5</f>
        <v>483.07</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0.21208157831085678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9714.2188512716784</v>
      </c>
      <c r="C12" s="23">
        <f ca="1">C10*C8</f>
        <v>0</v>
      </c>
      <c r="D12" s="23">
        <f>D8*D10</f>
        <v>19308.45086220996</v>
      </c>
      <c r="E12" s="23">
        <f>E10*E8</f>
        <v>3119.8373947372384</v>
      </c>
      <c r="F12" s="23">
        <f>F10*F8</f>
        <v>2523.9149085344443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3542</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5.9713375796178347</v>
      </c>
      <c r="D20" s="229"/>
      <c r="E20" s="15"/>
    </row>
    <row r="21" spans="1:7">
      <c r="A21" s="171" t="s">
        <v>73</v>
      </c>
      <c r="B21" s="37">
        <f>aantalw2001_elektriciteit</f>
        <v>1093</v>
      </c>
      <c r="C21" s="167">
        <f>IF(ISERROR(B21/SUM($B$20,$B$21,$B$22)*100),0,B21/SUM($B$20,$B$21,$B$22)*100)</f>
        <v>87.022292993630572</v>
      </c>
      <c r="D21" s="229"/>
      <c r="E21" s="15"/>
    </row>
    <row r="22" spans="1:7">
      <c r="A22" s="171" t="s">
        <v>74</v>
      </c>
      <c r="B22" s="37">
        <f>aantalw2001_hout</f>
        <v>88</v>
      </c>
      <c r="C22" s="167">
        <f>IF(ISERROR(B22/SUM($B$20,$B$21,$B$22)*100),0,B22/SUM($B$20,$B$21,$B$22)*100)</f>
        <v>7.0063694267515926</v>
      </c>
      <c r="D22" s="229"/>
      <c r="E22" s="15"/>
    </row>
    <row r="23" spans="1:7">
      <c r="A23" s="171" t="s">
        <v>75</v>
      </c>
      <c r="B23" s="37">
        <f>aantalw2001_niet_gespec</f>
        <v>153</v>
      </c>
      <c r="C23" s="166" t="s">
        <v>110</v>
      </c>
      <c r="D23" s="228"/>
      <c r="E23" s="15"/>
    </row>
    <row r="24" spans="1:7">
      <c r="A24" s="171" t="s">
        <v>76</v>
      </c>
      <c r="B24" s="37">
        <f>aantalw2001_steenkool</f>
        <v>240</v>
      </c>
      <c r="C24" s="166" t="s">
        <v>110</v>
      </c>
      <c r="D24" s="229"/>
      <c r="E24" s="15"/>
    </row>
    <row r="25" spans="1:7">
      <c r="A25" s="171" t="s">
        <v>77</v>
      </c>
      <c r="B25" s="37">
        <f>aantalw2001_stookolie</f>
        <v>3188</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9900</v>
      </c>
      <c r="C28" s="36"/>
      <c r="D28" s="228"/>
    </row>
    <row r="29" spans="1:7" s="15" customFormat="1">
      <c r="A29" s="230" t="s">
        <v>696</v>
      </c>
      <c r="B29" s="37">
        <f>SUM(HH_hh_gas_aantal,HH_rest_gas_aantal)</f>
        <v>6569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6569</v>
      </c>
      <c r="C32" s="167">
        <f>IF(ISERROR(B32/SUM($B$32,$B$34,$B$35,$B$36,$B$38,$B$39)*100),0,B32/SUM($B$32,$B$34,$B$35,$B$36,$B$38,$B$39)*100)</f>
        <v>66.670049731046376</v>
      </c>
      <c r="D32" s="233"/>
      <c r="G32" s="15"/>
    </row>
    <row r="33" spans="1:7">
      <c r="A33" s="171" t="s">
        <v>71</v>
      </c>
      <c r="B33" s="34" t="s">
        <v>110</v>
      </c>
      <c r="C33" s="167"/>
      <c r="D33" s="233"/>
      <c r="G33" s="15"/>
    </row>
    <row r="34" spans="1:7">
      <c r="A34" s="171" t="s">
        <v>72</v>
      </c>
      <c r="B34" s="33">
        <f>IF((($B$28-$B$32-$B$39-$B$77-$B$38)*C20/100)&lt;0,0,($B$28-$B$32-$B$39-$B$77-$B$38)*C20/100)</f>
        <v>168.40963375796181</v>
      </c>
      <c r="C34" s="167">
        <f>IF(ISERROR(B34/SUM($B$32,$B$34,$B$35,$B$36,$B$38,$B$39)*100),0,B34/SUM($B$32,$B$34,$B$35,$B$36,$B$38,$B$39)*100)</f>
        <v>1.7092218995023019</v>
      </c>
      <c r="D34" s="233"/>
      <c r="G34" s="15"/>
    </row>
    <row r="35" spans="1:7">
      <c r="A35" s="171" t="s">
        <v>73</v>
      </c>
      <c r="B35" s="33">
        <f>IF((($B$28-$B$32-$B$39-$B$77-$B$38)*C21/100)&lt;0,0,($B$28-$B$32-$B$39-$B$77-$B$38)*C21/100)</f>
        <v>2454.289729299363</v>
      </c>
      <c r="C35" s="167">
        <f>IF(ISERROR(B35/SUM($B$32,$B$34,$B$35,$B$36,$B$38,$B$39)*100),0,B35/SUM($B$32,$B$34,$B$35,$B$36,$B$38,$B$39)*100)</f>
        <v>24.909060482080207</v>
      </c>
      <c r="D35" s="233"/>
      <c r="G35" s="15"/>
    </row>
    <row r="36" spans="1:7">
      <c r="A36" s="171" t="s">
        <v>74</v>
      </c>
      <c r="B36" s="33">
        <f>IF((($B$28-$B$32-$B$39-$B$77-$B$38)*C22/100)&lt;0,0,($B$28-$B$32-$B$39-$B$77-$B$38)*C22/100)</f>
        <v>197.60063694267518</v>
      </c>
      <c r="C36" s="167">
        <f>IF(ISERROR(B36/SUM($B$32,$B$34,$B$35,$B$36,$B$38,$B$39)*100),0,B36/SUM($B$32,$B$34,$B$35,$B$36,$B$38,$B$39)*100)</f>
        <v>2.0054870287493674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463.69999999999982</v>
      </c>
      <c r="C39" s="167">
        <f>IF(ISERROR(B39/SUM($B$32,$B$34,$B$35,$B$36,$B$38,$B$39)*100),0,B39/SUM($B$32,$B$34,$B$35,$B$36,$B$38,$B$39)*100)</f>
        <v>4.706180858621738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6569</v>
      </c>
      <c r="C44" s="34" t="s">
        <v>110</v>
      </c>
      <c r="D44" s="174"/>
    </row>
    <row r="45" spans="1:7">
      <c r="A45" s="171" t="s">
        <v>71</v>
      </c>
      <c r="B45" s="33" t="str">
        <f t="shared" si="0"/>
        <v>-</v>
      </c>
      <c r="C45" s="34" t="s">
        <v>110</v>
      </c>
      <c r="D45" s="174"/>
    </row>
    <row r="46" spans="1:7">
      <c r="A46" s="171" t="s">
        <v>72</v>
      </c>
      <c r="B46" s="33">
        <f t="shared" si="0"/>
        <v>168.40963375796181</v>
      </c>
      <c r="C46" s="34" t="s">
        <v>110</v>
      </c>
      <c r="D46" s="174"/>
    </row>
    <row r="47" spans="1:7">
      <c r="A47" s="171" t="s">
        <v>73</v>
      </c>
      <c r="B47" s="33">
        <f t="shared" si="0"/>
        <v>2454.289729299363</v>
      </c>
      <c r="C47" s="34" t="s">
        <v>110</v>
      </c>
      <c r="D47" s="174"/>
    </row>
    <row r="48" spans="1:7">
      <c r="A48" s="171" t="s">
        <v>74</v>
      </c>
      <c r="B48" s="33">
        <f t="shared" si="0"/>
        <v>197.60063694267518</v>
      </c>
      <c r="C48" s="33">
        <f>B48*10</f>
        <v>1976.0063694267519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463.69999999999982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38221.013997600006</v>
      </c>
      <c r="C5" s="17">
        <f>IF(ISERROR('Eigen informatie GS &amp; warmtenet'!B58),0,'Eigen informatie GS &amp; warmtenet'!B58)</f>
        <v>0</v>
      </c>
      <c r="D5" s="30">
        <f>SUM(D6:D12)</f>
        <v>44933.772875694995</v>
      </c>
      <c r="E5" s="17">
        <f>SUM(E6:E12)</f>
        <v>606.92554668165928</v>
      </c>
      <c r="F5" s="17">
        <f>SUM(F6:F12)</f>
        <v>10546.796451851518</v>
      </c>
      <c r="G5" s="18"/>
      <c r="H5" s="17"/>
      <c r="I5" s="17"/>
      <c r="J5" s="17">
        <f>SUM(J6:J12)</f>
        <v>0</v>
      </c>
      <c r="K5" s="17"/>
      <c r="L5" s="17"/>
      <c r="M5" s="17"/>
      <c r="N5" s="17">
        <f>SUM(N6:N12)</f>
        <v>2480.927048637127</v>
      </c>
      <c r="O5" s="17">
        <f>B38*B39*B40</f>
        <v>9.3800000000000008</v>
      </c>
      <c r="P5" s="17">
        <f>B46*B47*B48/1000-B46*B47*B48/1000/B49</f>
        <v>57.2</v>
      </c>
      <c r="R5" s="32"/>
    </row>
    <row r="6" spans="1:18">
      <c r="A6" s="32" t="s">
        <v>53</v>
      </c>
      <c r="B6" s="37">
        <f>B26</f>
        <v>14222.601356000001</v>
      </c>
      <c r="C6" s="33"/>
      <c r="D6" s="37">
        <f>IF(ISERROR(TER_kantoor_gas_kWh/1000),0,TER_kantoor_gas_kWh/1000)*0.902</f>
        <v>16943.697788798003</v>
      </c>
      <c r="E6" s="33">
        <f>$C$26*'E Balans VL '!I12/100/3.6*1000000</f>
        <v>186.19137145448298</v>
      </c>
      <c r="F6" s="33">
        <f>$C$26*('E Balans VL '!L12+'E Balans VL '!N12)/100/3.6*1000000</f>
        <v>3626.61637490767</v>
      </c>
      <c r="G6" s="34"/>
      <c r="H6" s="33"/>
      <c r="I6" s="33"/>
      <c r="J6" s="33">
        <f>$C$26*('E Balans VL '!D12+'E Balans VL '!E12)/100/3.6*1000000</f>
        <v>0</v>
      </c>
      <c r="K6" s="33"/>
      <c r="L6" s="33"/>
      <c r="M6" s="33"/>
      <c r="N6" s="33">
        <f>$C$26*'E Balans VL '!Y12/100/3.6*1000000</f>
        <v>14.270495204263849</v>
      </c>
      <c r="O6" s="33"/>
      <c r="P6" s="33"/>
      <c r="R6" s="32"/>
    </row>
    <row r="7" spans="1:18">
      <c r="A7" s="32" t="s">
        <v>52</v>
      </c>
      <c r="B7" s="37">
        <f t="shared" ref="B7:B12" si="0">B27</f>
        <v>1852.9857692</v>
      </c>
      <c r="C7" s="33"/>
      <c r="D7" s="37">
        <f>IF(ISERROR(TER_horeca_gas_kWh/1000),0,TER_horeca_gas_kWh/1000)*0.902</f>
        <v>2700.8811680400004</v>
      </c>
      <c r="E7" s="33">
        <f>$C$27*'E Balans VL '!I9/100/3.6*1000000</f>
        <v>61.322557626193479</v>
      </c>
      <c r="F7" s="33">
        <f>$C$27*('E Balans VL '!L9+'E Balans VL '!N9)/100/3.6*1000000</f>
        <v>796.77677925433989</v>
      </c>
      <c r="G7" s="34"/>
      <c r="H7" s="33"/>
      <c r="I7" s="33"/>
      <c r="J7" s="33">
        <f>$C$27*('E Balans VL '!D9+'E Balans VL '!E9)/100/3.6*1000000</f>
        <v>0</v>
      </c>
      <c r="K7" s="33"/>
      <c r="L7" s="33"/>
      <c r="M7" s="33"/>
      <c r="N7" s="33">
        <f>$C$27*'E Balans VL '!Y9/100/3.6*1000000</f>
        <v>0.44604058295274995</v>
      </c>
      <c r="O7" s="33"/>
      <c r="P7" s="33"/>
      <c r="R7" s="32"/>
    </row>
    <row r="8" spans="1:18">
      <c r="A8" s="6" t="s">
        <v>51</v>
      </c>
      <c r="B8" s="37">
        <f t="shared" si="0"/>
        <v>9081.2850660000004</v>
      </c>
      <c r="C8" s="33"/>
      <c r="D8" s="37">
        <f>IF(ISERROR(TER_handel_gas_kWh/1000),0,TER_handel_gas_kWh/1000)*0.902</f>
        <v>4559.6144809555999</v>
      </c>
      <c r="E8" s="33">
        <f>$C$28*'E Balans VL '!I13/100/3.6*1000000</f>
        <v>286.61923247350597</v>
      </c>
      <c r="F8" s="33">
        <f>$C$28*('E Balans VL '!L13+'E Balans VL '!N13)/100/3.6*1000000</f>
        <v>1780.9999129444259</v>
      </c>
      <c r="G8" s="34"/>
      <c r="H8" s="33"/>
      <c r="I8" s="33"/>
      <c r="J8" s="33">
        <f>$C$28*('E Balans VL '!D13+'E Balans VL '!E13)/100/3.6*1000000</f>
        <v>0</v>
      </c>
      <c r="K8" s="33"/>
      <c r="L8" s="33"/>
      <c r="M8" s="33"/>
      <c r="N8" s="33">
        <f>$C$28*'E Balans VL '!Y13/100/3.6*1000000</f>
        <v>10.777722263491194</v>
      </c>
      <c r="O8" s="33"/>
      <c r="P8" s="33"/>
      <c r="R8" s="32"/>
    </row>
    <row r="9" spans="1:18">
      <c r="A9" s="32" t="s">
        <v>50</v>
      </c>
      <c r="B9" s="37">
        <f t="shared" si="0"/>
        <v>1409.3242482000001</v>
      </c>
      <c r="C9" s="33"/>
      <c r="D9" s="37">
        <f>IF(ISERROR(TER_gezond_gas_kWh/1000),0,TER_gezond_gas_kWh/1000)*0.902</f>
        <v>3168.4892694686</v>
      </c>
      <c r="E9" s="33">
        <f>$C$29*'E Balans VL '!I10/100/3.6*1000000</f>
        <v>0.18043473263568985</v>
      </c>
      <c r="F9" s="33">
        <f>$C$29*('E Balans VL '!L10+'E Balans VL '!N10)/100/3.6*1000000</f>
        <v>293.62131109269433</v>
      </c>
      <c r="G9" s="34"/>
      <c r="H9" s="33"/>
      <c r="I9" s="33"/>
      <c r="J9" s="33">
        <f>$C$29*('E Balans VL '!D10+'E Balans VL '!E10)/100/3.6*1000000</f>
        <v>0</v>
      </c>
      <c r="K9" s="33"/>
      <c r="L9" s="33"/>
      <c r="M9" s="33"/>
      <c r="N9" s="33">
        <f>$C$29*'E Balans VL '!Y10/100/3.6*1000000</f>
        <v>16.553179429322586</v>
      </c>
      <c r="O9" s="33"/>
      <c r="P9" s="33"/>
      <c r="R9" s="32"/>
    </row>
    <row r="10" spans="1:18">
      <c r="A10" s="32" t="s">
        <v>49</v>
      </c>
      <c r="B10" s="37">
        <f t="shared" si="0"/>
        <v>2708.4865610000002</v>
      </c>
      <c r="C10" s="33"/>
      <c r="D10" s="37">
        <f>IF(ISERROR(TER_ander_gas_kWh/1000),0,TER_ander_gas_kWh/1000)*0.902</f>
        <v>2612.8408021056002</v>
      </c>
      <c r="E10" s="33">
        <f>$C$30*'E Balans VL '!I14/100/3.6*1000000</f>
        <v>4.0729268449095075</v>
      </c>
      <c r="F10" s="33">
        <f>$C$30*('E Balans VL '!L14+'E Balans VL '!N14)/100/3.6*1000000</f>
        <v>597.94652569605989</v>
      </c>
      <c r="G10" s="34"/>
      <c r="H10" s="33"/>
      <c r="I10" s="33"/>
      <c r="J10" s="33">
        <f>$C$30*('E Balans VL '!D14+'E Balans VL '!E14)/100/3.6*1000000</f>
        <v>0</v>
      </c>
      <c r="K10" s="33"/>
      <c r="L10" s="33"/>
      <c r="M10" s="33"/>
      <c r="N10" s="33">
        <f>$C$30*'E Balans VL '!Y14/100/3.6*1000000</f>
        <v>2134.4696843411316</v>
      </c>
      <c r="O10" s="33"/>
      <c r="P10" s="33"/>
      <c r="R10" s="32"/>
    </row>
    <row r="11" spans="1:18">
      <c r="A11" s="32" t="s">
        <v>54</v>
      </c>
      <c r="B11" s="37">
        <f t="shared" si="0"/>
        <v>5615.1628140000003</v>
      </c>
      <c r="C11" s="33"/>
      <c r="D11" s="37">
        <f>IF(ISERROR(TER_onderwijs_gas_kWh/1000),0,TER_onderwijs_gas_kWh/1000)*0.902</f>
        <v>9940.6146524739997</v>
      </c>
      <c r="E11" s="33">
        <f>$C$31*'E Balans VL '!I11/100/3.6*1000000</f>
        <v>9.8887722644712994</v>
      </c>
      <c r="F11" s="33">
        <f>$C$31*('E Balans VL '!L11+'E Balans VL '!N11)/100/3.6*1000000</f>
        <v>2592.6222774268704</v>
      </c>
      <c r="G11" s="34"/>
      <c r="H11" s="33"/>
      <c r="I11" s="33"/>
      <c r="J11" s="33">
        <f>$C$31*('E Balans VL '!D11+'E Balans VL '!E11)/100/3.6*1000000</f>
        <v>0</v>
      </c>
      <c r="K11" s="33"/>
      <c r="L11" s="33"/>
      <c r="M11" s="33"/>
      <c r="N11" s="33">
        <f>$C$31*'E Balans VL '!Y11/100/3.6*1000000</f>
        <v>10.461125973325982</v>
      </c>
      <c r="O11" s="33"/>
      <c r="P11" s="33"/>
      <c r="R11" s="32"/>
    </row>
    <row r="12" spans="1:18">
      <c r="A12" s="32" t="s">
        <v>259</v>
      </c>
      <c r="B12" s="37">
        <f t="shared" si="0"/>
        <v>3331.1681831999999</v>
      </c>
      <c r="C12" s="33"/>
      <c r="D12" s="37">
        <f>IF(ISERROR(TER_rest_gas_kWh/1000),0,TER_rest_gas_kWh/1000)*0.902</f>
        <v>5007.6347138532001</v>
      </c>
      <c r="E12" s="33">
        <f>$C$32*'E Balans VL '!I8/100/3.6*1000000</f>
        <v>58.650251285460392</v>
      </c>
      <c r="F12" s="33">
        <f>$C$32*('E Balans VL '!L8+'E Balans VL '!N8)/100/3.6*1000000</f>
        <v>858.21327052945651</v>
      </c>
      <c r="G12" s="34"/>
      <c r="H12" s="33"/>
      <c r="I12" s="33"/>
      <c r="J12" s="33">
        <f>$C$32*('E Balans VL '!D8+'E Balans VL '!E8)/100/3.6*1000000</f>
        <v>0</v>
      </c>
      <c r="K12" s="33"/>
      <c r="L12" s="33"/>
      <c r="M12" s="33"/>
      <c r="N12" s="33">
        <f>$C$32*'E Balans VL '!Y8/100/3.6*1000000</f>
        <v>293.94880084263889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38221.013997600006</v>
      </c>
      <c r="C16" s="21">
        <f t="shared" ca="1" si="1"/>
        <v>0</v>
      </c>
      <c r="D16" s="21">
        <f t="shared" ca="1" si="1"/>
        <v>44933.772875694995</v>
      </c>
      <c r="E16" s="21">
        <f t="shared" si="1"/>
        <v>606.92554668165928</v>
      </c>
      <c r="F16" s="21">
        <f t="shared" ca="1" si="1"/>
        <v>10546.796451851518</v>
      </c>
      <c r="G16" s="21">
        <f t="shared" si="1"/>
        <v>0</v>
      </c>
      <c r="H16" s="21">
        <f t="shared" si="1"/>
        <v>0</v>
      </c>
      <c r="I16" s="21">
        <f t="shared" si="1"/>
        <v>0</v>
      </c>
      <c r="J16" s="21">
        <f t="shared" si="1"/>
        <v>0</v>
      </c>
      <c r="K16" s="21">
        <f t="shared" si="1"/>
        <v>0</v>
      </c>
      <c r="L16" s="21">
        <f t="shared" ca="1" si="1"/>
        <v>0</v>
      </c>
      <c r="M16" s="21">
        <f t="shared" si="1"/>
        <v>0</v>
      </c>
      <c r="N16" s="21">
        <f t="shared" ca="1" si="1"/>
        <v>2480.927048637127</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0.21208157831085678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8105.9729732523592</v>
      </c>
      <c r="C20" s="23">
        <f t="shared" ref="C20:P20" ca="1" si="2">C16*C18</f>
        <v>0</v>
      </c>
      <c r="D20" s="23">
        <f t="shared" ca="1" si="2"/>
        <v>9076.6221208903899</v>
      </c>
      <c r="E20" s="23">
        <f t="shared" si="2"/>
        <v>137.77209909673667</v>
      </c>
      <c r="F20" s="23">
        <f t="shared" ca="1" si="2"/>
        <v>2815.9946526443555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14222.601356000001</v>
      </c>
      <c r="C26" s="39">
        <f>IF(ISERROR(B26*3.6/1000000/'E Balans VL '!Z12*100),0,B26*3.6/1000000/'E Balans VL '!Z12*100)</f>
        <v>0.30465917015426641</v>
      </c>
      <c r="D26" s="237" t="s">
        <v>659</v>
      </c>
      <c r="F26" s="6"/>
    </row>
    <row r="27" spans="1:18">
      <c r="A27" s="231" t="s">
        <v>52</v>
      </c>
      <c r="B27" s="33">
        <f>IF(ISERROR(TER_horeca_ele_kWh/1000),0,TER_horeca_ele_kWh/1000)</f>
        <v>1852.9857692</v>
      </c>
      <c r="C27" s="39">
        <f>IF(ISERROR(B27*3.6/1000000/'E Balans VL '!Z9*100),0,B27*3.6/1000000/'E Balans VL '!Z9*100)</f>
        <v>0.14869566706550971</v>
      </c>
      <c r="D27" s="237" t="s">
        <v>659</v>
      </c>
      <c r="F27" s="6"/>
    </row>
    <row r="28" spans="1:18">
      <c r="A28" s="171" t="s">
        <v>51</v>
      </c>
      <c r="B28" s="33">
        <f>IF(ISERROR(TER_handel_ele_kWh/1000),0,TER_handel_ele_kWh/1000)</f>
        <v>9081.2850660000004</v>
      </c>
      <c r="C28" s="39">
        <f>IF(ISERROR(B28*3.6/1000000/'E Balans VL '!Z13*100),0,B28*3.6/1000000/'E Balans VL '!Z13*100)</f>
        <v>0.26784582127348988</v>
      </c>
      <c r="D28" s="237" t="s">
        <v>659</v>
      </c>
      <c r="F28" s="6"/>
    </row>
    <row r="29" spans="1:18">
      <c r="A29" s="231" t="s">
        <v>50</v>
      </c>
      <c r="B29" s="33">
        <f>IF(ISERROR(TER_gezond_ele_kWh/1000),0,TER_gezond_ele_kWh/1000)</f>
        <v>1409.3242482000001</v>
      </c>
      <c r="C29" s="39">
        <f>IF(ISERROR(B29*3.6/1000000/'E Balans VL '!Z10*100),0,B29*3.6/1000000/'E Balans VL '!Z10*100)</f>
        <v>0.15047804430772493</v>
      </c>
      <c r="D29" s="237" t="s">
        <v>659</v>
      </c>
      <c r="F29" s="6"/>
    </row>
    <row r="30" spans="1:18">
      <c r="A30" s="231" t="s">
        <v>49</v>
      </c>
      <c r="B30" s="33">
        <f>IF(ISERROR(TER_ander_ele_kWh/1000),0,TER_ander_ele_kWh/1000)</f>
        <v>2708.4865610000002</v>
      </c>
      <c r="C30" s="39">
        <f>IF(ISERROR(B30*3.6/1000000/'E Balans VL '!Z14*100),0,B30*3.6/1000000/'E Balans VL '!Z14*100)</f>
        <v>0.20458262575004235</v>
      </c>
      <c r="D30" s="237" t="s">
        <v>659</v>
      </c>
      <c r="F30" s="6"/>
    </row>
    <row r="31" spans="1:18">
      <c r="A31" s="231" t="s">
        <v>54</v>
      </c>
      <c r="B31" s="33">
        <f>IF(ISERROR(TER_onderwijs_ele_kWh/1000),0,TER_onderwijs_ele_kWh/1000)</f>
        <v>5615.1628140000003</v>
      </c>
      <c r="C31" s="39">
        <f>IF(ISERROR(B31*3.6/1000000/'E Balans VL '!Z11*100),0,B31*3.6/1000000/'E Balans VL '!Z11*100)</f>
        <v>1.1338888207625266</v>
      </c>
      <c r="D31" s="237" t="s">
        <v>659</v>
      </c>
    </row>
    <row r="32" spans="1:18">
      <c r="A32" s="231" t="s">
        <v>259</v>
      </c>
      <c r="B32" s="33">
        <f>IF(ISERROR(TER_rest_ele_kWh/1000),0,TER_rest_ele_kWh/1000)</f>
        <v>3331.1681831999999</v>
      </c>
      <c r="C32" s="39">
        <f>IF(ISERROR(B32*3.6/1000000/'E Balans VL '!Z8*100),0,B32*3.6/1000000/'E Balans VL '!Z8*100)</f>
        <v>2.762002285695956E-2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30084.189672531</v>
      </c>
      <c r="C5" s="17">
        <f>IF(ISERROR('Eigen informatie GS &amp; warmtenet'!B59),0,'Eigen informatie GS &amp; warmtenet'!B59)</f>
        <v>0</v>
      </c>
      <c r="D5" s="30">
        <f>SUM(D6:D15)</f>
        <v>11809.763417237566</v>
      </c>
      <c r="E5" s="17">
        <f>SUM(E6:E15)</f>
        <v>1938.2950710071123</v>
      </c>
      <c r="F5" s="17">
        <f>SUM(F6:F15)</f>
        <v>7816.3453075397247</v>
      </c>
      <c r="G5" s="18"/>
      <c r="H5" s="17"/>
      <c r="I5" s="17"/>
      <c r="J5" s="17">
        <f>SUM(J6:J15)</f>
        <v>251.18924099544435</v>
      </c>
      <c r="K5" s="17"/>
      <c r="L5" s="17"/>
      <c r="M5" s="17"/>
      <c r="N5" s="17">
        <f>SUM(N6:N15)</f>
        <v>2021.210808773872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867.29492087999995</v>
      </c>
      <c r="C8" s="33"/>
      <c r="D8" s="37">
        <f>IF( ISERROR(IND_metaal_Gas_kWH/1000),0,IND_metaal_Gas_kWH/1000)*0.902</f>
        <v>751.78841555686006</v>
      </c>
      <c r="E8" s="33">
        <f>C30*'E Balans VL '!I18/100/3.6*1000000</f>
        <v>31.207894998256496</v>
      </c>
      <c r="F8" s="33">
        <f>C30*'E Balans VL '!L18/100/3.6*1000000+C30*'E Balans VL '!N18/100/3.6*1000000</f>
        <v>378.71957727181541</v>
      </c>
      <c r="G8" s="34"/>
      <c r="H8" s="33"/>
      <c r="I8" s="33"/>
      <c r="J8" s="40">
        <f>C30*'E Balans VL '!D18/100/3.6*1000000+C30*'E Balans VL '!E18/100/3.6*1000000</f>
        <v>0</v>
      </c>
      <c r="K8" s="33"/>
      <c r="L8" s="33"/>
      <c r="M8" s="33"/>
      <c r="N8" s="33">
        <f>C30*'E Balans VL '!Y18/100/3.6*1000000</f>
        <v>43.468232045155396</v>
      </c>
      <c r="O8" s="33"/>
      <c r="P8" s="33"/>
      <c r="R8" s="32"/>
    </row>
    <row r="9" spans="1:18">
      <c r="A9" s="6" t="s">
        <v>32</v>
      </c>
      <c r="B9" s="37">
        <f t="shared" si="0"/>
        <v>1830.3857584</v>
      </c>
      <c r="C9" s="33"/>
      <c r="D9" s="37">
        <f>IF( ISERROR(IND_andere_gas_kWh/1000),0,IND_andere_gas_kWh/1000)*0.902</f>
        <v>2021.2356495078</v>
      </c>
      <c r="E9" s="33">
        <f>C31*'E Balans VL '!I19/100/3.6*1000000</f>
        <v>467.07303190594342</v>
      </c>
      <c r="F9" s="33">
        <f>C31*'E Balans VL '!L19/100/3.6*1000000+C31*'E Balans VL '!N19/100/3.6*1000000</f>
        <v>1575.824560840259</v>
      </c>
      <c r="G9" s="34"/>
      <c r="H9" s="33"/>
      <c r="I9" s="33"/>
      <c r="J9" s="40">
        <f>C31*'E Balans VL '!D19/100/3.6*1000000+C31*'E Balans VL '!E19/100/3.6*1000000</f>
        <v>0</v>
      </c>
      <c r="K9" s="33"/>
      <c r="L9" s="33"/>
      <c r="M9" s="33"/>
      <c r="N9" s="33">
        <f>C31*'E Balans VL '!Y19/100/3.6*1000000</f>
        <v>144.39601768289535</v>
      </c>
      <c r="O9" s="33"/>
      <c r="P9" s="33"/>
      <c r="R9" s="32"/>
    </row>
    <row r="10" spans="1:18">
      <c r="A10" s="6" t="s">
        <v>40</v>
      </c>
      <c r="B10" s="37">
        <f t="shared" si="0"/>
        <v>591.48134074999996</v>
      </c>
      <c r="C10" s="33"/>
      <c r="D10" s="37">
        <f>IF( ISERROR(IND_voed_gas_kWh/1000),0,IND_voed_gas_kWh/1000)*0.902</f>
        <v>242.06742058818003</v>
      </c>
      <c r="E10" s="33">
        <f>C32*'E Balans VL '!I20/100/3.6*1000000</f>
        <v>15.036267852301844</v>
      </c>
      <c r="F10" s="33">
        <f>C32*'E Balans VL '!L20/100/3.6*1000000+C32*'E Balans VL '!N20/100/3.6*1000000</f>
        <v>133.84334851108343</v>
      </c>
      <c r="G10" s="34"/>
      <c r="H10" s="33"/>
      <c r="I10" s="33"/>
      <c r="J10" s="40">
        <f>C32*'E Balans VL '!D20/100/3.6*1000000+C32*'E Balans VL '!E20/100/3.6*1000000</f>
        <v>0</v>
      </c>
      <c r="K10" s="33"/>
      <c r="L10" s="33"/>
      <c r="M10" s="33"/>
      <c r="N10" s="33">
        <f>C32*'E Balans VL '!Y20/100/3.6*1000000</f>
        <v>221.82153551361702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10.703702131</v>
      </c>
      <c r="C12" s="33"/>
      <c r="D12" s="37">
        <f>IF( ISERROR(IND_min_gas_kWh/1000),0,IND_min_gas_kWh/1000)*0.902</f>
        <v>25.024546008946</v>
      </c>
      <c r="E12" s="33">
        <f>C34*'E Balans VL '!I22/100/3.6*1000000</f>
        <v>0.22742684442768682</v>
      </c>
      <c r="F12" s="33">
        <f>C34*'E Balans VL '!L22/100/3.6*1000000+C34*'E Balans VL '!N22/100/3.6*1000000</f>
        <v>1.7464002206777616</v>
      </c>
      <c r="G12" s="34"/>
      <c r="H12" s="33"/>
      <c r="I12" s="33"/>
      <c r="J12" s="40">
        <f>C34*'E Balans VL '!D22/100/3.6*1000000+C34*'E Balans VL '!E22/100/3.6*1000000</f>
        <v>1.2470811857577629E-2</v>
      </c>
      <c r="K12" s="33"/>
      <c r="L12" s="33"/>
      <c r="M12" s="33"/>
      <c r="N12" s="33">
        <f>C34*'E Balans VL '!Y22/100/3.6*1000000</f>
        <v>0</v>
      </c>
      <c r="O12" s="33"/>
      <c r="P12" s="33"/>
      <c r="R12" s="32"/>
    </row>
    <row r="13" spans="1:18">
      <c r="A13" s="6" t="s">
        <v>38</v>
      </c>
      <c r="B13" s="37">
        <f t="shared" si="0"/>
        <v>578.42734637000001</v>
      </c>
      <c r="C13" s="33"/>
      <c r="D13" s="37">
        <f>IF( ISERROR(IND_papier_gas_kWh/1000),0,IND_papier_gas_kWh/1000)*0.902</f>
        <v>197.24428867637999</v>
      </c>
      <c r="E13" s="33">
        <f>C35*'E Balans VL '!I23/100/3.6*1000000</f>
        <v>2.4807066137793674</v>
      </c>
      <c r="F13" s="33">
        <f>C35*'E Balans VL '!L23/100/3.6*1000000+C35*'E Balans VL '!N23/100/3.6*1000000</f>
        <v>14.537674538470817</v>
      </c>
      <c r="G13" s="34"/>
      <c r="H13" s="33"/>
      <c r="I13" s="33"/>
      <c r="J13" s="40">
        <f>C35*'E Balans VL '!D23/100/3.6*1000000+C35*'E Balans VL '!E23/100/3.6*1000000</f>
        <v>38.722538295982275</v>
      </c>
      <c r="K13" s="33"/>
      <c r="L13" s="33"/>
      <c r="M13" s="33"/>
      <c r="N13" s="33">
        <f>C35*'E Balans VL '!Y23/100/3.6*1000000</f>
        <v>141.05740443806872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26205.896603999998</v>
      </c>
      <c r="C15" s="33"/>
      <c r="D15" s="37">
        <f>IF( ISERROR(IND_rest_gas_kWh/1000),0,IND_rest_gas_kWh/1000)*0.902</f>
        <v>8572.4030968993993</v>
      </c>
      <c r="E15" s="33">
        <f>C37*'E Balans VL '!I15/100/3.6*1000000</f>
        <v>1422.2697427924033</v>
      </c>
      <c r="F15" s="33">
        <f>C37*'E Balans VL '!L15/100/3.6*1000000+C37*'E Balans VL '!N15/100/3.6*1000000</f>
        <v>5711.6737461574176</v>
      </c>
      <c r="G15" s="34"/>
      <c r="H15" s="33"/>
      <c r="I15" s="33"/>
      <c r="J15" s="40">
        <f>C37*'E Balans VL '!D15/100/3.6*1000000+C37*'E Balans VL '!E15/100/3.6*1000000</f>
        <v>212.45423188760449</v>
      </c>
      <c r="K15" s="33"/>
      <c r="L15" s="33"/>
      <c r="M15" s="33"/>
      <c r="N15" s="33">
        <f>C37*'E Balans VL '!Y15/100/3.6*1000000</f>
        <v>1470.4676190941354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30084.189672531</v>
      </c>
      <c r="C18" s="21">
        <f>C5+C16</f>
        <v>0</v>
      </c>
      <c r="D18" s="21">
        <f>MAX((D5+D16),0)</f>
        <v>11809.763417237566</v>
      </c>
      <c r="E18" s="21">
        <f>MAX((E5+E16),0)</f>
        <v>1938.2950710071123</v>
      </c>
      <c r="F18" s="21">
        <f>MAX((F5+F16),0)</f>
        <v>7816.3453075397247</v>
      </c>
      <c r="G18" s="21"/>
      <c r="H18" s="21"/>
      <c r="I18" s="21"/>
      <c r="J18" s="21">
        <f>MAX((J5+J16),0)</f>
        <v>251.18924099544435</v>
      </c>
      <c r="K18" s="21"/>
      <c r="L18" s="21">
        <f>MAX((L5+L16),0)</f>
        <v>0</v>
      </c>
      <c r="M18" s="21"/>
      <c r="N18" s="21">
        <f>MAX((N5+N16),0)</f>
        <v>2021.210808773872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0.21208157831085678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6380.3024279535521</v>
      </c>
      <c r="C22" s="23">
        <f ca="1">C18*C20</f>
        <v>0</v>
      </c>
      <c r="D22" s="23">
        <f>D18*D20</f>
        <v>2385.5722102819882</v>
      </c>
      <c r="E22" s="23">
        <f>E18*E20</f>
        <v>439.99298111861452</v>
      </c>
      <c r="F22" s="23">
        <f>F18*F20</f>
        <v>2086.9641971131068</v>
      </c>
      <c r="G22" s="23"/>
      <c r="H22" s="23"/>
      <c r="I22" s="23"/>
      <c r="J22" s="23">
        <f>J18*J20</f>
        <v>88.920991312387301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867.29492087999995</v>
      </c>
      <c r="C30" s="39">
        <f>IF(ISERROR(B30*3.6/1000000/'E Balans VL '!Z18*100),0,B30*3.6/1000000/'E Balans VL '!Z18*100)</f>
        <v>0.18376119942143151</v>
      </c>
      <c r="D30" s="237" t="s">
        <v>659</v>
      </c>
    </row>
    <row r="31" spans="1:18">
      <c r="A31" s="6" t="s">
        <v>32</v>
      </c>
      <c r="B31" s="37">
        <f>IF( ISERROR(IND_ander_ele_kWh/1000),0,IND_ander_ele_kWh/1000)</f>
        <v>1830.3857584</v>
      </c>
      <c r="C31" s="39">
        <f>IF(ISERROR(B31*3.6/1000000/'E Balans VL '!Z19*100),0,B31*3.6/1000000/'E Balans VL '!Z19*100)</f>
        <v>7.7045092764183407E-2</v>
      </c>
      <c r="D31" s="237" t="s">
        <v>659</v>
      </c>
    </row>
    <row r="32" spans="1:18">
      <c r="A32" s="171" t="s">
        <v>40</v>
      </c>
      <c r="B32" s="37">
        <f>IF( ISERROR(IND_voed_ele_kWh/1000),0,IND_voed_ele_kWh/1000)</f>
        <v>591.48134074999996</v>
      </c>
      <c r="C32" s="39">
        <f>IF(ISERROR(B32*3.6/1000000/'E Balans VL '!Z20*100),0,B32*3.6/1000000/'E Balans VL '!Z20*100)</f>
        <v>9.8813650123394187E-2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10.703702131</v>
      </c>
      <c r="C34" s="39">
        <f>IF(ISERROR(B34*3.6/1000000/'E Balans VL '!Z22*100),0,B34*3.6/1000000/'E Balans VL '!Z22*100)</f>
        <v>1.3567519699993541E-3</v>
      </c>
      <c r="D34" s="237" t="s">
        <v>659</v>
      </c>
    </row>
    <row r="35" spans="1:5">
      <c r="A35" s="171" t="s">
        <v>38</v>
      </c>
      <c r="B35" s="37">
        <f>IF( ISERROR(IND_papier_ele_kWh/1000),0,IND_papier_ele_kWh/1000)</f>
        <v>578.42734637000001</v>
      </c>
      <c r="C35" s="39">
        <f>IF(ISERROR(B35*3.6/1000000/'E Balans VL '!Z22*100),0,B35*3.6/1000000/'E Balans VL '!Z22*100)</f>
        <v>7.3318785601863293E-2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26205.896603999998</v>
      </c>
      <c r="C37" s="39">
        <f>IF(ISERROR(B37*3.6/1000000/'E Balans VL '!Z15*100),0,B37*3.6/1000000/'E Balans VL '!Z15*100)</f>
        <v>0.21157035067234983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2041.8368433809999</v>
      </c>
      <c r="C5" s="17">
        <f>'Eigen informatie GS &amp; warmtenet'!B60</f>
        <v>0</v>
      </c>
      <c r="D5" s="30">
        <f>IF(ISERROR(SUM(LB_lb_gas_kWh,LB_rest_gas_kWh)/1000),0,SUM(LB_lb_gas_kWh,LB_rest_gas_kWh)/1000)*0.902</f>
        <v>6046.7790501449545</v>
      </c>
      <c r="E5" s="17">
        <f>B17*'E Balans VL '!I25/3.6*1000000/100</f>
        <v>52.651132443707858</v>
      </c>
      <c r="F5" s="17">
        <f>B17*('E Balans VL '!L25/3.6*1000000+'E Balans VL '!N25/3.6*1000000)/100</f>
        <v>7463.302511495207</v>
      </c>
      <c r="G5" s="18"/>
      <c r="H5" s="17"/>
      <c r="I5" s="17"/>
      <c r="J5" s="17">
        <f>('E Balans VL '!D25+'E Balans VL '!E25)/3.6*1000000*landbouw!B17/100</f>
        <v>293.94939309510528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2041.8368433809999</v>
      </c>
      <c r="C8" s="21">
        <f>C5+C6</f>
        <v>0</v>
      </c>
      <c r="D8" s="21">
        <f>MAX((D5+D6),0)</f>
        <v>6046.7790501449545</v>
      </c>
      <c r="E8" s="21">
        <f>MAX((E5+E6),0)</f>
        <v>52.651132443707858</v>
      </c>
      <c r="F8" s="21">
        <f>MAX((F5+F6),0)</f>
        <v>7463.302511495207</v>
      </c>
      <c r="G8" s="21"/>
      <c r="H8" s="21"/>
      <c r="I8" s="21"/>
      <c r="J8" s="21">
        <f>MAX((J5+J6),0)</f>
        <v>293.94939309510528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0.21208157831085678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433.03598039750011</v>
      </c>
      <c r="C12" s="23">
        <f ca="1">C8*C10</f>
        <v>0</v>
      </c>
      <c r="D12" s="23">
        <f>D8*D10</f>
        <v>1221.4493681292809</v>
      </c>
      <c r="E12" s="23">
        <f>E8*E10</f>
        <v>11.951807064721685</v>
      </c>
      <c r="F12" s="23">
        <f>F8*F10</f>
        <v>1992.7017705692203</v>
      </c>
      <c r="G12" s="23"/>
      <c r="H12" s="23"/>
      <c r="I12" s="23"/>
      <c r="J12" s="23">
        <f>J8*J10</f>
        <v>104.05808515566726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0.28791251974070614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118.62342246723512</v>
      </c>
      <c r="C26" s="247">
        <f>B26*'GWP N2O_CH4'!B5</f>
        <v>2491.0918718119374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14.640251366431436</v>
      </c>
      <c r="C27" s="247">
        <f>B27*'GWP N2O_CH4'!B5</f>
        <v>307.44527869506015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1.5689832512073847</v>
      </c>
      <c r="C28" s="247">
        <f>B28*'GWP N2O_CH4'!B4</f>
        <v>486.38480787428927</v>
      </c>
      <c r="D28" s="50"/>
    </row>
    <row r="29" spans="1:4">
      <c r="A29" s="41" t="s">
        <v>276</v>
      </c>
      <c r="B29" s="247">
        <f>B34*'ha_N2O bodem landbouw'!B4</f>
        <v>9.1039712498988656</v>
      </c>
      <c r="C29" s="247">
        <f>B29*'GWP N2O_CH4'!B4</f>
        <v>2822.2310874686482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2.0488882554161917E-3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1.7934477480854646E-4</v>
      </c>
      <c r="C5" s="437" t="s">
        <v>210</v>
      </c>
      <c r="D5" s="422">
        <f>SUM(D6:D11)</f>
        <v>3.744263935569807E-4</v>
      </c>
      <c r="E5" s="422">
        <f>SUM(E6:E11)</f>
        <v>1.8378321939679205E-3</v>
      </c>
      <c r="F5" s="435" t="s">
        <v>210</v>
      </c>
      <c r="G5" s="422">
        <f>SUM(G6:G11)</f>
        <v>0.67213054240098913</v>
      </c>
      <c r="H5" s="422">
        <f>SUM(H6:H11)</f>
        <v>0.12981618931968675</v>
      </c>
      <c r="I5" s="437" t="s">
        <v>210</v>
      </c>
      <c r="J5" s="437" t="s">
        <v>210</v>
      </c>
      <c r="K5" s="437" t="s">
        <v>210</v>
      </c>
      <c r="L5" s="437" t="s">
        <v>210</v>
      </c>
      <c r="M5" s="422">
        <f>SUM(M6:M11)</f>
        <v>2.5035776613314784E-2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5.2733730238421453E-5</v>
      </c>
      <c r="C6" s="423"/>
      <c r="D6" s="865">
        <f>vkm_GW_PW*SUMIFS(TableVerdeelsleutelVkm[CNG],TableVerdeelsleutelVkm[Voertuigtype],"Lichte voertuigen")*SUMIFS(TableECFTransport[EnergieConsumptieFactor (PJ per km)],TableECFTransport[Index],CONCATENATE($A6,"_CNG_CNG"))</f>
        <v>9.5061865302491433E-5</v>
      </c>
      <c r="E6" s="865">
        <f>vkm_GW_PW*SUMIFS(TableVerdeelsleutelVkm[LPG],TableVerdeelsleutelVkm[Voertuigtype],"Lichte voertuigen")*SUMIFS(TableECFTransport[EnergieConsumptieFactor (PJ per km)],TableECFTransport[Index],CONCATENATE($A6,"_LPG_LPG"))</f>
        <v>4.2943496870334044E-4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0.11732104730011923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3.2639949109987618E-2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4.669154053286358E-3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5.3322140611873348E-2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9.6218817383015566E-7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1.6775175327112459E-3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3.9816223092760804E-5</v>
      </c>
      <c r="C8" s="423"/>
      <c r="D8" s="425">
        <f>vkm_NGW_PW*SUMIFS(TableVerdeelsleutelVkm[CNG],TableVerdeelsleutelVkm[Voertuigtype],"Lichte voertuigen")*SUMIFS(TableECFTransport[EnergieConsumptieFactor (PJ per km)],TableECFTransport[Index],CONCATENATE($A8,"_CNG_CNG"))</f>
        <v>1.2199816957594826E-4</v>
      </c>
      <c r="E8" s="425">
        <f>vkm_NGW_PW*SUMIFS(TableVerdeelsleutelVkm[LPG],TableVerdeelsleutelVkm[Voertuigtype],"Lichte voertuigen")*SUMIFS(TableECFTransport[EnergieConsumptieFactor (PJ per km)],TableECFTransport[Index],CONCATENATE($A8,"_LPG_LPG"))</f>
        <v>5.2312859146745063E-4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0.13419434582246534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4.070607901127609E-2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5.4417394288834905E-3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3.7876185912670689E-2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8.4371449458280062E-7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1.1915917349407815E-3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8.6794821477364196E-5</v>
      </c>
      <c r="C10" s="423"/>
      <c r="D10" s="425">
        <f>vkm_SW_PW*SUMIFS(TableVerdeelsleutelVkm[CNG],TableVerdeelsleutelVkm[Voertuigtype],"Lichte voertuigen")*SUMIFS(TableECFTransport[EnergieConsumptieFactor (PJ per km)],TableECFTransport[Index],CONCATENATE($A10,"_CNG_CNG"))</f>
        <v>1.5736635867854101E-4</v>
      </c>
      <c r="E10" s="425">
        <f>vkm_SW_PW*SUMIFS(TableVerdeelsleutelVkm[LPG],TableVerdeelsleutelVkm[Voertuigtype],"Lichte voertuigen")*SUMIFS(TableECFTransport[EnergieConsumptieFactor (PJ per km)],TableECFTransport[Index],CONCATENATE($A10,"_LPG_LPG"))</f>
        <v>8.8526863379712951E-4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0.21705945966660856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5.6466189547977892E-2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8.5210007778359666E-3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0.11235736308725212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2.165747776718646E-6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3.5347730856569409E-3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49.817993002374017</v>
      </c>
      <c r="C14" s="21"/>
      <c r="D14" s="21">
        <f t="shared" ref="D14:M14" si="0">((D5)*10^9/3600)+D12</f>
        <v>104.00733154360576</v>
      </c>
      <c r="E14" s="21">
        <f t="shared" si="0"/>
        <v>510.5089427688668</v>
      </c>
      <c r="F14" s="21"/>
      <c r="G14" s="21">
        <f t="shared" si="0"/>
        <v>186702.9284447192</v>
      </c>
      <c r="H14" s="21">
        <f t="shared" si="0"/>
        <v>36060.052588801875</v>
      </c>
      <c r="I14" s="21"/>
      <c r="J14" s="21"/>
      <c r="K14" s="21"/>
      <c r="L14" s="21"/>
      <c r="M14" s="21">
        <f t="shared" si="0"/>
        <v>6954.3823925874403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0.21208157831085678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10.565478584222699</v>
      </c>
      <c r="C18" s="23"/>
      <c r="D18" s="23">
        <f t="shared" ref="D18:M18" si="1">D14*D16</f>
        <v>21.009480971808365</v>
      </c>
      <c r="E18" s="23">
        <f t="shared" si="1"/>
        <v>115.88553000853277</v>
      </c>
      <c r="F18" s="23"/>
      <c r="G18" s="23">
        <f t="shared" si="1"/>
        <v>49849.681894740032</v>
      </c>
      <c r="H18" s="23">
        <f t="shared" si="1"/>
        <v>8978.9530946116665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1.1400516274342631E-2</v>
      </c>
      <c r="H50" s="319">
        <f t="shared" si="2"/>
        <v>0</v>
      </c>
      <c r="I50" s="319">
        <f t="shared" si="2"/>
        <v>0</v>
      </c>
      <c r="J50" s="319">
        <f t="shared" si="2"/>
        <v>0</v>
      </c>
      <c r="K50" s="319">
        <f t="shared" si="2"/>
        <v>0</v>
      </c>
      <c r="L50" s="319">
        <f t="shared" si="2"/>
        <v>0</v>
      </c>
      <c r="M50" s="319">
        <f t="shared" si="2"/>
        <v>3.5317211354552505E-4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1.1400516274342631E-2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3.5317211354552505E-4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3166.8100762062868</v>
      </c>
      <c r="H54" s="21">
        <f t="shared" si="3"/>
        <v>0</v>
      </c>
      <c r="I54" s="21">
        <f t="shared" si="3"/>
        <v>0</v>
      </c>
      <c r="J54" s="21">
        <f t="shared" si="3"/>
        <v>0</v>
      </c>
      <c r="K54" s="21">
        <f t="shared" si="3"/>
        <v>0</v>
      </c>
      <c r="L54" s="21">
        <f t="shared" si="3"/>
        <v>0</v>
      </c>
      <c r="M54" s="21">
        <f t="shared" si="3"/>
        <v>98.103364873756959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0.21208157831085678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845.5382903470786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4824.8079275377622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4824.8079275377622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2020-06-20T15:58:15Z</dcterms:modified>
</cp:coreProperties>
</file>