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50" i="18"/>
  <c r="V50" i="18"/>
  <c r="U50" i="18"/>
  <c r="T50" i="18"/>
  <c r="S50" i="18"/>
  <c r="R50" i="18"/>
  <c r="Q50" i="18"/>
  <c r="P50" i="18"/>
  <c r="O50" i="18"/>
  <c r="N50" i="18"/>
  <c r="M50" i="18"/>
  <c r="W49" i="18"/>
  <c r="V49" i="18"/>
  <c r="U49" i="18"/>
  <c r="T49" i="18"/>
  <c r="S49" i="18"/>
  <c r="R49" i="18"/>
  <c r="Q49" i="18"/>
  <c r="P49" i="18"/>
  <c r="O49" i="18"/>
  <c r="N49" i="18"/>
  <c r="M49" i="18"/>
  <c r="W48" i="18"/>
  <c r="V48" i="18"/>
  <c r="U48" i="18"/>
  <c r="T48" i="18"/>
  <c r="S48" i="18"/>
  <c r="R48" i="18"/>
  <c r="Q48" i="18"/>
  <c r="P48" i="18"/>
  <c r="O48" i="18"/>
  <c r="N48" i="18"/>
  <c r="M48" i="18"/>
  <c r="W47" i="18"/>
  <c r="H9" i="18" s="1"/>
  <c r="M77" i="14" s="1"/>
  <c r="M9" i="59" s="1"/>
  <c r="V47" i="18"/>
  <c r="U47" i="18"/>
  <c r="T47" i="18"/>
  <c r="S47" i="18"/>
  <c r="E9" i="18" s="1"/>
  <c r="F77" i="14" s="1"/>
  <c r="F9" i="59" s="1"/>
  <c r="R47" i="18"/>
  <c r="Q47" i="18"/>
  <c r="P47" i="18"/>
  <c r="C9" i="18" s="1"/>
  <c r="D77" i="14" s="1"/>
  <c r="D9" i="59" s="1"/>
  <c r="O47" i="18"/>
  <c r="N47" i="18"/>
  <c r="B9" i="18" s="1"/>
  <c r="M47" i="18"/>
  <c r="W43" i="18"/>
  <c r="V43" i="18"/>
  <c r="U43" i="18"/>
  <c r="T43" i="18"/>
  <c r="S43" i="18"/>
  <c r="R43" i="18"/>
  <c r="Q43" i="18"/>
  <c r="P43" i="18"/>
  <c r="O43" i="18"/>
  <c r="N43" i="18"/>
  <c r="M43" i="18"/>
  <c r="W42" i="18"/>
  <c r="V42" i="18"/>
  <c r="U42" i="18"/>
  <c r="T42" i="18"/>
  <c r="S42" i="18"/>
  <c r="F13" i="15" s="1"/>
  <c r="R42" i="18"/>
  <c r="Q42" i="18"/>
  <c r="P42" i="18"/>
  <c r="O42" i="18"/>
  <c r="C13" i="15" s="1"/>
  <c r="N42" i="18"/>
  <c r="B13" i="15" s="1"/>
  <c r="M42" i="18"/>
  <c r="W41" i="18"/>
  <c r="V41" i="18"/>
  <c r="U41" i="18"/>
  <c r="T41" i="18"/>
  <c r="S41" i="18"/>
  <c r="R41" i="18"/>
  <c r="Q41" i="18"/>
  <c r="P41" i="18"/>
  <c r="O41" i="18"/>
  <c r="N41" i="18"/>
  <c r="M41" i="18"/>
  <c r="W40" i="18"/>
  <c r="V40" i="18"/>
  <c r="U40" i="18"/>
  <c r="T40" i="18"/>
  <c r="S40" i="18"/>
  <c r="R40" i="18"/>
  <c r="Q40" i="18"/>
  <c r="P40" i="18"/>
  <c r="O40" i="18"/>
  <c r="N40" i="18"/>
  <c r="B8" i="18" s="1"/>
  <c r="M4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56" i="18"/>
  <c r="D60" i="18" s="1"/>
  <c r="I9" i="18"/>
  <c r="I77" i="14" s="1"/>
  <c r="I9" i="59" s="1"/>
  <c r="B17" i="18"/>
  <c r="B20" i="18" s="1"/>
  <c r="C6" i="17"/>
  <c r="E10" i="59"/>
  <c r="G77" i="14"/>
  <c r="G9" i="59" s="1"/>
  <c r="G10" i="59" s="1"/>
  <c r="J9" i="18"/>
  <c r="J77" i="14" s="1"/>
  <c r="J9" i="59" s="1"/>
  <c r="E20" i="59"/>
  <c r="C56" i="18"/>
  <c r="I5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I60" i="18"/>
  <c r="H17" i="18" s="1"/>
  <c r="E60" i="18"/>
  <c r="E17" i="18" s="1"/>
  <c r="H60"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60" i="18" l="1"/>
  <c r="D59" i="18"/>
  <c r="G60" i="18"/>
  <c r="B60" i="18"/>
  <c r="C17" i="18" s="1"/>
  <c r="B59" i="18"/>
  <c r="C8" i="18" s="1"/>
  <c r="D76" i="14" s="1"/>
  <c r="D8" i="59" s="1"/>
  <c r="D10" i="59" s="1"/>
  <c r="C60" i="18"/>
  <c r="J17" i="18" s="1"/>
  <c r="O9" i="18"/>
  <c r="G78" i="14"/>
  <c r="C77" i="14"/>
  <c r="C9" i="59" s="1"/>
  <c r="F59" i="18"/>
  <c r="H59" i="18"/>
  <c r="C59" i="18"/>
  <c r="E59" i="18"/>
  <c r="E8" i="18" s="1"/>
  <c r="F76" i="14" s="1"/>
  <c r="F8" i="59" s="1"/>
  <c r="F10" i="59" s="1"/>
  <c r="B77" i="14"/>
  <c r="B9" i="59" s="1"/>
  <c r="G59"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C10" i="18" l="1"/>
  <c r="I8"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Q11" i="14"/>
  <c r="P4" i="48"/>
  <c r="P22" i="48" s="1"/>
  <c r="J15" i="16"/>
  <c r="B7" i="48"/>
  <c r="C24" i="14"/>
  <c r="C26" i="14" s="1"/>
  <c r="E11" i="14"/>
  <c r="D4" i="48"/>
  <c r="D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P13" i="14"/>
  <c r="O8" i="48"/>
  <c r="O26" i="48"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N22" i="14" s="1"/>
  <c r="N27" i="14" s="1"/>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J5" i="48"/>
  <c r="J23" i="48" s="1"/>
  <c r="K10" i="14"/>
  <c r="N52" i="14"/>
  <c r="N61" i="14" s="1"/>
  <c r="N63" i="14" s="1"/>
  <c r="O15" i="48"/>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J22" i="16" l="1"/>
  <c r="K43" i="14" s="1"/>
  <c r="K46" i="14" s="1"/>
  <c r="K61" i="14" s="1"/>
  <c r="J8" i="48"/>
  <c r="J26" i="48" s="1"/>
  <c r="J33" i="48" s="1"/>
  <c r="K13" i="14"/>
  <c r="K16" i="14" s="1"/>
  <c r="K27" i="14" s="1"/>
  <c r="E23" i="48"/>
  <c r="E33" i="48" s="1"/>
  <c r="E15" i="48"/>
  <c r="F13" i="14"/>
  <c r="F16" i="14" s="1"/>
  <c r="F27" i="14" s="1"/>
  <c r="F63" i="14" s="1"/>
  <c r="E8" i="48"/>
  <c r="E26" i="48" s="1"/>
  <c r="N8" i="48"/>
  <c r="N26" i="48" s="1"/>
  <c r="O13" i="14"/>
  <c r="N22" i="16"/>
  <c r="O43" i="14" s="1"/>
  <c r="G13" i="14"/>
  <c r="R13" i="14" s="1"/>
  <c r="F8" i="48"/>
  <c r="K63" i="14" l="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<sst xmlns="http://schemas.openxmlformats.org/spreadsheetml/2006/main" count="2522" uniqueCount="946">
  <si>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</si>
  <si>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</si>
  <si>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</si>
  <si>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</si>
  <si>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</si>
  <si>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</si>
  <si>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</si>
  <si>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</si>
  <si>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</si>
  <si>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</si>
  <si>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</si>
  <si>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</si>
  <si>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</si>
  <si>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</si>
  <si>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</si>
  <si>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</si>
  <si>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</si>
  <si>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</si>
  <si>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</si>
  <si>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</si>
  <si>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</si>
  <si>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</si>
  <si>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</si>
  <si>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</si>
  <si>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</si>
  <si>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</si>
  <si>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</si>
  <si>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</si>
  <si>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</si>
  <si>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</si>
  <si>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</si>
  <si>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</si>
  <si>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</si>
  <si>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</si>
  <si>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</si>
  <si>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</si>
  <si>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</si>
  <si>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</si>
  <si>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</si>
  <si>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</si>
  <si>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</si>
  <si>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</si>
  <si>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</si>
  <si>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</si>
  <si>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</si>
  <si>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</si>
  <si>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</si>
  <si>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</si>
  <si>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</si>
  <si>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</si>
  <si>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</si>
  <si>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</si>
  <si>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</si>
  <si>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</si>
  <si>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</si>
  <si>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</si>
  <si>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</si>
  <si>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</si>
  <si>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</si>
  <si>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</si>
  <si>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</si>
  <si>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</si>
  <si>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</si>
  <si>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</si>
  <si>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</si>
  <si>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</si>
  <si>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</si>
  <si>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</si>
  <si>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</si>
  <si>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</si>
  <si>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</si>
  <si>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</si>
  <si>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</si>
  <si>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</si>
  <si>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</si>
  <si>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</si>
  <si>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</si>
  <si>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</si>
  <si>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</si>
  <si>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</si>
  <si>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</si>
  <si>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</si>
  <si>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</si>
  <si>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</si>
  <si>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</si>
  <si>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</si>
  <si>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</si>
  <si>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</si>
  <si>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</si>
  <si>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</si>
  <si>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</si>
  <si>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</si>
  <si>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</si>
  <si>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</si>
  <si>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</si>
  <si>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</si>
  <si>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</si>
  <si>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</si>
  <si>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</si>
  <si>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</si>
  <si>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</si>
  <si>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</si>
  <si>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</si>
  <si>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</si>
  <si>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</si>
  <si>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</si>
  <si>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</si>
  <si>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</si>
  <si>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</si>
  <si>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</si>
  <si>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</si>
  <si>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</si>
  <si>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</si>
  <si>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</si>
  <si>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</si>
  <si>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</si>
  <si>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</si>
  <si>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</si>
  <si>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</si>
  <si>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</si>
  <si>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</si>
  <si>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</si>
  <si>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</si>
  <si>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</si>
  <si>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</si>
  <si>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</si>
  <si>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</si>
  <si>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</si>
  <si>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</si>
  <si>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</si>
  <si>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</si>
  <si>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</si>
  <si>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</si>
  <si>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</si>
  <si>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</si>
  <si>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</si>
  <si>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</si>
  <si>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</si>
  <si>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</si>
  <si>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</si>
  <si>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</si>
  <si>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</si>
  <si>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</si>
  <si>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</si>
  <si>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</si>
  <si>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</si>
  <si>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</si>
  <si>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</si>
  <si>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</si>
  <si>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</si>
  <si>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</si>
  <si>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</si>
  <si>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</si>
  <si>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</si>
  <si>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</si>
  <si>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</si>
  <si>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</si>
  <si>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</si>
  <si>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</si>
  <si>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</si>
  <si>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</si>
  <si>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</si>
  <si>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</si>
  <si>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</si>
  <si>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</si>
  <si>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</si>
  <si>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</si>
  <si>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</si>
  <si>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</si>
  <si>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</si>
  <si>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</si>
  <si>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</si>
  <si>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</si>
  <si>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</si>
  <si>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</si>
  <si>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</si>
  <si>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</si>
  <si>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</si>
  <si>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</si>
  <si>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</si>
  <si>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</si>
  <si>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</si>
  <si>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</si>
  <si>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</si>
  <si>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</si>
  <si>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</si>
  <si>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</si>
  <si>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</si>
  <si>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</si>
  <si>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</si>
  <si>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</si>
  <si>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</si>
  <si>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</si>
  <si>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</si>
  <si>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</si>
  <si>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</si>
  <si>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</si>
  <si>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</si>
  <si>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</si>
  <si>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</si>
  <si>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</si>
  <si>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</si>
  <si>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</si>
  <si>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</si>
  <si>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</si>
  <si>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</si>
  <si>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</si>
  <si>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</si>
  <si>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</si>
  <si>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</si>
  <si>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</si>
  <si>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</si>
  <si>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</si>
  <si>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</si>
  <si>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</si>
  <si>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</si>
  <si>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</si>
  <si>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</si>
  <si>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</si>
  <si>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</si>
  <si>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</si>
  <si>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</si>
  <si>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</si>
  <si>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</si>
  <si>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</si>
  <si>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</si>
  <si>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</si>
  <si>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</si>
  <si>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</si>
  <si>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</si>
  <si>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</si>
  <si>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</si>
  <si>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</si>
  <si>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</si>
  <si>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</si>
  <si>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</si>
  <si>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</si>
  <si>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</si>
  <si>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</si>
  <si>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</si>
  <si>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</si>
  <si>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</si>
  <si>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</si>
  <si>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</si>
  <si>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</si>
  <si>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</si>
  <si>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</si>
  <si>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</si>
  <si>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</si>
  <si>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</si>
  <si>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</si>
  <si>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</si>
  <si>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</si>
  <si>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</si>
  <si>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</si>
  <si>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</si>
  <si>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</si>
  <si>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</si>
  <si>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</si>
  <si>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</si>
  <si>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</si>
  <si>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</si>
  <si>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</si>
  <si>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</si>
  <si>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</si>
  <si>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</si>
  <si>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</si>
  <si>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</si>
  <si>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</si>
  <si>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</si>
  <si>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</si>
  <si>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</si>
  <si>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</si>
  <si>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</si>
  <si>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</si>
  <si>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</si>
  <si>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</si>
  <si>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</si>
  <si>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</si>
  <si>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</si>
  <si>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</si>
  <si>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</si>
  <si>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</si>
  <si>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</si>
  <si>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</si>
  <si>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</si>
  <si>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</si>
  <si>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</si>
  <si>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</si>
  <si>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</si>
  <si>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</si>
  <si>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</si>
  <si>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</si>
  <si>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</si>
  <si>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</si>
  <si>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</si>
  <si>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</si>
  <si>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</si>
  <si>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</si>
  <si>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</si>
  <si>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</si>
  <si>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</si>
  <si>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</si>
  <si>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</si>
  <si>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</si>
  <si>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</si>
  <si>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</si>
  <si>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</si>
  <si>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</si>
  <si>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</si>
  <si>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</si>
  <si>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</si>
  <si>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</si>
  <si>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</si>
  <si>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</si>
  <si>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</si>
  <si>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</si>
  <si>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</si>
  <si>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</si>
  <si>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</si>
  <si>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</si>
  <si>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</si>
  <si>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</si>
  <si>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</si>
  <si>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</si>
  <si>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</si>
  <si>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</si>
  <si>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</si>
  <si>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</si>
  <si>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</si>
  <si>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</si>
  <si>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</si>
  <si>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</si>
  <si>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</si>
  <si>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</si>
  <si>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</si>
  <si>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</si>
  <si>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</si>
  <si>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</si>
  <si>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</si>
  <si>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</si>
  <si>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</si>
  <si>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</si>
  <si>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</si>
  <si>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</si>
  <si>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</si>
  <si>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</si>
  <si>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</si>
  <si>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</si>
  <si>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</si>
  <si>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</si>
  <si>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</si>
  <si>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</si>
  <si>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</si>
  <si>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</si>
  <si>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</si>
  <si>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</si>
  <si>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</si>
  <si>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</si>
  <si>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</si>
  <si>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</si>
  <si>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</si>
  <si>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</si>
  <si>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</si>
  <si>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</si>
  <si>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</si>
  <si>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</si>
  <si>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</si>
  <si>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</si>
  <si>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</si>
  <si>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</si>
  <si>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</si>
  <si>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</si>
  <si>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</si>
  <si>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</si>
  <si>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</si>
  <si>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</si>
  <si>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</si>
  <si>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</si>
  <si>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</si>
  <si>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</si>
  <si>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</si>
  <si>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</si>
  <si>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</si>
  <si>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</si>
  <si>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</si>
  <si>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</si>
  <si>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</si>
  <si>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</si>
  <si>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</si>
  <si>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</si>
  <si>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</si>
  <si>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</si>
  <si>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</si>
  <si>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</si>
  <si>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</si>
  <si>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</si>
  <si>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</si>
  <si>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</si>
  <si>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</si>
  <si>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</si>
  <si>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</si>
  <si>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</si>
  <si>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</si>
  <si>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</si>
  <si>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</si>
  <si>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</si>
  <si>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</si>
  <si>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</si>
  <si>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</si>
  <si>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</si>
  <si>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</si>
  <si>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</si>
  <si>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</si>
  <si>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</si>
  <si>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</si>
  <si>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</si>
  <si>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</si>
  <si>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</si>
  <si>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</si>
  <si>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</si>
  <si>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</si>
  <si>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</si>
  <si>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</si>
  <si>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</si>
  <si>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</si>
  <si>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</si>
  <si>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</si>
  <si>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</si>
  <si>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</si>
  <si>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</si>
  <si>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</si>
  <si>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</si>
  <si>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</si>
  <si>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</si>
  <si>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</si>
  <si>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</si>
  <si>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</si>
  <si>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</si>
  <si>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</si>
  <si>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</si>
  <si>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</si>
  <si>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</si>
  <si>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</si>
  <si>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</si>
  <si>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</si>
  <si>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</si>
  <si>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</si>
  <si>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</si>
  <si>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</si>
  <si>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</si>
  <si>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</si>
  <si>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</si>
  <si>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</si>
  <si>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</si>
  <si>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</si>
  <si>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</si>
  <si>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</si>
  <si>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</si>
  <si>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</si>
  <si>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</si>
  <si>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</si>
  <si>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</si>
  <si>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</si>
  <si>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</si>
  <si>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</si>
  <si>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</si>
  <si>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</si>
  <si>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</si>
  <si>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</si>
  <si>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</si>
  <si>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</si>
  <si>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</si>
  <si>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</si>
  <si>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</si>
  <si>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</si>
  <si>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</si>
  <si>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</si>
  <si>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</si>
  <si>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</si>
  <si>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</si>
  <si>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</si>
  <si>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</si>
  <si>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</si>
  <si>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</si>
  <si>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</si>
  <si>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</si>
  <si>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</si>
  <si>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</si>
  <si>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</si>
  <si>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</si>
  <si>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</si>
  <si>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</si>
  <si>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</si>
  <si>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</si>
  <si>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</si>
  <si>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</si>
  <si>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</si>
  <si>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</si>
  <si>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</si>
  <si>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</si>
  <si>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</si>
  <si>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</si>
  <si>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</si>
  <si>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</si>
  <si>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</si>
  <si>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</si>
  <si>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</si>
  <si>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</si>
  <si>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</si>
  <si>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</si>
  <si>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</si>
  <si>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</si>
  <si>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</si>
  <si>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</si>
  <si>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</si>
  <si>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</si>
  <si>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</si>
  <si>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</si>
  <si>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</si>
  <si>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</si>
  <si>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</si>
  <si>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</si>
  <si>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</si>
  <si>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</si>
  <si>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</si>
  <si>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</si>
  <si>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</si>
  <si>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</si>
  <si>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</si>
  <si>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</si>
  <si>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</si>
  <si>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</si>
  <si>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</si>
  <si>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</si>
  <si>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</si>
  <si>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</si>
  <si>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</si>
  <si>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</si>
  <si>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</si>
  <si>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</si>
  <si>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</si>
  <si>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</si>
  <si>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</si>
  <si>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</si>
  <si>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</si>
  <si>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</si>
  <si>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</si>
  <si>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</si>
  <si>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</si>
  <si>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</si>
  <si>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</si>
  <si>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</si>
  <si>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</si>
  <si>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</si>
  <si>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</si>
  <si>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</si>
  <si>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</si>
  <si>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</si>
  <si>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</si>
  <si>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</si>
  <si>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</si>
  <si>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</si>
  <si>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</si>
  <si>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</si>
  <si>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</si>
  <si>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</si>
  <si>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</si>
  <si>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</si>
  <si>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</si>
  <si>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</si>
  <si>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</si>
  <si>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</si>
  <si>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</si>
  <si>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</si>
  <si>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</si>
  <si>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</si>
  <si>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</si>
  <si>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</si>
  <si>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</si>
  <si>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</si>
  <si>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</si>
  <si>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</si>
  <si>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</si>
  <si>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</si>
  <si>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</si>
  <si>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</si>
  <si>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</si>
  <si>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</si>
  <si>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</si>
  <si>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</si>
  <si>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</si>
  <si>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</si>
  <si>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</si>
  <si>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</si>
  <si>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</si>
  <si>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</si>
  <si>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</si>
  <si>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</si>
  <si>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</si>
  <si>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</si>
  <si>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</si>
  <si>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</si>
  <si>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</si>
  <si>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</si>
  <si>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</si>
  <si>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</si>
  <si>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</si>
  <si>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</si>
  <si>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</si>
  <si>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</si>
  <si>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</si>
  <si>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</si>
  <si>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</si>
  <si>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</si>
  <si>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</si>
  <si>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</si>
  <si>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</si>
  <si>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</si>
  <si>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</si>
  <si>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</si>
  <si>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</si>
  <si>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</si>
  <si>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</si>
  <si>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</si>
  <si>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</si>
  <si>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</si>
  <si>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</si>
  <si>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</si>
  <si>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</si>
  <si>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</si>
  <si>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</si>
  <si>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</si>
  <si>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</si>
  <si>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</si>
  <si>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</si>
  <si>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</si>
  <si>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</si>
  <si>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</si>
  <si>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</si>
  <si>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</si>
  <si>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</si>
  <si>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</si>
  <si>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</si>
  <si>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</si>
  <si>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</si>
  <si>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</si>
  <si>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</si>
  <si>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</si>
  <si>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</si>
  <si>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</si>
  <si>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</si>
  <si>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</si>
  <si>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</si>
  <si>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</si>
  <si>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</si>
  <si>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</si>
  <si>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</si>
  <si>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</si>
  <si>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</si>
  <si>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</si>
  <si>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</si>
  <si>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</si>
  <si>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</si>
  <si>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</si>
  <si>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</si>
  <si>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</si>
  <si>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</si>
  <si>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</si>
  <si>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</si>
  <si>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</si>
  <si>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</si>
  <si>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</si>
  <si>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</si>
  <si>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</si>
  <si>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</si>
  <si>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</si>
  <si>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</si>
  <si>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</si>
  <si>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</si>
  <si>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</si>
  <si>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</si>
  <si>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</si>
  <si>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</si>
  <si>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</si>
  <si>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</si>
  <si>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</si>
  <si>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</si>
  <si>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</si>
  <si>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</si>
  <si>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</si>
  <si>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</si>
  <si>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</si>
  <si>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</si>
  <si>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</si>
  <si>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</si>
  <si>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</si>
  <si>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</si>
  <si>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</si>
  <si>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</si>
  <si>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</si>
  <si>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</si>
  <si>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</si>
  <si>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</si>
  <si>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</si>
  <si>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</si>
  <si>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</si>
  <si>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</si>
  <si>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</si>
  <si>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</si>
  <si>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</si>
  <si>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</si>
  <si>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</si>
  <si>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</si>
  <si>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</si>
  <si>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</si>
  <si>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</si>
  <si>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</si>
  <si>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</si>
  <si>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</si>
  <si>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</si>
  <si>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</si>
  <si>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</si>
  <si>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</si>
  <si>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</si>
  <si>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</si>
  <si>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</si>
  <si>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</si>
  <si>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</si>
  <si>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</si>
  <si>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</si>
  <si>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</si>
  <si>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</si>
  <si>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</si>
  <si>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</si>
  <si>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</si>
  <si>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</si>
  <si>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</si>
  <si>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</si>
  <si>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</si>
  <si>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</si>
  <si>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</si>
  <si>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</si>
  <si>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</si>
  <si>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</si>
  <si>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</si>
  <si>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</si>
  <si>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</si>
  <si>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</si>
  <si>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</si>
  <si>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</si>
  <si>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</si>
  <si>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</si>
  <si>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</si>
  <si>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</si>
  <si>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</si>
  <si>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</si>
  <si>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</si>
  <si>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</si>
  <si>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</si>
  <si>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</si>
  <si>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</si>
  <si>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</si>
  <si>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</si>
  <si>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</si>
  <si>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</si>
  <si>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</si>
  <si>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</si>
  <si>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</si>
  <si>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</si>
  <si>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</si>
  <si>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</si>
  <si>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</si>
  <si>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</si>
  <si>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</si>
  <si>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</si>
  <si>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</si>
  <si>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</si>
  <si>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</si>
  <si>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</si>
  <si>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</si>
  <si>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</si>
  <si>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</si>
  <si>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</si>
  <si>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</si>
  <si>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</si>
  <si>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</si>
  <si>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</si>
  <si>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</si>
  <si>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</si>
  <si>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</si>
  <si>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</si>
  <si>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</si>
  <si>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</si>
  <si>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</si>
  <si>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</si>
  <si>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</si>
  <si>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</si>
  <si>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</si>
  <si>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</si>
  <si>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</si>
  <si>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</si>
  <si>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</si>
  <si>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</si>
  <si>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</si>
  <si>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</si>
  <si>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</si>
  <si>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</si>
  <si>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</si>
  <si>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</si>
  <si>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</si>
  <si>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</si>
  <si>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</si>
  <si>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</si>
  <si>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</si>
  <si>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</si>
  <si>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</si>
  <si>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</si>
  <si>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</si>
  <si>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</si>
  <si>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</si>
  <si>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</si>
  <si>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</si>
  <si>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</si>
  <si>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</si>
  <si>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</si>
  <si>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</si>
  <si>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</si>
  <si>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</si>
  <si>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</si>
  <si>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</si>
  <si>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</si>
  <si>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</si>
  <si>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</si>
  <si>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</si>
  <si>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</si>
  <si>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</si>
  <si>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</si>
  <si>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</si>
  <si>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</si>
  <si>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</si>
  <si>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</si>
  <si>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</si>
  <si>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</si>
  <si>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</si>
  <si>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</si>
  <si>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</si>
  <si>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</si>
  <si>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</si>
  <si>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</si>
  <si>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</si>
  <si>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</si>
  <si>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</si>
  <si>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</si>
  <si>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</si>
  <si>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</si>
  <si>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</si>
  <si>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</si>
  <si>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</si>
  <si>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</si>
  <si>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</si>
  <si>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</si>
  <si>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</si>
  <si>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</si>
  <si>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</si>
  <si>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</si>
  <si>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</si>
  <si>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</si>
  <si>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</si>
  <si>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</si>
  <si>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</si>
  <si>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</si>
  <si>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</si>
  <si>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</si>
  <si>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</si>
  <si>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</si>
  <si>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</si>
  <si>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</si>
  <si>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</si>
  <si>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</si>
  <si>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</si>
  <si>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</si>
  <si>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</si>
  <si>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</si>
  <si>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</si>
  <si>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</si>
  <si>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</si>
  <si>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</si>
  <si>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</si>
  <si>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</si>
  <si>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44021</t>
  </si>
  <si>
    <t>GENT</t>
  </si>
  <si>
    <t>Paarden&amp;pony's 200 - 600 kg</t>
  </si>
  <si>
    <t>Paarden&amp;pony's &lt; 200 kg</t>
  </si>
  <si>
    <t>Fluvius</t>
  </si>
  <si>
    <t>referentietaak LNE (2017); Jaarverslag De Lijn</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</si>
  <si>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</si>
  <si>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</si>
  <si>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</si>
  <si>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</si>
  <si>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</si>
  <si>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</si>
  <si>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</si>
  <si>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</si>
  <si>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</si>
  <si>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</si>
  <si>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S&amp;R Gent nv</t>
  </si>
  <si>
    <t>Victor Braeckmanlaan 180 , 9040 Sint-Amandsberg</t>
  </si>
  <si>
    <t>WKK-0417 SR Gent</t>
  </si>
  <si>
    <t>WKK interne verbrandinsgmotor (gas)</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</si>
  <si>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</si>
  <si>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</si>
  <si>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</si>
  <si>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</si>
  <si>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</si>
  <si>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</si>
  <si>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</si>
  <si>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</si>
  <si>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</si>
  <si>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</si>
  <si>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</si>
  <si>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</si>
  <si>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</si>
  <si>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WKK-0616 Sofa Invest</t>
  </si>
  <si>
    <t>Koningin Maria Hendrikaplein 70 , 9000 Gent</t>
  </si>
  <si>
    <t>Universiteit Gent</t>
  </si>
  <si>
    <t>Sint-Pietersnieuwstraat 25 , 9000 Gent</t>
  </si>
  <si>
    <t>WKK-0653 Universiteit Gent II</t>
  </si>
  <si>
    <t>Karel Lodewijk Ledeganckstraat 25 , 9000 Gent</t>
  </si>
  <si>
    <t>WKK-0625 Universiteit Gent</t>
  </si>
  <si>
    <t>coupure links 653 , 9000 Gent</t>
  </si>
  <si>
    <t>Trianon NV</t>
  </si>
  <si>
    <t>Sint-Denijslaan 203 , 9000 Gent</t>
  </si>
  <si>
    <t>WKK-0659 Trianon</t>
  </si>
  <si>
    <t>hotels</t>
  </si>
  <si>
    <t>E. Van Wingen nv</t>
  </si>
  <si>
    <t>Durmakker 27 , 9940 Evergem</t>
  </si>
  <si>
    <t>WKK-0639 Mahy</t>
  </si>
  <si>
    <t>Zeeschipstraat 107 B, 9000 Gent</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</si>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</sst>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1609296.2781887494</c:v>
                </c:pt>
                <c:pt idx="1">
                  <c:v>1745057.9121168416</c:v>
                </c:pt>
                <c:pt idx="2">
                  <c:v>14103.357402000001</c:v>
                </c:pt>
                <c:pt idx="3">
                  <c:v>24515.98684598058</c:v>
                </c:pt>
                <c:pt idx="4">
                  <c:v>773673.40822771238</c:v>
                </c:pt>
                <c:pt idx="5">
                  <c:v>2105661.0041369651</c:v>
                </c:pt>
                <c:pt idx="6">
                  <c:v>47306.775133148367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1609296.2781887494</c:v>
                </c:pt>
                <c:pt idx="1">
                  <c:v>1745057.9121168416</c:v>
                </c:pt>
                <c:pt idx="2">
                  <c:v>14103.357402000001</c:v>
                </c:pt>
                <c:pt idx="3">
                  <c:v>24515.98684598058</c:v>
                </c:pt>
                <c:pt idx="4">
                  <c:v>773673.40822771238</c:v>
                </c:pt>
                <c:pt idx="5">
                  <c:v>2105661.0041369651</c:v>
                </c:pt>
                <c:pt idx="6">
                  <c:v>47306.775133148367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307893.04557456367</c:v>
                </c:pt>
                <c:pt idx="2">
                  <c:v>352710.32005127193</c:v>
                </c:pt>
                <c:pt idx="3">
                  <c:v>2765.0775322250638</c:v>
                </c:pt>
                <c:pt idx="4">
                  <c:v>5938.3727381506978</c:v>
                </c:pt>
                <c:pt idx="5">
                  <c:v>155009.12071625222</c:v>
                </c:pt>
                <c:pt idx="6">
                  <c:v>539902.47829865734</c:v>
                </c:pt>
                <c:pt idx="7">
                  <c:v>11669.237757576493</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307893.04557456367</c:v>
                </c:pt>
                <c:pt idx="2">
                  <c:v>352710.32005127193</c:v>
                </c:pt>
                <c:pt idx="3">
                  <c:v>2765.0775322250638</c:v>
                </c:pt>
                <c:pt idx="4">
                  <c:v>5938.3727381506978</c:v>
                </c:pt>
                <c:pt idx="5">
                  <c:v>155009.12071625222</c:v>
                </c:pt>
                <c:pt idx="6">
                  <c:v>539902.47829865734</c:v>
                </c:pt>
                <c:pt idx="7">
                  <c:v>11669.237757576493</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44021</v>
      </c>
      <c r="B6" s="390"/>
      <c r="C6" s="391"/>
    </row>
    <row r="7" spans="1:7" s="388" customFormat="1" ht="15.75" customHeight="1">
      <c r="A7" s="392" t="str">
        <f>txtMunicipality</f>
        <v>GENT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0.19605810541488139</v>
      </c>
      <c r="C17" s="498">
        <f ca="1">'EF ele_warmte'!B22</f>
        <v>0.12626137238349922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0.19605810541488139</v>
      </c>
      <c r="C29" s="499">
        <f ca="1">'EF ele_warmte'!B22</f>
        <v>0.12626137238349922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117505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3101.93</v>
      </c>
      <c r="C14" s="330"/>
      <c r="D14" s="330"/>
      <c r="E14" s="330"/>
      <c r="F14" s="330"/>
    </row>
    <row r="15" spans="1:6">
      <c r="A15" s="1291" t="s">
        <v>183</v>
      </c>
      <c r="B15" s="1292">
        <v>38</v>
      </c>
      <c r="C15" s="330"/>
      <c r="D15" s="330"/>
      <c r="E15" s="330"/>
      <c r="F15" s="330"/>
    </row>
    <row r="16" spans="1:6">
      <c r="A16" s="1291" t="s">
        <v>6</v>
      </c>
      <c r="B16" s="1292">
        <v>1397</v>
      </c>
      <c r="C16" s="330"/>
      <c r="D16" s="330"/>
      <c r="E16" s="330"/>
      <c r="F16" s="330"/>
    </row>
    <row r="17" spans="1:6">
      <c r="A17" s="1291" t="s">
        <v>7</v>
      </c>
      <c r="B17" s="1292">
        <v>914</v>
      </c>
      <c r="C17" s="330"/>
      <c r="D17" s="330"/>
      <c r="E17" s="330"/>
      <c r="F17" s="330"/>
    </row>
    <row r="18" spans="1:6">
      <c r="A18" s="1291" t="s">
        <v>8</v>
      </c>
      <c r="B18" s="1292">
        <v>1397</v>
      </c>
      <c r="C18" s="330"/>
      <c r="D18" s="330"/>
      <c r="E18" s="330"/>
      <c r="F18" s="330"/>
    </row>
    <row r="19" spans="1:6">
      <c r="A19" s="1291" t="s">
        <v>9</v>
      </c>
      <c r="B19" s="1292">
        <v>1255</v>
      </c>
      <c r="C19" s="330"/>
      <c r="D19" s="330"/>
      <c r="E19" s="330"/>
      <c r="F19" s="330"/>
    </row>
    <row r="20" spans="1:6">
      <c r="A20" s="1291" t="s">
        <v>10</v>
      </c>
      <c r="B20" s="1292">
        <v>896</v>
      </c>
      <c r="C20" s="330"/>
      <c r="D20" s="330"/>
      <c r="E20" s="330"/>
      <c r="F20" s="330"/>
    </row>
    <row r="21" spans="1:6">
      <c r="A21" s="1291" t="s">
        <v>11</v>
      </c>
      <c r="B21" s="1292">
        <v>1156</v>
      </c>
      <c r="C21" s="330"/>
      <c r="D21" s="330"/>
      <c r="E21" s="330"/>
      <c r="F21" s="330"/>
    </row>
    <row r="22" spans="1:6">
      <c r="A22" s="1291" t="s">
        <v>12</v>
      </c>
      <c r="B22" s="1292">
        <v>3109</v>
      </c>
      <c r="C22" s="330"/>
      <c r="D22" s="330"/>
      <c r="E22" s="330"/>
      <c r="F22" s="330"/>
    </row>
    <row r="23" spans="1:6">
      <c r="A23" s="1291" t="s">
        <v>13</v>
      </c>
      <c r="B23" s="1292">
        <v>32</v>
      </c>
      <c r="C23" s="330"/>
      <c r="D23" s="330"/>
      <c r="E23" s="330"/>
      <c r="F23" s="330"/>
    </row>
    <row r="24" spans="1:6">
      <c r="A24" s="1291" t="s">
        <v>14</v>
      </c>
      <c r="B24" s="1292">
        <v>4</v>
      </c>
      <c r="C24" s="330"/>
      <c r="D24" s="330"/>
      <c r="E24" s="330"/>
      <c r="F24" s="330"/>
    </row>
    <row r="25" spans="1:6">
      <c r="A25" s="1291" t="s">
        <v>15</v>
      </c>
      <c r="B25" s="1292">
        <v>340</v>
      </c>
      <c r="C25" s="330"/>
      <c r="D25" s="330"/>
      <c r="E25" s="330"/>
      <c r="F25" s="330"/>
    </row>
    <row r="26" spans="1:6">
      <c r="A26" s="1291" t="s">
        <v>16</v>
      </c>
      <c r="B26" s="1292">
        <v>378</v>
      </c>
      <c r="C26" s="330"/>
      <c r="D26" s="330"/>
      <c r="E26" s="330"/>
      <c r="F26" s="330"/>
    </row>
    <row r="27" spans="1:6">
      <c r="A27" s="1291" t="s">
        <v>17</v>
      </c>
      <c r="B27" s="1292">
        <v>11</v>
      </c>
      <c r="C27" s="330"/>
      <c r="D27" s="330"/>
      <c r="E27" s="330"/>
      <c r="F27" s="330"/>
    </row>
    <row r="28" spans="1:6" s="43" customFormat="1">
      <c r="A28" s="1293" t="s">
        <v>18</v>
      </c>
      <c r="B28" s="1294">
        <v>3</v>
      </c>
      <c r="C28" s="336"/>
      <c r="D28" s="336"/>
      <c r="E28" s="336"/>
      <c r="F28" s="336"/>
    </row>
    <row r="29" spans="1:6">
      <c r="A29" s="1293" t="s">
        <v>892</v>
      </c>
      <c r="B29" s="1294">
        <v>501</v>
      </c>
      <c r="C29" s="336"/>
      <c r="D29" s="336"/>
      <c r="E29" s="336"/>
      <c r="F29" s="336"/>
    </row>
    <row r="30" spans="1:6">
      <c r="A30" s="1286" t="s">
        <v>893</v>
      </c>
      <c r="B30" s="1295">
        <v>99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11</v>
      </c>
      <c r="F35" s="1292">
        <v>113614.90618000001</v>
      </c>
    </row>
    <row r="36" spans="1:6">
      <c r="A36" s="1291" t="s">
        <v>24</v>
      </c>
      <c r="B36" s="1291" t="s">
        <v>26</v>
      </c>
      <c r="C36" s="1292">
        <v>10</v>
      </c>
      <c r="D36" s="1292">
        <v>1207972.5563000001</v>
      </c>
      <c r="E36" s="1292">
        <v>56</v>
      </c>
      <c r="F36" s="1292">
        <v>2249765.4394</v>
      </c>
    </row>
    <row r="37" spans="1:6">
      <c r="A37" s="1291" t="s">
        <v>24</v>
      </c>
      <c r="B37" s="1291" t="s">
        <v>27</v>
      </c>
      <c r="C37" s="1292">
        <v>0</v>
      </c>
      <c r="D37" s="1292">
        <v>0</v>
      </c>
      <c r="E37" s="1292">
        <v>0</v>
      </c>
      <c r="F37" s="1292">
        <v>0</v>
      </c>
    </row>
    <row r="38" spans="1:6">
      <c r="A38" s="1291" t="s">
        <v>24</v>
      </c>
      <c r="B38" s="1291" t="s">
        <v>28</v>
      </c>
      <c r="C38" s="1292">
        <v>9</v>
      </c>
      <c r="D38" s="1292">
        <v>3549558.5765999998</v>
      </c>
      <c r="E38" s="1292">
        <v>17</v>
      </c>
      <c r="F38" s="1292">
        <v>1275020.9502000001</v>
      </c>
    </row>
    <row r="39" spans="1:6">
      <c r="A39" s="1291" t="s">
        <v>29</v>
      </c>
      <c r="B39" s="1291" t="s">
        <v>30</v>
      </c>
      <c r="C39" s="1292">
        <v>88374</v>
      </c>
      <c r="D39" s="1292">
        <v>1169523614.434196</v>
      </c>
      <c r="E39" s="1292">
        <v>116008</v>
      </c>
      <c r="F39" s="1292">
        <v>353450910.59892404</v>
      </c>
    </row>
    <row r="40" spans="1:6">
      <c r="A40" s="1291" t="s">
        <v>29</v>
      </c>
      <c r="B40" s="1291" t="s">
        <v>28</v>
      </c>
      <c r="C40" s="1292">
        <v>1</v>
      </c>
      <c r="D40" s="1292">
        <v>12400.132374999999</v>
      </c>
      <c r="E40" s="1292">
        <v>1</v>
      </c>
      <c r="F40" s="1292">
        <v>2073.8708569999999</v>
      </c>
    </row>
    <row r="41" spans="1:6">
      <c r="A41" s="1291" t="s">
        <v>31</v>
      </c>
      <c r="B41" s="1291" t="s">
        <v>32</v>
      </c>
      <c r="C41" s="1292">
        <v>935</v>
      </c>
      <c r="D41" s="1292">
        <v>23226396.534000002</v>
      </c>
      <c r="E41" s="1292">
        <v>1664</v>
      </c>
      <c r="F41" s="1292">
        <v>22221460.287</v>
      </c>
    </row>
    <row r="42" spans="1:6">
      <c r="A42" s="1291" t="s">
        <v>31</v>
      </c>
      <c r="B42" s="1291" t="s">
        <v>33</v>
      </c>
      <c r="C42" s="1292">
        <v>14</v>
      </c>
      <c r="D42" s="1292">
        <v>45599425.718999997</v>
      </c>
      <c r="E42" s="1292">
        <v>21</v>
      </c>
      <c r="F42" s="1292">
        <v>31088187.419</v>
      </c>
    </row>
    <row r="43" spans="1:6">
      <c r="A43" s="1291" t="s">
        <v>31</v>
      </c>
      <c r="B43" s="1291" t="s">
        <v>34</v>
      </c>
      <c r="C43" s="1292">
        <v>0</v>
      </c>
      <c r="D43" s="1292">
        <v>0</v>
      </c>
      <c r="E43" s="1292">
        <v>0</v>
      </c>
      <c r="F43" s="1292">
        <v>0</v>
      </c>
    </row>
    <row r="44" spans="1:6">
      <c r="A44" s="1291" t="s">
        <v>31</v>
      </c>
      <c r="B44" s="1291" t="s">
        <v>35</v>
      </c>
      <c r="C44" s="1292">
        <v>30</v>
      </c>
      <c r="D44" s="1292">
        <v>13279380.669</v>
      </c>
      <c r="E44" s="1292">
        <v>169</v>
      </c>
      <c r="F44" s="1292">
        <v>30351738.021000002</v>
      </c>
    </row>
    <row r="45" spans="1:6">
      <c r="A45" s="1291" t="s">
        <v>31</v>
      </c>
      <c r="B45" s="1291" t="s">
        <v>36</v>
      </c>
      <c r="C45" s="1292">
        <v>3</v>
      </c>
      <c r="D45" s="1292">
        <v>154607.88787000001</v>
      </c>
      <c r="E45" s="1292">
        <v>31</v>
      </c>
      <c r="F45" s="1292">
        <v>67959164.656000003</v>
      </c>
    </row>
    <row r="46" spans="1:6">
      <c r="A46" s="1291" t="s">
        <v>31</v>
      </c>
      <c r="B46" s="1291" t="s">
        <v>37</v>
      </c>
      <c r="C46" s="1292">
        <v>0</v>
      </c>
      <c r="D46" s="1292">
        <v>0</v>
      </c>
      <c r="E46" s="1292">
        <v>0</v>
      </c>
      <c r="F46" s="1292">
        <v>0</v>
      </c>
    </row>
    <row r="47" spans="1:6">
      <c r="A47" s="1291" t="s">
        <v>31</v>
      </c>
      <c r="B47" s="1291" t="s">
        <v>38</v>
      </c>
      <c r="C47" s="1292">
        <v>74</v>
      </c>
      <c r="D47" s="1292">
        <v>3427032.6690000002</v>
      </c>
      <c r="E47" s="1292">
        <v>111</v>
      </c>
      <c r="F47" s="1292">
        <v>15014520.619000001</v>
      </c>
    </row>
    <row r="48" spans="1:6">
      <c r="A48" s="1291" t="s">
        <v>31</v>
      </c>
      <c r="B48" s="1291" t="s">
        <v>28</v>
      </c>
      <c r="C48" s="1292">
        <v>276</v>
      </c>
      <c r="D48" s="1292">
        <v>227152623.59999999</v>
      </c>
      <c r="E48" s="1292">
        <v>345</v>
      </c>
      <c r="F48" s="1292">
        <v>168207255.59999999</v>
      </c>
    </row>
    <row r="49" spans="1:6">
      <c r="A49" s="1291" t="s">
        <v>31</v>
      </c>
      <c r="B49" s="1291" t="s">
        <v>39</v>
      </c>
      <c r="C49" s="1292">
        <v>22</v>
      </c>
      <c r="D49" s="1292">
        <v>389612.23719000001</v>
      </c>
      <c r="E49" s="1292">
        <v>28</v>
      </c>
      <c r="F49" s="1292">
        <v>300176.90016999998</v>
      </c>
    </row>
    <row r="50" spans="1:6">
      <c r="A50" s="1291" t="s">
        <v>31</v>
      </c>
      <c r="B50" s="1291" t="s">
        <v>40</v>
      </c>
      <c r="C50" s="1292">
        <v>132</v>
      </c>
      <c r="D50" s="1292">
        <v>9696984.6161000002</v>
      </c>
      <c r="E50" s="1292">
        <v>200</v>
      </c>
      <c r="F50" s="1292">
        <v>9026662.5579000004</v>
      </c>
    </row>
    <row r="51" spans="1:6">
      <c r="A51" s="1291" t="s">
        <v>41</v>
      </c>
      <c r="B51" s="1291" t="s">
        <v>42</v>
      </c>
      <c r="C51" s="1292">
        <v>82</v>
      </c>
      <c r="D51" s="1292">
        <v>4070048.1850000001</v>
      </c>
      <c r="E51" s="1292">
        <v>239</v>
      </c>
      <c r="F51" s="1292">
        <v>2552817.3498999998</v>
      </c>
    </row>
    <row r="52" spans="1:6">
      <c r="A52" s="1291" t="s">
        <v>41</v>
      </c>
      <c r="B52" s="1291" t="s">
        <v>28</v>
      </c>
      <c r="C52" s="1292">
        <v>27</v>
      </c>
      <c r="D52" s="1292">
        <v>2355777.9759</v>
      </c>
      <c r="E52" s="1292">
        <v>61</v>
      </c>
      <c r="F52" s="1292">
        <v>1327001.3356000001</v>
      </c>
    </row>
    <row r="53" spans="1:6">
      <c r="A53" s="1291" t="s">
        <v>43</v>
      </c>
      <c r="B53" s="1291" t="s">
        <v>44</v>
      </c>
      <c r="C53" s="1292">
        <v>3909</v>
      </c>
      <c r="D53" s="1292">
        <v>93599040.630999997</v>
      </c>
      <c r="E53" s="1292">
        <v>6907</v>
      </c>
      <c r="F53" s="1292">
        <v>24605582.749000002</v>
      </c>
    </row>
    <row r="54" spans="1:6">
      <c r="A54" s="1291" t="s">
        <v>45</v>
      </c>
      <c r="B54" s="1291" t="s">
        <v>46</v>
      </c>
      <c r="C54" s="1292">
        <v>0</v>
      </c>
      <c r="D54" s="1292">
        <v>0</v>
      </c>
      <c r="E54" s="1292">
        <v>13</v>
      </c>
      <c r="F54" s="1292">
        <v>14103357.402000001</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922</v>
      </c>
      <c r="D57" s="1292">
        <v>48315499.681000002</v>
      </c>
      <c r="E57" s="1292">
        <v>1436</v>
      </c>
      <c r="F57" s="1292">
        <v>46646833.425999999</v>
      </c>
    </row>
    <row r="58" spans="1:6">
      <c r="A58" s="1291" t="s">
        <v>48</v>
      </c>
      <c r="B58" s="1291" t="s">
        <v>50</v>
      </c>
      <c r="C58" s="1292">
        <v>800</v>
      </c>
      <c r="D58" s="1292">
        <v>103866128.5</v>
      </c>
      <c r="E58" s="1292">
        <v>1079</v>
      </c>
      <c r="F58" s="1292">
        <v>99698340.562000006</v>
      </c>
    </row>
    <row r="59" spans="1:6">
      <c r="A59" s="1291" t="s">
        <v>48</v>
      </c>
      <c r="B59" s="1291" t="s">
        <v>51</v>
      </c>
      <c r="C59" s="1292">
        <v>1982</v>
      </c>
      <c r="D59" s="1292">
        <v>80885609.633000001</v>
      </c>
      <c r="E59" s="1292">
        <v>3440</v>
      </c>
      <c r="F59" s="1292">
        <v>157942706.03999999</v>
      </c>
    </row>
    <row r="60" spans="1:6">
      <c r="A60" s="1291" t="s">
        <v>48</v>
      </c>
      <c r="B60" s="1291" t="s">
        <v>52</v>
      </c>
      <c r="C60" s="1292">
        <v>1398</v>
      </c>
      <c r="D60" s="1292">
        <v>88810318.673999995</v>
      </c>
      <c r="E60" s="1292">
        <v>1746</v>
      </c>
      <c r="F60" s="1292">
        <v>53994054.541000001</v>
      </c>
    </row>
    <row r="61" spans="1:6">
      <c r="A61" s="1291" t="s">
        <v>48</v>
      </c>
      <c r="B61" s="1291" t="s">
        <v>53</v>
      </c>
      <c r="C61" s="1292">
        <v>4878</v>
      </c>
      <c r="D61" s="1292">
        <v>283542193.19</v>
      </c>
      <c r="E61" s="1292">
        <v>9162</v>
      </c>
      <c r="F61" s="1292">
        <v>179193430.44</v>
      </c>
    </row>
    <row r="62" spans="1:6">
      <c r="A62" s="1291" t="s">
        <v>48</v>
      </c>
      <c r="B62" s="1291" t="s">
        <v>54</v>
      </c>
      <c r="C62" s="1292">
        <v>551</v>
      </c>
      <c r="D62" s="1292">
        <v>164943459.91999999</v>
      </c>
      <c r="E62" s="1292">
        <v>858</v>
      </c>
      <c r="F62" s="1292">
        <v>97720671.991999999</v>
      </c>
    </row>
    <row r="63" spans="1:6">
      <c r="A63" s="1291" t="s">
        <v>48</v>
      </c>
      <c r="B63" s="1291" t="s">
        <v>28</v>
      </c>
      <c r="C63" s="1292">
        <v>832</v>
      </c>
      <c r="D63" s="1292">
        <v>108577534.43000001</v>
      </c>
      <c r="E63" s="1292">
        <v>892</v>
      </c>
      <c r="F63" s="1292">
        <v>71657506.677000001</v>
      </c>
    </row>
    <row r="64" spans="1:6">
      <c r="A64" s="1291" t="s">
        <v>55</v>
      </c>
      <c r="B64" s="1291" t="s">
        <v>56</v>
      </c>
      <c r="C64" s="1292">
        <v>0</v>
      </c>
      <c r="D64" s="1292">
        <v>0</v>
      </c>
      <c r="E64" s="1292">
        <v>0</v>
      </c>
      <c r="F64" s="1292">
        <v>0</v>
      </c>
    </row>
    <row r="65" spans="1:6">
      <c r="A65" s="1291" t="s">
        <v>55</v>
      </c>
      <c r="B65" s="1291" t="s">
        <v>28</v>
      </c>
      <c r="C65" s="1292">
        <v>29</v>
      </c>
      <c r="D65" s="1292">
        <v>1644618.9208</v>
      </c>
      <c r="E65" s="1292">
        <v>26</v>
      </c>
      <c r="F65" s="1292">
        <v>669208.14919999999</v>
      </c>
    </row>
    <row r="66" spans="1:6">
      <c r="A66" s="1291" t="s">
        <v>55</v>
      </c>
      <c r="B66" s="1291" t="s">
        <v>57</v>
      </c>
      <c r="C66" s="1292">
        <v>3</v>
      </c>
      <c r="D66" s="1292">
        <v>2645702.2058000001</v>
      </c>
      <c r="E66" s="1292">
        <v>152</v>
      </c>
      <c r="F66" s="1292">
        <v>8775119.9826999996</v>
      </c>
    </row>
    <row r="67" spans="1:6">
      <c r="A67" s="1293" t="s">
        <v>55</v>
      </c>
      <c r="B67" s="1293" t="s">
        <v>58</v>
      </c>
      <c r="C67" s="1292">
        <v>0</v>
      </c>
      <c r="D67" s="1292">
        <v>0</v>
      </c>
      <c r="E67" s="1292">
        <v>0</v>
      </c>
      <c r="F67" s="1292">
        <v>0</v>
      </c>
    </row>
    <row r="68" spans="1:6">
      <c r="A68" s="1286" t="s">
        <v>55</v>
      </c>
      <c r="B68" s="1286" t="s">
        <v>59</v>
      </c>
      <c r="C68" s="1295">
        <v>38</v>
      </c>
      <c r="D68" s="1295">
        <v>2902471.5175000001</v>
      </c>
      <c r="E68" s="1295">
        <v>124</v>
      </c>
      <c r="F68" s="1295">
        <v>12853846.545</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583400641</v>
      </c>
      <c r="E73" s="449"/>
      <c r="F73" s="330"/>
    </row>
    <row r="74" spans="1:6">
      <c r="A74" s="1291" t="s">
        <v>63</v>
      </c>
      <c r="B74" s="1291" t="s">
        <v>664</v>
      </c>
      <c r="C74" s="1305" t="s">
        <v>666</v>
      </c>
      <c r="D74" s="1306">
        <v>84626223.447314486</v>
      </c>
      <c r="E74" s="449"/>
      <c r="F74" s="330"/>
    </row>
    <row r="75" spans="1:6">
      <c r="A75" s="1291" t="s">
        <v>64</v>
      </c>
      <c r="B75" s="1291" t="s">
        <v>663</v>
      </c>
      <c r="C75" s="1305" t="s">
        <v>667</v>
      </c>
      <c r="D75" s="1306">
        <v>358904642</v>
      </c>
      <c r="E75" s="449"/>
      <c r="F75" s="330"/>
    </row>
    <row r="76" spans="1:6">
      <c r="A76" s="1291" t="s">
        <v>64</v>
      </c>
      <c r="B76" s="1291" t="s">
        <v>664</v>
      </c>
      <c r="C76" s="1305" t="s">
        <v>668</v>
      </c>
      <c r="D76" s="1306">
        <v>27621063.44731449</v>
      </c>
      <c r="E76" s="449"/>
      <c r="F76" s="330"/>
    </row>
    <row r="77" spans="1:6">
      <c r="A77" s="1291" t="s">
        <v>65</v>
      </c>
      <c r="B77" s="1291" t="s">
        <v>663</v>
      </c>
      <c r="C77" s="1305" t="s">
        <v>669</v>
      </c>
      <c r="D77" s="1306">
        <v>985543292</v>
      </c>
      <c r="E77" s="449"/>
      <c r="F77" s="330"/>
    </row>
    <row r="78" spans="1:6">
      <c r="A78" s="1286" t="s">
        <v>65</v>
      </c>
      <c r="B78" s="1286" t="s">
        <v>664</v>
      </c>
      <c r="C78" s="1286" t="s">
        <v>670</v>
      </c>
      <c r="D78" s="1307">
        <v>160732952</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10325487.105371019</v>
      </c>
      <c r="C83" s="449"/>
      <c r="D83" s="330"/>
      <c r="E83" s="330"/>
      <c r="F83" s="330"/>
    </row>
    <row r="84" spans="1:6">
      <c r="A84" s="1286" t="s">
        <v>336</v>
      </c>
      <c r="B84" s="1307">
        <v>2624738.0339463553</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105037.34461857929</v>
      </c>
      <c r="C90" s="330"/>
      <c r="D90" s="330"/>
      <c r="E90" s="330"/>
      <c r="F90" s="330"/>
    </row>
    <row r="91" spans="1:6">
      <c r="A91" s="1291" t="s">
        <v>67</v>
      </c>
      <c r="B91" s="1292">
        <v>18337.473609613698</v>
      </c>
      <c r="C91" s="330"/>
      <c r="D91" s="330"/>
      <c r="E91" s="330"/>
      <c r="F91" s="330"/>
    </row>
    <row r="92" spans="1:6">
      <c r="A92" s="1286" t="s">
        <v>68</v>
      </c>
      <c r="B92" s="1287">
        <v>37126.740466588468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62627</v>
      </c>
      <c r="C97" s="330"/>
      <c r="D97" s="330"/>
      <c r="E97" s="330"/>
      <c r="F97" s="330"/>
    </row>
    <row r="98" spans="1:6">
      <c r="A98" s="1291" t="s">
        <v>71</v>
      </c>
      <c r="B98" s="1292">
        <v>127</v>
      </c>
      <c r="C98" s="330"/>
      <c r="D98" s="330"/>
      <c r="E98" s="330"/>
      <c r="F98" s="330"/>
    </row>
    <row r="99" spans="1:6">
      <c r="A99" s="1291" t="s">
        <v>72</v>
      </c>
      <c r="B99" s="1292">
        <v>385</v>
      </c>
      <c r="C99" s="330"/>
      <c r="D99" s="330"/>
      <c r="E99" s="330"/>
      <c r="F99" s="330"/>
    </row>
    <row r="100" spans="1:6">
      <c r="A100" s="1291" t="s">
        <v>73</v>
      </c>
      <c r="B100" s="1292">
        <v>8623</v>
      </c>
      <c r="C100" s="330"/>
      <c r="D100" s="330"/>
      <c r="E100" s="330"/>
      <c r="F100" s="330"/>
    </row>
    <row r="101" spans="1:6">
      <c r="A101" s="1291" t="s">
        <v>74</v>
      </c>
      <c r="B101" s="1292">
        <v>396</v>
      </c>
      <c r="C101" s="330"/>
      <c r="D101" s="330"/>
      <c r="E101" s="330"/>
      <c r="F101" s="330"/>
    </row>
    <row r="102" spans="1:6">
      <c r="A102" s="1291" t="s">
        <v>75</v>
      </c>
      <c r="B102" s="1292">
        <v>4616</v>
      </c>
      <c r="C102" s="330"/>
      <c r="D102" s="330"/>
      <c r="E102" s="330"/>
      <c r="F102" s="330"/>
    </row>
    <row r="103" spans="1:6">
      <c r="A103" s="1291" t="s">
        <v>76</v>
      </c>
      <c r="B103" s="1292">
        <v>1823</v>
      </c>
      <c r="C103" s="330"/>
      <c r="D103" s="330"/>
      <c r="E103" s="330"/>
      <c r="F103" s="330"/>
    </row>
    <row r="104" spans="1:6">
      <c r="A104" s="1291" t="s">
        <v>77</v>
      </c>
      <c r="B104" s="1292">
        <v>21695</v>
      </c>
      <c r="C104" s="330"/>
      <c r="D104" s="330"/>
      <c r="E104" s="330"/>
      <c r="F104" s="330"/>
    </row>
    <row r="105" spans="1:6">
      <c r="A105" s="1286" t="s">
        <v>78</v>
      </c>
      <c r="B105" s="1295">
        <v>311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2</v>
      </c>
      <c r="C110" s="330"/>
      <c r="D110" s="330"/>
      <c r="E110" s="330"/>
      <c r="F110" s="330"/>
    </row>
    <row r="111" spans="1:6">
      <c r="A111" s="1312" t="s">
        <v>649</v>
      </c>
      <c r="B111" s="1313">
        <v>3</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1</v>
      </c>
      <c r="C121" s="1292">
        <v>0</v>
      </c>
      <c r="D121" s="330"/>
      <c r="E121" s="330"/>
      <c r="F121" s="330"/>
    </row>
    <row r="122" spans="1:6">
      <c r="A122" s="1291" t="s">
        <v>86</v>
      </c>
      <c r="B122" s="1292">
        <v>0</v>
      </c>
      <c r="C122" s="1292">
        <v>0</v>
      </c>
      <c r="D122" s="330"/>
      <c r="E122" s="330"/>
      <c r="F122" s="330"/>
    </row>
    <row r="123" spans="1:6">
      <c r="A123" s="1291" t="s">
        <v>87</v>
      </c>
      <c r="B123" s="1292">
        <v>157</v>
      </c>
      <c r="C123" s="1292">
        <v>217</v>
      </c>
      <c r="D123" s="330"/>
      <c r="E123" s="330"/>
      <c r="F123" s="330"/>
    </row>
    <row r="124" spans="1:6" s="43" customFormat="1">
      <c r="A124" s="1293" t="s">
        <v>88</v>
      </c>
      <c r="B124" s="1314">
        <v>2</v>
      </c>
      <c r="C124" s="1314">
        <v>7</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1098</v>
      </c>
      <c r="C129" s="330"/>
      <c r="D129" s="330"/>
      <c r="E129" s="330"/>
      <c r="F129" s="330"/>
    </row>
    <row r="130" spans="1:6">
      <c r="A130" s="1291" t="s">
        <v>294</v>
      </c>
      <c r="B130" s="1292">
        <v>27</v>
      </c>
      <c r="C130" s="330"/>
      <c r="D130" s="330"/>
      <c r="E130" s="330"/>
      <c r="F130" s="330"/>
    </row>
    <row r="131" spans="1:6">
      <c r="A131" s="1291" t="s">
        <v>295</v>
      </c>
      <c r="B131" s="1292">
        <v>17</v>
      </c>
      <c r="C131" s="330"/>
      <c r="D131" s="330"/>
      <c r="E131" s="330"/>
      <c r="F131" s="330"/>
    </row>
    <row r="132" spans="1:6">
      <c r="A132" s="1286" t="s">
        <v>296</v>
      </c>
      <c r="B132" s="1287">
        <v>87</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1490596.7872717127</v>
      </c>
      <c r="C3" s="43" t="s">
        <v>169</v>
      </c>
      <c r="D3" s="43"/>
      <c r="E3" s="154"/>
      <c r="F3" s="43"/>
      <c r="G3" s="43"/>
      <c r="H3" s="43"/>
      <c r="I3" s="43"/>
      <c r="J3" s="43"/>
      <c r="K3" s="96"/>
    </row>
    <row r="4" spans="1:11">
      <c r="A4" s="358" t="s">
        <v>170</v>
      </c>
      <c r="B4" s="49">
        <f>IF(ISERROR('SEAP template'!B78+'SEAP template'!C78),0,'SEAP template'!B78+'SEAP template'!C78)</f>
        <v>176047.55869478144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1728.2025344991457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0.19605810541488139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2089.8771083579973</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16551.991071428572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0.12626137238349922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14103.357402000001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14103.357402000001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0.19605810541488139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2765.0775322250638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353452.98446978105</v>
      </c>
      <c r="C5" s="17">
        <f>IF(ISERROR('Eigen informatie GS &amp; warmtenet'!B57),0,'Eigen informatie GS &amp; warmtenet'!B57)</f>
        <v>0</v>
      </c>
      <c r="D5" s="30">
        <f>(SUM(HH_hh_gas_kWh,HH_rest_gas_kWh)/1000)*0.902</f>
        <v>1054921.485139047</v>
      </c>
      <c r="E5" s="17">
        <f>B46*B57</f>
        <v>96503.844731714329</v>
      </c>
      <c r="F5" s="17">
        <f>B51*B62</f>
        <v>0</v>
      </c>
      <c r="G5" s="18"/>
      <c r="H5" s="17"/>
      <c r="I5" s="17"/>
      <c r="J5" s="17">
        <f>B50*B61+C50*C61</f>
        <v>0</v>
      </c>
      <c r="K5" s="17"/>
      <c r="L5" s="17"/>
      <c r="M5" s="17"/>
      <c r="N5" s="17">
        <f>B48*B59+C48*C59</f>
        <v>79323.36357192685</v>
      </c>
      <c r="O5" s="17">
        <f>B69*B70*B71</f>
        <v>2066.7266666666669</v>
      </c>
      <c r="P5" s="17">
        <f>B77*B78*B79/1000-B77*B78*B79/1000/B80</f>
        <v>4690.3999999999996</v>
      </c>
    </row>
    <row r="6" spans="1:16">
      <c r="A6" s="16" t="s">
        <v>623</v>
      </c>
      <c r="B6" s="762">
        <f>kWh_PV_kleiner_dan_10kW</f>
        <v>18337.473609613698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371790.45807939477</v>
      </c>
      <c r="C8" s="21">
        <f>C5</f>
        <v>0</v>
      </c>
      <c r="D8" s="21">
        <f>D5</f>
        <v>1054921.485139047</v>
      </c>
      <c r="E8" s="21">
        <f>E5</f>
        <v>96503.844731714329</v>
      </c>
      <c r="F8" s="21">
        <f>F5</f>
        <v>0</v>
      </c>
      <c r="G8" s="21"/>
      <c r="H8" s="21"/>
      <c r="I8" s="21"/>
      <c r="J8" s="21">
        <f>J5</f>
        <v>0</v>
      </c>
      <c r="K8" s="21"/>
      <c r="L8" s="21">
        <f>L5</f>
        <v>0</v>
      </c>
      <c r="M8" s="21">
        <f>M5</f>
        <v>0</v>
      </c>
      <c r="N8" s="21">
        <f>N5</f>
        <v>79323.36357192685</v>
      </c>
      <c r="O8" s="21">
        <f>O5</f>
        <v>2066.7266666666669</v>
      </c>
      <c r="P8" s="21">
        <f>P5</f>
        <v>4690.3999999999996</v>
      </c>
    </row>
    <row r="9" spans="1:16">
      <c r="B9" s="19"/>
      <c r="C9" s="19"/>
      <c r="D9" s="258"/>
      <c r="E9" s="19"/>
      <c r="F9" s="19"/>
      <c r="G9" s="19"/>
      <c r="H9" s="19"/>
      <c r="I9" s="19"/>
      <c r="J9" s="19"/>
      <c r="K9" s="19"/>
      <c r="L9" s="19"/>
      <c r="M9" s="19"/>
      <c r="N9" s="19"/>
      <c r="O9" s="19"/>
      <c r="P9" s="19"/>
    </row>
    <row r="10" spans="1:16">
      <c r="A10" s="24" t="s">
        <v>213</v>
      </c>
      <c r="B10" s="25">
        <f ca="1">'EF ele_warmte'!B12</f>
        <v>0.19605810541488139</v>
      </c>
      <c r="C10" s="25">
        <f ca="1">'EF ele_warmte'!B22</f>
        <v>0.12626137238349922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72892.532822377019</v>
      </c>
      <c r="C12" s="23">
        <f ca="1">C10*C8</f>
        <v>0</v>
      </c>
      <c r="D12" s="23">
        <f>D8*D10</f>
        <v>213094.13999808751</v>
      </c>
      <c r="E12" s="23">
        <f>E10*E8</f>
        <v>21906.372754099153</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62627</v>
      </c>
      <c r="C18" s="166" t="s">
        <v>110</v>
      </c>
      <c r="D18" s="228"/>
      <c r="E18" s="15"/>
    </row>
    <row r="19" spans="1:7">
      <c r="A19" s="171" t="s">
        <v>71</v>
      </c>
      <c r="B19" s="37">
        <f>aantalw2001_ander</f>
        <v>127</v>
      </c>
      <c r="C19" s="166" t="s">
        <v>110</v>
      </c>
      <c r="D19" s="229"/>
      <c r="E19" s="15"/>
    </row>
    <row r="20" spans="1:7">
      <c r="A20" s="171" t="s">
        <v>72</v>
      </c>
      <c r="B20" s="37">
        <f>aantalw2001_propaan</f>
        <v>385</v>
      </c>
      <c r="C20" s="167">
        <f>IF(ISERROR(B20/SUM($B$20,$B$21,$B$22)*100),0,B20/SUM($B$20,$B$21,$B$22)*100)</f>
        <v>4.0940025521054872</v>
      </c>
      <c r="D20" s="229"/>
      <c r="E20" s="15"/>
    </row>
    <row r="21" spans="1:7">
      <c r="A21" s="171" t="s">
        <v>73</v>
      </c>
      <c r="B21" s="37">
        <f>aantalw2001_elektriciteit</f>
        <v>8623</v>
      </c>
      <c r="C21" s="167">
        <f>IF(ISERROR(B21/SUM($B$20,$B$21,$B$22)*100),0,B21/SUM($B$20,$B$21,$B$22)*100)</f>
        <v>91.695023394300307</v>
      </c>
      <c r="D21" s="229"/>
      <c r="E21" s="15"/>
    </row>
    <row r="22" spans="1:7">
      <c r="A22" s="171" t="s">
        <v>74</v>
      </c>
      <c r="B22" s="37">
        <f>aantalw2001_hout</f>
        <v>396</v>
      </c>
      <c r="C22" s="167">
        <f>IF(ISERROR(B22/SUM($B$20,$B$21,$B$22)*100),0,B22/SUM($B$20,$B$21,$B$22)*100)</f>
        <v>4.2109740535942155</v>
      </c>
      <c r="D22" s="229"/>
      <c r="E22" s="15"/>
    </row>
    <row r="23" spans="1:7">
      <c r="A23" s="171" t="s">
        <v>75</v>
      </c>
      <c r="B23" s="37">
        <f>aantalw2001_niet_gespec</f>
        <v>4616</v>
      </c>
      <c r="C23" s="166" t="s">
        <v>110</v>
      </c>
      <c r="D23" s="228"/>
      <c r="E23" s="15"/>
    </row>
    <row r="24" spans="1:7">
      <c r="A24" s="171" t="s">
        <v>76</v>
      </c>
      <c r="B24" s="37">
        <f>aantalw2001_steenkool</f>
        <v>1823</v>
      </c>
      <c r="C24" s="166" t="s">
        <v>110</v>
      </c>
      <c r="D24" s="229"/>
      <c r="E24" s="15"/>
    </row>
    <row r="25" spans="1:7">
      <c r="A25" s="171" t="s">
        <v>77</v>
      </c>
      <c r="B25" s="37">
        <f>aantalw2001_stookolie</f>
        <v>21695</v>
      </c>
      <c r="C25" s="166" t="s">
        <v>110</v>
      </c>
      <c r="D25" s="228"/>
      <c r="E25" s="52"/>
    </row>
    <row r="26" spans="1:7">
      <c r="A26" s="171" t="s">
        <v>78</v>
      </c>
      <c r="B26" s="37">
        <f>aantalw2001_WP</f>
        <v>311</v>
      </c>
      <c r="C26" s="166" t="s">
        <v>110</v>
      </c>
      <c r="D26" s="228"/>
      <c r="E26" s="15"/>
    </row>
    <row r="27" spans="1:7" s="15" customFormat="1">
      <c r="A27" s="171"/>
      <c r="B27" s="29"/>
      <c r="C27" s="36"/>
      <c r="D27" s="228"/>
    </row>
    <row r="28" spans="1:7" s="15" customFormat="1">
      <c r="A28" s="230" t="s">
        <v>695</v>
      </c>
      <c r="B28" s="37">
        <f>aantalHuishoudens</f>
        <v>117505</v>
      </c>
      <c r="C28" s="36"/>
      <c r="D28" s="228"/>
    </row>
    <row r="29" spans="1:7" s="15" customFormat="1">
      <c r="A29" s="230" t="s">
        <v>696</v>
      </c>
      <c r="B29" s="37">
        <f>SUM(HH_hh_gas_aantal,HH_rest_gas_aantal)</f>
        <v>88375</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88375</v>
      </c>
      <c r="C32" s="167">
        <f>IF(ISERROR(B32/SUM($B$32,$B$34,$B$35,$B$36,$B$38,$B$39)*100),0,B32/SUM($B$32,$B$34,$B$35,$B$36,$B$38,$B$39)*100)</f>
        <v>75.367349201340616</v>
      </c>
      <c r="D32" s="233"/>
      <c r="G32" s="15"/>
    </row>
    <row r="33" spans="1:7">
      <c r="A33" s="171" t="s">
        <v>71</v>
      </c>
      <c r="B33" s="34" t="s">
        <v>110</v>
      </c>
      <c r="C33" s="167"/>
      <c r="D33" s="233"/>
      <c r="G33" s="15"/>
    </row>
    <row r="34" spans="1:7">
      <c r="A34" s="171" t="s">
        <v>72</v>
      </c>
      <c r="B34" s="33">
        <f>IF((($B$28-$B$32-$B$39-$B$77-$B$38)*C20/100)&lt;0,0,($B$28-$B$32-$B$39-$B$77-$B$38)*C20/100)</f>
        <v>1182.5116971501491</v>
      </c>
      <c r="C34" s="167">
        <f>IF(ISERROR(B34/SUM($B$32,$B$34,$B$35,$B$36,$B$38,$B$39)*100),0,B34/SUM($B$32,$B$34,$B$35,$B$36,$B$38,$B$39)*100)</f>
        <v>1.0084613523483477</v>
      </c>
      <c r="D34" s="233"/>
      <c r="G34" s="15"/>
    </row>
    <row r="35" spans="1:7">
      <c r="A35" s="171" t="s">
        <v>73</v>
      </c>
      <c r="B35" s="33">
        <f>IF((($B$28-$B$32-$B$39-$B$77-$B$38)*C21/100)&lt;0,0,($B$28-$B$32-$B$39-$B$77-$B$38)*C21/100)</f>
        <v>26485.190557209702</v>
      </c>
      <c r="C35" s="167">
        <f>IF(ISERROR(B35/SUM($B$32,$B$34,$B$35,$B$36,$B$38,$B$39)*100),0,B35/SUM($B$32,$B$34,$B$35,$B$36,$B$38,$B$39)*100)</f>
        <v>22.586914912467016</v>
      </c>
      <c r="D35" s="233"/>
      <c r="G35" s="15"/>
    </row>
    <row r="36" spans="1:7">
      <c r="A36" s="171" t="s">
        <v>74</v>
      </c>
      <c r="B36" s="33">
        <f>IF((($B$28-$B$32-$B$39-$B$77-$B$38)*C22/100)&lt;0,0,($B$28-$B$32-$B$39-$B$77-$B$38)*C22/100)</f>
        <v>1216.2977456401532</v>
      </c>
      <c r="C36" s="167">
        <f>IF(ISERROR(B36/SUM($B$32,$B$34,$B$35,$B$36,$B$38,$B$39)*100),0,B36/SUM($B$32,$B$34,$B$35,$B$36,$B$38,$B$39)*100)</f>
        <v>1.0372745338440146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88375</v>
      </c>
      <c r="C44" s="34" t="s">
        <v>110</v>
      </c>
      <c r="D44" s="174"/>
    </row>
    <row r="45" spans="1:7">
      <c r="A45" s="171" t="s">
        <v>71</v>
      </c>
      <c r="B45" s="33" t="str">
        <f t="shared" si="0"/>
        <v>-</v>
      </c>
      <c r="C45" s="34" t="s">
        <v>110</v>
      </c>
      <c r="D45" s="174"/>
    </row>
    <row r="46" spans="1:7">
      <c r="A46" s="171" t="s">
        <v>72</v>
      </c>
      <c r="B46" s="33">
        <f t="shared" si="0"/>
        <v>1182.5116971501491</v>
      </c>
      <c r="C46" s="34" t="s">
        <v>110</v>
      </c>
      <c r="D46" s="174"/>
    </row>
    <row r="47" spans="1:7">
      <c r="A47" s="171" t="s">
        <v>73</v>
      </c>
      <c r="B47" s="33">
        <f t="shared" si="0"/>
        <v>26485.190557209702</v>
      </c>
      <c r="C47" s="34" t="s">
        <v>110</v>
      </c>
      <c r="D47" s="174"/>
    </row>
    <row r="48" spans="1:7">
      <c r="A48" s="171" t="s">
        <v>74</v>
      </c>
      <c r="B48" s="33">
        <f t="shared" si="0"/>
        <v>1216.2977456401532</v>
      </c>
      <c r="C48" s="33">
        <f>B48*10</f>
        <v>12162.977456401532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1322</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246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706853.54367799987</v>
      </c>
      <c r="C5" s="17">
        <f>IF(ISERROR('Eigen informatie GS &amp; warmtenet'!B58),0,'Eigen informatie GS &amp; warmtenet'!B58)</f>
        <v>0</v>
      </c>
      <c r="D5" s="30">
        <f>SUM(D6:D12)</f>
        <v>792804.55111325602</v>
      </c>
      <c r="E5" s="17">
        <f>SUM(E6:E12)</f>
        <v>10634.293828533542</v>
      </c>
      <c r="F5" s="17">
        <f>SUM(F6:F12)</f>
        <v>194535.13653281383</v>
      </c>
      <c r="G5" s="18"/>
      <c r="H5" s="17"/>
      <c r="I5" s="17"/>
      <c r="J5" s="17">
        <f>SUM(J6:J12)</f>
        <v>0</v>
      </c>
      <c r="K5" s="17"/>
      <c r="L5" s="17"/>
      <c r="M5" s="17"/>
      <c r="N5" s="17">
        <f>SUM(N6:N12)</f>
        <v>44817.343035667196</v>
      </c>
      <c r="O5" s="17">
        <f>B38*B39*B40</f>
        <v>42.21</v>
      </c>
      <c r="P5" s="17">
        <f>B46*B47*B48/1000-B46*B47*B48/1000/B49</f>
        <v>343.2</v>
      </c>
      <c r="R5" s="32"/>
    </row>
    <row r="6" spans="1:18">
      <c r="A6" s="32" t="s">
        <v>53</v>
      </c>
      <c r="B6" s="37">
        <f>B26</f>
        <v>179193.43044</v>
      </c>
      <c r="C6" s="33"/>
      <c r="D6" s="37">
        <f>IF(ISERROR(TER_kantoor_gas_kWh/1000),0,TER_kantoor_gas_kWh/1000)*0.902</f>
        <v>255755.05825738003</v>
      </c>
      <c r="E6" s="33">
        <f>$C$26*'E Balans VL '!I12/100/3.6*1000000</f>
        <v>2345.8627387585407</v>
      </c>
      <c r="F6" s="33">
        <f>$C$26*('E Balans VL '!L12+'E Balans VL '!N12)/100/3.6*1000000</f>
        <v>45692.473046460495</v>
      </c>
      <c r="G6" s="34"/>
      <c r="H6" s="33"/>
      <c r="I6" s="33"/>
      <c r="J6" s="33">
        <f>$C$26*('E Balans VL '!D12+'E Balans VL '!E12)/100/3.6*1000000</f>
        <v>0</v>
      </c>
      <c r="K6" s="33"/>
      <c r="L6" s="33"/>
      <c r="M6" s="33"/>
      <c r="N6" s="33">
        <f>$C$26*'E Balans VL '!Y12/100/3.6*1000000</f>
        <v>179.79685471890315</v>
      </c>
      <c r="O6" s="33"/>
      <c r="P6" s="33"/>
      <c r="R6" s="32"/>
    </row>
    <row r="7" spans="1:18">
      <c r="A7" s="32" t="s">
        <v>52</v>
      </c>
      <c r="B7" s="37">
        <f t="shared" ref="B7:B12" si="0">B27</f>
        <v>53994.054540999998</v>
      </c>
      <c r="C7" s="33"/>
      <c r="D7" s="37">
        <f>IF(ISERROR(TER_horeca_gas_kWh/1000),0,TER_horeca_gas_kWh/1000)*0.902</f>
        <v>80106.907443948003</v>
      </c>
      <c r="E7" s="33">
        <f>$C$27*'E Balans VL '!I9/100/3.6*1000000</f>
        <v>1786.8747704909822</v>
      </c>
      <c r="F7" s="33">
        <f>$C$27*('E Balans VL '!L9+'E Balans VL '!N9)/100/3.6*1000000</f>
        <v>23217.236522347896</v>
      </c>
      <c r="G7" s="34"/>
      <c r="H7" s="33"/>
      <c r="I7" s="33"/>
      <c r="J7" s="33">
        <f>$C$27*('E Balans VL '!D9+'E Balans VL '!E9)/100/3.6*1000000</f>
        <v>0</v>
      </c>
      <c r="K7" s="33"/>
      <c r="L7" s="33"/>
      <c r="M7" s="33"/>
      <c r="N7" s="33">
        <f>$C$27*'E Balans VL '!Y9/100/3.6*1000000</f>
        <v>12.997153007736234</v>
      </c>
      <c r="O7" s="33"/>
      <c r="P7" s="33"/>
      <c r="R7" s="32"/>
    </row>
    <row r="8" spans="1:18">
      <c r="A8" s="6" t="s">
        <v>51</v>
      </c>
      <c r="B8" s="37">
        <f t="shared" si="0"/>
        <v>157942.70603999999</v>
      </c>
      <c r="C8" s="33"/>
      <c r="D8" s="37">
        <f>IF(ISERROR(TER_handel_gas_kWh/1000),0,TER_handel_gas_kWh/1000)*0.902</f>
        <v>72958.819888965998</v>
      </c>
      <c r="E8" s="33">
        <f>$C$28*'E Balans VL '!I13/100/3.6*1000000</f>
        <v>4984.9131318936816</v>
      </c>
      <c r="F8" s="33">
        <f>$C$28*('E Balans VL '!L13+'E Balans VL '!N13)/100/3.6*1000000</f>
        <v>30975.345852825263</v>
      </c>
      <c r="G8" s="34"/>
      <c r="H8" s="33"/>
      <c r="I8" s="33"/>
      <c r="J8" s="33">
        <f>$C$28*('E Balans VL '!D13+'E Balans VL '!E13)/100/3.6*1000000</f>
        <v>0</v>
      </c>
      <c r="K8" s="33"/>
      <c r="L8" s="33"/>
      <c r="M8" s="33"/>
      <c r="N8" s="33">
        <f>$C$28*'E Balans VL '!Y13/100/3.6*1000000</f>
        <v>187.44732786955035</v>
      </c>
      <c r="O8" s="33"/>
      <c r="P8" s="33"/>
      <c r="R8" s="32"/>
    </row>
    <row r="9" spans="1:18">
      <c r="A9" s="32" t="s">
        <v>50</v>
      </c>
      <c r="B9" s="37">
        <f t="shared" si="0"/>
        <v>99698.340562000012</v>
      </c>
      <c r="C9" s="33"/>
      <c r="D9" s="37">
        <f>IF(ISERROR(TER_gezond_gas_kWh/1000),0,TER_gezond_gas_kWh/1000)*0.902</f>
        <v>93687.247907000012</v>
      </c>
      <c r="E9" s="33">
        <f>$C$29*'E Balans VL '!I10/100/3.6*1000000</f>
        <v>12.764304202175028</v>
      </c>
      <c r="F9" s="33">
        <f>$C$29*('E Balans VL '!L10+'E Balans VL '!N10)/100/3.6*1000000</f>
        <v>20771.343079471459</v>
      </c>
      <c r="G9" s="34"/>
      <c r="H9" s="33"/>
      <c r="I9" s="33"/>
      <c r="J9" s="33">
        <f>$C$29*('E Balans VL '!D10+'E Balans VL '!E10)/100/3.6*1000000</f>
        <v>0</v>
      </c>
      <c r="K9" s="33"/>
      <c r="L9" s="33"/>
      <c r="M9" s="33"/>
      <c r="N9" s="33">
        <f>$C$29*'E Balans VL '!Y10/100/3.6*1000000</f>
        <v>1171.0041335315864</v>
      </c>
      <c r="O9" s="33"/>
      <c r="P9" s="33"/>
      <c r="R9" s="32"/>
    </row>
    <row r="10" spans="1:18">
      <c r="A10" s="32" t="s">
        <v>49</v>
      </c>
      <c r="B10" s="37">
        <f t="shared" si="0"/>
        <v>46646.833425999997</v>
      </c>
      <c r="C10" s="33"/>
      <c r="D10" s="37">
        <f>IF(ISERROR(TER_ander_gas_kWh/1000),0,TER_ander_gas_kWh/1000)*0.902</f>
        <v>43580.580712262003</v>
      </c>
      <c r="E10" s="33">
        <f>$C$30*'E Balans VL '!I14/100/3.6*1000000</f>
        <v>70.145867742696751</v>
      </c>
      <c r="F10" s="33">
        <f>$C$30*('E Balans VL '!L14+'E Balans VL '!N14)/100/3.6*1000000</f>
        <v>10298.117178584567</v>
      </c>
      <c r="G10" s="34"/>
      <c r="H10" s="33"/>
      <c r="I10" s="33"/>
      <c r="J10" s="33">
        <f>$C$30*('E Balans VL '!D14+'E Balans VL '!E14)/100/3.6*1000000</f>
        <v>0</v>
      </c>
      <c r="K10" s="33"/>
      <c r="L10" s="33"/>
      <c r="M10" s="33"/>
      <c r="N10" s="33">
        <f>$C$30*'E Balans VL '!Y14/100/3.6*1000000</f>
        <v>36760.843953217445</v>
      </c>
      <c r="O10" s="33"/>
      <c r="P10" s="33"/>
      <c r="R10" s="32"/>
    </row>
    <row r="11" spans="1:18">
      <c r="A11" s="32" t="s">
        <v>54</v>
      </c>
      <c r="B11" s="37">
        <f t="shared" si="0"/>
        <v>97720.671992000003</v>
      </c>
      <c r="C11" s="33"/>
      <c r="D11" s="37">
        <f>IF(ISERROR(TER_onderwijs_gas_kWh/1000),0,TER_onderwijs_gas_kWh/1000)*0.902</f>
        <v>148779.00084784001</v>
      </c>
      <c r="E11" s="33">
        <f>$C$31*'E Balans VL '!I11/100/3.6*1000000</f>
        <v>172.09429234191862</v>
      </c>
      <c r="F11" s="33">
        <f>$C$31*('E Balans VL '!L11+'E Balans VL '!N11)/100/3.6*1000000</f>
        <v>45119.402511341534</v>
      </c>
      <c r="G11" s="34"/>
      <c r="H11" s="33"/>
      <c r="I11" s="33"/>
      <c r="J11" s="33">
        <f>$C$31*('E Balans VL '!D11+'E Balans VL '!E11)/100/3.6*1000000</f>
        <v>0</v>
      </c>
      <c r="K11" s="33"/>
      <c r="L11" s="33"/>
      <c r="M11" s="33"/>
      <c r="N11" s="33">
        <f>$C$31*'E Balans VL '!Y11/100/3.6*1000000</f>
        <v>182.05496327864446</v>
      </c>
      <c r="O11" s="33"/>
      <c r="P11" s="33"/>
      <c r="R11" s="32"/>
    </row>
    <row r="12" spans="1:18">
      <c r="A12" s="32" t="s">
        <v>259</v>
      </c>
      <c r="B12" s="37">
        <f t="shared" si="0"/>
        <v>71657.506676999998</v>
      </c>
      <c r="C12" s="33"/>
      <c r="D12" s="37">
        <f>IF(ISERROR(TER_rest_gas_kWh/1000),0,TER_rest_gas_kWh/1000)*0.902</f>
        <v>97936.936055860016</v>
      </c>
      <c r="E12" s="33">
        <f>$C$32*'E Balans VL '!I8/100/3.6*1000000</f>
        <v>1261.6387231035455</v>
      </c>
      <c r="F12" s="33">
        <f>$C$32*('E Balans VL '!L8+'E Balans VL '!N8)/100/3.6*1000000</f>
        <v>18461.21834178262</v>
      </c>
      <c r="G12" s="34"/>
      <c r="H12" s="33"/>
      <c r="I12" s="33"/>
      <c r="J12" s="33">
        <f>$C$32*('E Balans VL '!D8+'E Balans VL '!E8)/100/3.6*1000000</f>
        <v>0</v>
      </c>
      <c r="K12" s="33"/>
      <c r="L12" s="33"/>
      <c r="M12" s="33"/>
      <c r="N12" s="33">
        <f>$C$32*'E Balans VL '!Y8/100/3.6*1000000</f>
        <v>6323.1986500433322</v>
      </c>
      <c r="O12" s="33"/>
      <c r="P12" s="33"/>
      <c r="R12" s="32"/>
    </row>
    <row r="13" spans="1:18">
      <c r="A13" s="16" t="s">
        <v>490</v>
      </c>
      <c r="B13" s="247">
        <f ca="1">'lokale energieproductie'!N49+'lokale energieproductie'!N42</f>
        <v>5646</v>
      </c>
      <c r="C13" s="247">
        <f ca="1">'lokale energieproductie'!O49+'lokale energieproductie'!O42</f>
        <v>5414.4910714285716</v>
      </c>
      <c r="D13" s="308">
        <f ca="1">('lokale energieproductie'!P42+'lokale energieproductie'!P49)*(-1)</f>
        <v>-10722.857142857143</v>
      </c>
      <c r="E13" s="248"/>
      <c r="F13" s="308">
        <f ca="1">('lokale energieproductie'!S42+'lokale energieproductie'!S49)*(-1)</f>
        <v>0</v>
      </c>
      <c r="G13" s="249"/>
      <c r="H13" s="248"/>
      <c r="I13" s="248"/>
      <c r="J13" s="248"/>
      <c r="K13" s="248"/>
      <c r="L13" s="308">
        <f ca="1">('lokale energieproductie'!U42+'lokale energieproductie'!T42+'lokale energieproductie'!U49+'lokale energieproductie'!T49)*(-1)</f>
        <v>-101.25</v>
      </c>
      <c r="M13" s="248"/>
      <c r="N13" s="308">
        <f ca="1">('lokale energieproductie'!Q42+'lokale energieproductie'!R42+'lokale energieproductie'!V42+'lokale energieproductie'!Q49+'lokale energieproductie'!R49+'lokale energieproductie'!V49)*(-1)</f>
        <v>-5310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712499.54367799987</v>
      </c>
      <c r="C16" s="21">
        <f t="shared" ca="1" si="1"/>
        <v>5414.4910714285716</v>
      </c>
      <c r="D16" s="21">
        <f t="shared" ca="1" si="1"/>
        <v>782081.69397039886</v>
      </c>
      <c r="E16" s="21">
        <f t="shared" si="1"/>
        <v>10634.293828533542</v>
      </c>
      <c r="F16" s="21">
        <f t="shared" ca="1" si="1"/>
        <v>194535.13653281383</v>
      </c>
      <c r="G16" s="21">
        <f t="shared" si="1"/>
        <v>0</v>
      </c>
      <c r="H16" s="21">
        <f t="shared" si="1"/>
        <v>0</v>
      </c>
      <c r="I16" s="21">
        <f t="shared" si="1"/>
        <v>0</v>
      </c>
      <c r="J16" s="21">
        <f t="shared" si="1"/>
        <v>0</v>
      </c>
      <c r="K16" s="21">
        <f t="shared" si="1"/>
        <v>0</v>
      </c>
      <c r="L16" s="21">
        <f t="shared" ca="1" si="1"/>
        <v>0</v>
      </c>
      <c r="M16" s="21">
        <f t="shared" si="1"/>
        <v>0</v>
      </c>
      <c r="N16" s="21">
        <f t="shared" ca="1" si="1"/>
        <v>39507.343035667196</v>
      </c>
      <c r="O16" s="21">
        <f>O5</f>
        <v>42.21</v>
      </c>
      <c r="P16" s="21">
        <f>P5</f>
        <v>343.2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0.19605810541488139</v>
      </c>
      <c r="C18" s="25">
        <f ca="1">'EF ele_warmte'!B22</f>
        <v>0.12626137238349922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139691.31064247619</v>
      </c>
      <c r="C20" s="23">
        <f t="shared" ref="C20:P20" ca="1" si="2">C16*C18</f>
        <v>683.64107343677449</v>
      </c>
      <c r="D20" s="23">
        <f t="shared" ca="1" si="2"/>
        <v>157980.50218202057</v>
      </c>
      <c r="E20" s="23">
        <f t="shared" si="2"/>
        <v>2413.9846990771143</v>
      </c>
      <c r="F20" s="23">
        <f t="shared" ca="1" si="2"/>
        <v>51940.881454261296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179193.43044</v>
      </c>
      <c r="C26" s="39">
        <f>IF(ISERROR(B26*3.6/1000000/'E Balans VL '!Z12*100),0,B26*3.6/1000000/'E Balans VL '!Z12*100)</f>
        <v>3.8384624899801385</v>
      </c>
      <c r="D26" s="237" t="s">
        <v>659</v>
      </c>
      <c r="F26" s="6"/>
    </row>
    <row r="27" spans="1:18">
      <c r="A27" s="231" t="s">
        <v>52</v>
      </c>
      <c r="B27" s="33">
        <f>IF(ISERROR(TER_horeca_ele_kWh/1000),0,TER_horeca_ele_kWh/1000)</f>
        <v>53994.054540999998</v>
      </c>
      <c r="C27" s="39">
        <f>IF(ISERROR(B27*3.6/1000000/'E Balans VL '!Z9*100),0,B27*3.6/1000000/'E Balans VL '!Z9*100)</f>
        <v>4.3328351954973607</v>
      </c>
      <c r="D27" s="237" t="s">
        <v>659</v>
      </c>
      <c r="F27" s="6"/>
    </row>
    <row r="28" spans="1:18">
      <c r="A28" s="171" t="s">
        <v>51</v>
      </c>
      <c r="B28" s="33">
        <f>IF(ISERROR(TER_handel_ele_kWh/1000),0,TER_handel_ele_kWh/1000)</f>
        <v>157942.70603999999</v>
      </c>
      <c r="C28" s="39">
        <f>IF(ISERROR(B28*3.6/1000000/'E Balans VL '!Z13*100),0,B28*3.6/1000000/'E Balans VL '!Z13*100)</f>
        <v>4.6584039049524968</v>
      </c>
      <c r="D28" s="237" t="s">
        <v>659</v>
      </c>
      <c r="F28" s="6"/>
    </row>
    <row r="29" spans="1:18">
      <c r="A29" s="231" t="s">
        <v>50</v>
      </c>
      <c r="B29" s="33">
        <f>IF(ISERROR(TER_gezond_ele_kWh/1000),0,TER_gezond_ele_kWh/1000)</f>
        <v>99698.340562000012</v>
      </c>
      <c r="C29" s="39">
        <f>IF(ISERROR(B29*3.6/1000000/'E Balans VL '!Z10*100),0,B29*3.6/1000000/'E Balans VL '!Z10*100)</f>
        <v>10.64510975927398</v>
      </c>
      <c r="D29" s="237" t="s">
        <v>659</v>
      </c>
      <c r="F29" s="6"/>
    </row>
    <row r="30" spans="1:18">
      <c r="A30" s="231" t="s">
        <v>49</v>
      </c>
      <c r="B30" s="33">
        <f>IF(ISERROR(TER_ander_ele_kWh/1000),0,TER_ander_ele_kWh/1000)</f>
        <v>46646.833425999997</v>
      </c>
      <c r="C30" s="39">
        <f>IF(ISERROR(B30*3.6/1000000/'E Balans VL '!Z14*100),0,B30*3.6/1000000/'E Balans VL '!Z14*100)</f>
        <v>3.5234185033919849</v>
      </c>
      <c r="D30" s="237" t="s">
        <v>659</v>
      </c>
      <c r="F30" s="6"/>
    </row>
    <row r="31" spans="1:18">
      <c r="A31" s="231" t="s">
        <v>54</v>
      </c>
      <c r="B31" s="33">
        <f>IF(ISERROR(TER_onderwijs_ele_kWh/1000),0,TER_onderwijs_ele_kWh/1000)</f>
        <v>97720.671992000003</v>
      </c>
      <c r="C31" s="39">
        <f>IF(ISERROR(B31*3.6/1000000/'E Balans VL '!Z11*100),0,B31*3.6/1000000/'E Balans VL '!Z11*100)</f>
        <v>19.733065843232115</v>
      </c>
      <c r="D31" s="237" t="s">
        <v>659</v>
      </c>
    </row>
    <row r="32" spans="1:18">
      <c r="A32" s="231" t="s">
        <v>259</v>
      </c>
      <c r="B32" s="33">
        <f>IF(ISERROR(TER_rest_ele_kWh/1000),0,TER_rest_ele_kWh/1000)</f>
        <v>71657.506676999998</v>
      </c>
      <c r="C32" s="39">
        <f>IF(ISERROR(B32*3.6/1000000/'E Balans VL '!Z8*100),0,B32*3.6/1000000/'E Balans VL '!Z8*100)</f>
        <v>0.59414051271053592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27</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18</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344169.16606007004</v>
      </c>
      <c r="C5" s="17">
        <f>IF(ISERROR('Eigen informatie GS &amp; warmtenet'!B59),0,'Eigen informatie GS &amp; warmtenet'!B59)</f>
        <v>0</v>
      </c>
      <c r="D5" s="30">
        <f>SUM(D6:D15)</f>
        <v>291279.30966680835</v>
      </c>
      <c r="E5" s="17">
        <f>SUM(E6:E15)</f>
        <v>17704.833241203756</v>
      </c>
      <c r="F5" s="17">
        <f>SUM(F6:F15)</f>
        <v>82819.511766524025</v>
      </c>
      <c r="G5" s="18"/>
      <c r="H5" s="17"/>
      <c r="I5" s="17"/>
      <c r="J5" s="17">
        <f>SUM(J6:J15)</f>
        <v>2447.9942306672247</v>
      </c>
      <c r="K5" s="17"/>
      <c r="L5" s="17"/>
      <c r="M5" s="17"/>
      <c r="N5" s="17">
        <f>SUM(N6:N15)</f>
        <v>20402.593262438932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30351.738021000001</v>
      </c>
      <c r="C8" s="33"/>
      <c r="D8" s="37">
        <f>IF( ISERROR(IND_metaal_Gas_kWH/1000),0,IND_metaal_Gas_kWH/1000)*0.902</f>
        <v>11978.001363438001</v>
      </c>
      <c r="E8" s="33">
        <f>C30*'E Balans VL '!I18/100/3.6*1000000</f>
        <v>1092.1473542274039</v>
      </c>
      <c r="F8" s="33">
        <f>C30*'E Balans VL '!L18/100/3.6*1000000+C30*'E Balans VL '!N18/100/3.6*1000000</f>
        <v>13253.620096281466</v>
      </c>
      <c r="G8" s="34"/>
      <c r="H8" s="33"/>
      <c r="I8" s="33"/>
      <c r="J8" s="40">
        <f>C30*'E Balans VL '!D18/100/3.6*1000000+C30*'E Balans VL '!E18/100/3.6*1000000</f>
        <v>0</v>
      </c>
      <c r="K8" s="33"/>
      <c r="L8" s="33"/>
      <c r="M8" s="33"/>
      <c r="N8" s="33">
        <f>C30*'E Balans VL '!Y18/100/3.6*1000000</f>
        <v>1521.2084834209916</v>
      </c>
      <c r="O8" s="33"/>
      <c r="P8" s="33"/>
      <c r="R8" s="32"/>
    </row>
    <row r="9" spans="1:18">
      <c r="A9" s="6" t="s">
        <v>32</v>
      </c>
      <c r="B9" s="37">
        <f t="shared" si="0"/>
        <v>22221.460287000002</v>
      </c>
      <c r="C9" s="33"/>
      <c r="D9" s="37">
        <f>IF( ISERROR(IND_andere_gas_kWh/1000),0,IND_andere_gas_kWh/1000)*0.902</f>
        <v>20950.209673668003</v>
      </c>
      <c r="E9" s="33">
        <f>C31*'E Balans VL '!I19/100/3.6*1000000</f>
        <v>5670.413890621212</v>
      </c>
      <c r="F9" s="33">
        <f>C31*'E Balans VL '!L19/100/3.6*1000000+C31*'E Balans VL '!N19/100/3.6*1000000</f>
        <v>19131.007077218863</v>
      </c>
      <c r="G9" s="34"/>
      <c r="H9" s="33"/>
      <c r="I9" s="33"/>
      <c r="J9" s="40">
        <f>C31*'E Balans VL '!D19/100/3.6*1000000+C31*'E Balans VL '!E19/100/3.6*1000000</f>
        <v>0</v>
      </c>
      <c r="K9" s="33"/>
      <c r="L9" s="33"/>
      <c r="M9" s="33"/>
      <c r="N9" s="33">
        <f>C31*'E Balans VL '!Y19/100/3.6*1000000</f>
        <v>1753.0131874202459</v>
      </c>
      <c r="O9" s="33"/>
      <c r="P9" s="33"/>
      <c r="R9" s="32"/>
    </row>
    <row r="10" spans="1:18">
      <c r="A10" s="6" t="s">
        <v>40</v>
      </c>
      <c r="B10" s="37">
        <f t="shared" si="0"/>
        <v>9026.662557900001</v>
      </c>
      <c r="C10" s="33"/>
      <c r="D10" s="37">
        <f>IF( ISERROR(IND_voed_gas_kWh/1000),0,IND_voed_gas_kWh/1000)*0.902</f>
        <v>8746.6801237222007</v>
      </c>
      <c r="E10" s="33">
        <f>C32*'E Balans VL '!I20/100/3.6*1000000</f>
        <v>229.47015684522847</v>
      </c>
      <c r="F10" s="33">
        <f>C32*'E Balans VL '!L20/100/3.6*1000000+C32*'E Balans VL '!N20/100/3.6*1000000</f>
        <v>2042.5982349620854</v>
      </c>
      <c r="G10" s="34"/>
      <c r="H10" s="33"/>
      <c r="I10" s="33"/>
      <c r="J10" s="40">
        <f>C32*'E Balans VL '!D20/100/3.6*1000000+C32*'E Balans VL '!E20/100/3.6*1000000</f>
        <v>0</v>
      </c>
      <c r="K10" s="33"/>
      <c r="L10" s="33"/>
      <c r="M10" s="33"/>
      <c r="N10" s="33">
        <f>C32*'E Balans VL '!Y20/100/3.6*1000000</f>
        <v>3385.2431365251864</v>
      </c>
      <c r="O10" s="33"/>
      <c r="P10" s="33"/>
      <c r="R10" s="32"/>
    </row>
    <row r="11" spans="1:18">
      <c r="A11" s="6" t="s">
        <v>39</v>
      </c>
      <c r="B11" s="37">
        <f t="shared" si="0"/>
        <v>300.17690016999995</v>
      </c>
      <c r="C11" s="33"/>
      <c r="D11" s="37">
        <f>IF( ISERROR(IND_textiel_gas_kWh/1000),0,IND_textiel_gas_kWh/1000)*0.902</f>
        <v>351.43023794538004</v>
      </c>
      <c r="E11" s="33">
        <f>C33*'E Balans VL '!I21/100/3.6*1000000</f>
        <v>0.82406631539420339</v>
      </c>
      <c r="F11" s="33">
        <f>C33*'E Balans VL '!L21/100/3.6*1000000+C33*'E Balans VL '!N21/100/3.6*1000000</f>
        <v>15.914128248674315</v>
      </c>
      <c r="G11" s="34"/>
      <c r="H11" s="33"/>
      <c r="I11" s="33"/>
      <c r="J11" s="40">
        <f>C33*'E Balans VL '!D21/100/3.6*1000000+C33*'E Balans VL '!E21/100/3.6*1000000</f>
        <v>0</v>
      </c>
      <c r="K11" s="33"/>
      <c r="L11" s="33"/>
      <c r="M11" s="33"/>
      <c r="N11" s="33">
        <f>C33*'E Balans VL '!Y21/100/3.6*1000000</f>
        <v>0.6033058952859216</v>
      </c>
      <c r="O11" s="33"/>
      <c r="P11" s="33"/>
      <c r="R11" s="32"/>
    </row>
    <row r="12" spans="1:18">
      <c r="A12" s="6" t="s">
        <v>36</v>
      </c>
      <c r="B12" s="37">
        <f t="shared" si="0"/>
        <v>67959.164656000008</v>
      </c>
      <c r="C12" s="33"/>
      <c r="D12" s="37">
        <f>IF( ISERROR(IND_min_gas_kWh/1000),0,IND_min_gas_kWh/1000)*0.902</f>
        <v>139.45631485874003</v>
      </c>
      <c r="E12" s="33">
        <f>C34*'E Balans VL '!I22/100/3.6*1000000</f>
        <v>1443.9619281718283</v>
      </c>
      <c r="F12" s="33">
        <f>C34*'E Balans VL '!L22/100/3.6*1000000+C34*'E Balans VL '!N22/100/3.6*1000000</f>
        <v>11088.116868329431</v>
      </c>
      <c r="G12" s="34"/>
      <c r="H12" s="33"/>
      <c r="I12" s="33"/>
      <c r="J12" s="40">
        <f>C34*'E Balans VL '!D22/100/3.6*1000000+C34*'E Balans VL '!E22/100/3.6*1000000</f>
        <v>79.178768808277425</v>
      </c>
      <c r="K12" s="33"/>
      <c r="L12" s="33"/>
      <c r="M12" s="33"/>
      <c r="N12" s="33">
        <f>C34*'E Balans VL '!Y22/100/3.6*1000000</f>
        <v>0</v>
      </c>
      <c r="O12" s="33"/>
      <c r="P12" s="33"/>
      <c r="R12" s="32"/>
    </row>
    <row r="13" spans="1:18">
      <c r="A13" s="6" t="s">
        <v>38</v>
      </c>
      <c r="B13" s="37">
        <f t="shared" si="0"/>
        <v>15014.520619000001</v>
      </c>
      <c r="C13" s="33"/>
      <c r="D13" s="37">
        <f>IF( ISERROR(IND_papier_gas_kWh/1000),0,IND_papier_gas_kWh/1000)*0.902</f>
        <v>3091.1834674380002</v>
      </c>
      <c r="E13" s="33">
        <f>C35*'E Balans VL '!I23/100/3.6*1000000</f>
        <v>64.392910943831154</v>
      </c>
      <c r="F13" s="33">
        <f>C35*'E Balans VL '!L23/100/3.6*1000000+C35*'E Balans VL '!N23/100/3.6*1000000</f>
        <v>377.36150526077944</v>
      </c>
      <c r="G13" s="34"/>
      <c r="H13" s="33"/>
      <c r="I13" s="33"/>
      <c r="J13" s="40">
        <f>C35*'E Balans VL '!D23/100/3.6*1000000+C35*'E Balans VL '!E23/100/3.6*1000000</f>
        <v>1005.1398041840529</v>
      </c>
      <c r="K13" s="33"/>
      <c r="L13" s="33"/>
      <c r="M13" s="33"/>
      <c r="N13" s="33">
        <f>C35*'E Balans VL '!Y23/100/3.6*1000000</f>
        <v>3661.4958139327869</v>
      </c>
      <c r="O13" s="33"/>
      <c r="P13" s="33"/>
      <c r="R13" s="32"/>
    </row>
    <row r="14" spans="1:18">
      <c r="A14" s="6" t="s">
        <v>33</v>
      </c>
      <c r="B14" s="37">
        <f t="shared" si="0"/>
        <v>31088.187418999998</v>
      </c>
      <c r="C14" s="33"/>
      <c r="D14" s="37">
        <f>IF( ISERROR(IND_chemie_gas_kWh/1000),0,IND_chemie_gas_kWh/1000)*0.902</f>
        <v>41130.681998537999</v>
      </c>
      <c r="E14" s="33">
        <f>C36*'E Balans VL '!I24/100/3.6*1000000</f>
        <v>74.529059782197578</v>
      </c>
      <c r="F14" s="33">
        <f>C36*'E Balans VL '!L24/100/3.6*1000000+C36*'E Balans VL '!N24/100/3.6*1000000</f>
        <v>249.48973631694136</v>
      </c>
      <c r="G14" s="34"/>
      <c r="H14" s="33"/>
      <c r="I14" s="33"/>
      <c r="J14" s="40">
        <f>C36*'E Balans VL '!D24/100/3.6*1000000+C36*'E Balans VL '!E24/100/3.6*1000000</f>
        <v>0</v>
      </c>
      <c r="K14" s="33"/>
      <c r="L14" s="33"/>
      <c r="M14" s="33"/>
      <c r="N14" s="33">
        <f>C36*'E Balans VL '!Y24/100/3.6*1000000</f>
        <v>642.56873249837543</v>
      </c>
      <c r="O14" s="33"/>
      <c r="P14" s="33"/>
      <c r="R14" s="32"/>
    </row>
    <row r="15" spans="1:18">
      <c r="A15" s="6" t="s">
        <v>269</v>
      </c>
      <c r="B15" s="37">
        <f t="shared" si="0"/>
        <v>168207.2556</v>
      </c>
      <c r="C15" s="33"/>
      <c r="D15" s="37">
        <f>IF( ISERROR(IND_rest_gas_kWh/1000),0,IND_rest_gas_kWh/1000)*0.902</f>
        <v>204891.66648720001</v>
      </c>
      <c r="E15" s="33">
        <f>C37*'E Balans VL '!I15/100/3.6*1000000</f>
        <v>9129.0938742966646</v>
      </c>
      <c r="F15" s="33">
        <f>C37*'E Balans VL '!L15/100/3.6*1000000+C37*'E Balans VL '!N15/100/3.6*1000000</f>
        <v>36661.404119905783</v>
      </c>
      <c r="G15" s="34"/>
      <c r="H15" s="33"/>
      <c r="I15" s="33"/>
      <c r="J15" s="40">
        <f>C37*'E Balans VL '!D15/100/3.6*1000000+C37*'E Balans VL '!E15/100/3.6*1000000</f>
        <v>1363.6756576748942</v>
      </c>
      <c r="K15" s="33"/>
      <c r="L15" s="33"/>
      <c r="M15" s="33"/>
      <c r="N15" s="33">
        <f>C37*'E Balans VL '!Y15/100/3.6*1000000</f>
        <v>9438.4606027460613</v>
      </c>
      <c r="O15" s="33"/>
      <c r="P15" s="33"/>
      <c r="R15" s="32"/>
    </row>
    <row r="16" spans="1:18">
      <c r="A16" s="16" t="s">
        <v>490</v>
      </c>
      <c r="B16" s="247">
        <f>'lokale energieproductie'!N48+'lokale energieproductie'!N41</f>
        <v>9900</v>
      </c>
      <c r="C16" s="247">
        <f>'lokale energieproductie'!O48+'lokale energieproductie'!O41</f>
        <v>11137.5</v>
      </c>
      <c r="D16" s="308">
        <f>('lokale energieproductie'!P41+'lokale energieproductie'!P48)*(-1)</f>
        <v>0</v>
      </c>
      <c r="E16" s="248"/>
      <c r="F16" s="308">
        <f>('lokale energieproductie'!S41+'lokale energieproductie'!S48)*(-1)</f>
        <v>-6187.5</v>
      </c>
      <c r="G16" s="249"/>
      <c r="H16" s="248"/>
      <c r="I16" s="248"/>
      <c r="J16" s="248"/>
      <c r="K16" s="248"/>
      <c r="L16" s="308">
        <f>('lokale energieproductie'!T41+'lokale energieproductie'!U41+'lokale energieproductie'!T48+'lokale energieproductie'!U48)*(-1)</f>
        <v>-18562.5</v>
      </c>
      <c r="M16" s="248"/>
      <c r="N16" s="308">
        <f>('lokale energieproductie'!Q41+'lokale energieproductie'!R41+'lokale energieproductie'!V41+'lokale energieproductie'!Q48+'lokale energieproductie'!R48+'lokale energieproductie'!V48)*(-1)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354069.16606007004</v>
      </c>
      <c r="C18" s="21">
        <f>C5+C16</f>
        <v>11137.5</v>
      </c>
      <c r="D18" s="21">
        <f>MAX((D5+D16),0)</f>
        <v>291279.30966680835</v>
      </c>
      <c r="E18" s="21">
        <f>MAX((E5+E16),0)</f>
        <v>17704.833241203756</v>
      </c>
      <c r="F18" s="21">
        <f>MAX((F5+F16),0)</f>
        <v>76632.011766524025</v>
      </c>
      <c r="G18" s="21"/>
      <c r="H18" s="21"/>
      <c r="I18" s="21"/>
      <c r="J18" s="21">
        <f>MAX((J5+J16),0)</f>
        <v>2447.9942306672247</v>
      </c>
      <c r="K18" s="21"/>
      <c r="L18" s="21">
        <f>MAX((L5+L16),0)</f>
        <v>0</v>
      </c>
      <c r="M18" s="21"/>
      <c r="N18" s="21">
        <f>MAX((N5+N16),0)</f>
        <v>20402.593262438932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0.19605810541488139</v>
      </c>
      <c r="C20" s="25">
        <f ca="1">'EF ele_warmte'!B22</f>
        <v>0.12626137238349922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69418.129883564354</v>
      </c>
      <c r="C22" s="23">
        <f ca="1">C18*C20</f>
        <v>1406.2360349212224</v>
      </c>
      <c r="D22" s="23">
        <f>D18*D20</f>
        <v>58838.420552695286</v>
      </c>
      <c r="E22" s="23">
        <f>E18*E20</f>
        <v>4018.9971457532529</v>
      </c>
      <c r="F22" s="23">
        <f>F18*F20</f>
        <v>20460.747141661916</v>
      </c>
      <c r="G22" s="23"/>
      <c r="H22" s="23"/>
      <c r="I22" s="23"/>
      <c r="J22" s="23">
        <f>J18*J20</f>
        <v>866.5899576561975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30351.738021000001</v>
      </c>
      <c r="C30" s="39">
        <f>IF(ISERROR(B30*3.6/1000000/'E Balans VL '!Z18*100),0,B30*3.6/1000000/'E Balans VL '!Z18*100)</f>
        <v>6.430882562536917</v>
      </c>
      <c r="D30" s="237" t="s">
        <v>659</v>
      </c>
    </row>
    <row r="31" spans="1:18">
      <c r="A31" s="6" t="s">
        <v>32</v>
      </c>
      <c r="B31" s="37">
        <f>IF( ISERROR(IND_ander_ele_kWh/1000),0,IND_ander_ele_kWh/1000)</f>
        <v>22221.460287000002</v>
      </c>
      <c r="C31" s="39">
        <f>IF(ISERROR(B31*3.6/1000000/'E Balans VL '!Z19*100),0,B31*3.6/1000000/'E Balans VL '!Z19*100)</f>
        <v>0.9353517209749791</v>
      </c>
      <c r="D31" s="237" t="s">
        <v>659</v>
      </c>
    </row>
    <row r="32" spans="1:18">
      <c r="A32" s="171" t="s">
        <v>40</v>
      </c>
      <c r="B32" s="37">
        <f>IF( ISERROR(IND_voed_ele_kWh/1000),0,IND_voed_ele_kWh/1000)</f>
        <v>9026.662557900001</v>
      </c>
      <c r="C32" s="39">
        <f>IF(ISERROR(B32*3.6/1000000/'E Balans VL '!Z20*100),0,B32*3.6/1000000/'E Balans VL '!Z20*100)</f>
        <v>1.5080061099598994</v>
      </c>
      <c r="D32" s="237" t="s">
        <v>659</v>
      </c>
    </row>
    <row r="33" spans="1:5">
      <c r="A33" s="171" t="s">
        <v>39</v>
      </c>
      <c r="B33" s="37">
        <f>IF( ISERROR(IND_textiel_ele_kWh/1000),0,IND_textiel_ele_kWh/1000)</f>
        <v>300.17690016999995</v>
      </c>
      <c r="C33" s="39">
        <f>IF(ISERROR(B33*3.6/1000000/'E Balans VL '!Z21*100),0,B33*3.6/1000000/'E Balans VL '!Z21*100)</f>
        <v>1.7525225716366642E-2</v>
      </c>
      <c r="D33" s="237" t="s">
        <v>659</v>
      </c>
    </row>
    <row r="34" spans="1:5">
      <c r="A34" s="171" t="s">
        <v>36</v>
      </c>
      <c r="B34" s="37">
        <f>IF( ISERROR(IND_min_ele_kWh/1000),0,IND_min_ele_kWh/1000)</f>
        <v>67959.164656000008</v>
      </c>
      <c r="C34" s="39">
        <f>IF(ISERROR(B34*3.6/1000000/'E Balans VL '!Z22*100),0,B34*3.6/1000000/'E Balans VL '!Z22*100)</f>
        <v>8.6141906228405389</v>
      </c>
      <c r="D34" s="237" t="s">
        <v>659</v>
      </c>
    </row>
    <row r="35" spans="1:5">
      <c r="A35" s="171" t="s">
        <v>38</v>
      </c>
      <c r="B35" s="37">
        <f>IF( ISERROR(IND_papier_ele_kWh/1000),0,IND_papier_ele_kWh/1000)</f>
        <v>15014.520619000001</v>
      </c>
      <c r="C35" s="39">
        <f>IF(ISERROR(B35*3.6/1000000/'E Balans VL '!Z22*100),0,B35*3.6/1000000/'E Balans VL '!Z22*100)</f>
        <v>1.9031714615287976</v>
      </c>
      <c r="D35" s="237" t="s">
        <v>659</v>
      </c>
    </row>
    <row r="36" spans="1:5">
      <c r="A36" s="171" t="s">
        <v>33</v>
      </c>
      <c r="B36" s="37">
        <f>IF( ISERROR(IND_chemie_ele_kWh/1000),0,IND_chemie_ele_kWh/1000)</f>
        <v>31088.187418999998</v>
      </c>
      <c r="C36" s="39">
        <f>IF(ISERROR(B36*3.6/1000000/'E Balans VL '!Z24*100),0,B36*3.6/1000000/'E Balans VL '!Z24*100)</f>
        <v>1.009745329892225</v>
      </c>
      <c r="D36" s="237" t="s">
        <v>659</v>
      </c>
    </row>
    <row r="37" spans="1:5">
      <c r="A37" s="171" t="s">
        <v>269</v>
      </c>
      <c r="B37" s="37">
        <f>IF( ISERROR(IND_rest_ele_kWh/1000),0,IND_rest_ele_kWh/1000)</f>
        <v>168207.2556</v>
      </c>
      <c r="C37" s="39">
        <f>IF(ISERROR(B37*3.6/1000000/'E Balans VL '!Z15*100),0,B37*3.6/1000000/'E Balans VL '!Z15*100)</f>
        <v>1.3580023072934502</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3879.8186854999994</v>
      </c>
      <c r="C5" s="17">
        <f>'Eigen informatie GS &amp; warmtenet'!B60</f>
        <v>0</v>
      </c>
      <c r="D5" s="30">
        <f>IF(ISERROR(SUM(LB_lb_gas_kWh,LB_rest_gas_kWh)/1000),0,SUM(LB_lb_gas_kWh,LB_rest_gas_kWh)/1000)*0.902</f>
        <v>5796.0951971318</v>
      </c>
      <c r="E5" s="17">
        <f>B17*'E Balans VL '!I25/3.6*1000000/100</f>
        <v>100.04562711758044</v>
      </c>
      <c r="F5" s="17">
        <f>B17*('E Balans VL '!L25/3.6*1000000+'E Balans VL '!N25/3.6*1000000)/100</f>
        <v>14181.47617107869</v>
      </c>
      <c r="G5" s="18"/>
      <c r="H5" s="17"/>
      <c r="I5" s="17"/>
      <c r="J5" s="17">
        <f>('E Balans VL '!D25+'E Balans VL '!E25)/3.6*1000000*landbouw!B17/100</f>
        <v>558.55116515250677</v>
      </c>
      <c r="K5" s="17"/>
      <c r="L5" s="17">
        <f>L6*(-1)</f>
        <v>0</v>
      </c>
      <c r="M5" s="17"/>
      <c r="N5" s="17">
        <f>N6*(-1)</f>
        <v>0</v>
      </c>
      <c r="O5" s="17"/>
      <c r="P5" s="17"/>
      <c r="R5" s="32"/>
    </row>
    <row r="6" spans="1:18">
      <c r="A6" s="16" t="s">
        <v>490</v>
      </c>
      <c r="B6" s="17" t="s">
        <v>210</v>
      </c>
      <c r="C6" s="17">
        <f>'lokale energieproductie'!O50+'lokale energieproductie'!O43</f>
        <v>0</v>
      </c>
      <c r="D6" s="308">
        <f>('lokale energieproductie'!P43+'lokale energieproductie'!P50)*(-1)</f>
        <v>0</v>
      </c>
      <c r="E6" s="248"/>
      <c r="F6" s="308">
        <f>('lokale energieproductie'!S43+'lokale energieproductie'!S50)*(-1)</f>
        <v>0</v>
      </c>
      <c r="G6" s="249"/>
      <c r="H6" s="248"/>
      <c r="I6" s="248"/>
      <c r="J6" s="248"/>
      <c r="K6" s="248"/>
      <c r="L6" s="308">
        <f>('lokale energieproductie'!T43+'lokale energieproductie'!U43+'lokale energieproductie'!T50+'lokale energieproductie'!U50)*(-1)</f>
        <v>0</v>
      </c>
      <c r="M6" s="248"/>
      <c r="N6" s="308">
        <f>('lokale energieproductie'!V43+'lokale energieproductie'!R43+'lokale energieproductie'!Q43+'lokale energieproductie'!Q50+'lokale energieproductie'!R50+'lokale energieproductie'!V50)*(-1)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3879.8186854999994</v>
      </c>
      <c r="C8" s="21">
        <f>C5+C6</f>
        <v>0</v>
      </c>
      <c r="D8" s="21">
        <f>MAX((D5+D6),0)</f>
        <v>5796.0951971318</v>
      </c>
      <c r="E8" s="21">
        <f>MAX((E5+E6),0)</f>
        <v>100.04562711758044</v>
      </c>
      <c r="F8" s="21">
        <f>MAX((F5+F6),0)</f>
        <v>14181.47617107869</v>
      </c>
      <c r="G8" s="21"/>
      <c r="H8" s="21"/>
      <c r="I8" s="21"/>
      <c r="J8" s="21">
        <f>MAX((J5+J6),0)</f>
        <v>558.55116515250677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0.19605810541488139</v>
      </c>
      <c r="C10" s="31">
        <f ca="1">'EF ele_warmte'!B22</f>
        <v>0.12626137238349922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760.66990083238545</v>
      </c>
      <c r="C12" s="23">
        <f ca="1">C8*C10</f>
        <v>0</v>
      </c>
      <c r="D12" s="23">
        <f>D8*D10</f>
        <v>1170.8112298206236</v>
      </c>
      <c r="E12" s="23">
        <f>E8*E10</f>
        <v>22.710357355690761</v>
      </c>
      <c r="F12" s="23">
        <f>F8*F10</f>
        <v>3786.4541376780103</v>
      </c>
      <c r="G12" s="23"/>
      <c r="H12" s="23"/>
      <c r="I12" s="23"/>
      <c r="J12" s="23">
        <f>J8*J10</f>
        <v>197.7271124639874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0.54708013399821964</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462.0440249453199</v>
      </c>
      <c r="C26" s="247">
        <f>B26*'GWP N2O_CH4'!B5</f>
        <v>9702.9245238517178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87.991275957276912</v>
      </c>
      <c r="C27" s="247">
        <f>B27*'GWP N2O_CH4'!B5</f>
        <v>1847.8167951028151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5.5242337736441813</v>
      </c>
      <c r="C28" s="247">
        <f>B28*'GWP N2O_CH4'!B4</f>
        <v>1712.5124698296961</v>
      </c>
      <c r="D28" s="50"/>
    </row>
    <row r="29" spans="1:4">
      <c r="A29" s="41" t="s">
        <v>276</v>
      </c>
      <c r="B29" s="247">
        <f>B34*'ha_N2O bodem landbouw'!B4</f>
        <v>20.463682274781728</v>
      </c>
      <c r="C29" s="247">
        <f>B29*'GWP N2O_CH4'!B4</f>
        <v>6343.7415051823355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4.6054405406689468E-3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1.4279725731138138E-3</v>
      </c>
      <c r="C5" s="437" t="s">
        <v>210</v>
      </c>
      <c r="D5" s="422">
        <f>SUM(D6:D11)</f>
        <v>2.9170936836120142E-3</v>
      </c>
      <c r="E5" s="422">
        <f>SUM(E6:E11)</f>
        <v>1.445750622161613E-2</v>
      </c>
      <c r="F5" s="435" t="s">
        <v>210</v>
      </c>
      <c r="G5" s="422">
        <f>SUM(G6:G11)</f>
        <v>6.318189333907732</v>
      </c>
      <c r="H5" s="422">
        <f>SUM(H6:H11)</f>
        <v>1.0142220774623962</v>
      </c>
      <c r="I5" s="437" t="s">
        <v>210</v>
      </c>
      <c r="J5" s="437" t="s">
        <v>210</v>
      </c>
      <c r="K5" s="437" t="s">
        <v>210</v>
      </c>
      <c r="L5" s="437" t="s">
        <v>210</v>
      </c>
      <c r="M5" s="422">
        <f>SUM(M6:M11)</f>
        <v>0.22916563104460483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4.3212943448373188E-4</v>
      </c>
      <c r="C6" s="423"/>
      <c r="D6" s="865">
        <f>vkm_GW_PW*SUMIFS(TableVerdeelsleutelVkm[CNG],TableVerdeelsleutelVkm[Voertuigtype],"Lichte voertuigen")*SUMIFS(TableECFTransport[EnergieConsumptieFactor (PJ per km)],TableECFTransport[Index],CONCATENATE($A6,"_CNG_CNG"))</f>
        <v>7.7898965061653082E-4</v>
      </c>
      <c r="E6" s="865">
        <f>vkm_GW_PW*SUMIFS(TableVerdeelsleutelVkm[LPG],TableVerdeelsleutelVkm[Voertuigtype],"Lichte voertuigen")*SUMIFS(TableECFTransport[EnergieConsumptieFactor (PJ per km)],TableECFTransport[Index],CONCATENATE($A6,"_LPG_LPG"))</f>
        <v>3.5190283208546367E-3</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0.96139373402228123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0.26746984684577008</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3.8261638071906981E-2</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0.81679810499739403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1.4738970866829251E-5</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2.5696514170200923E-2</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2.658434857308397E-4</v>
      </c>
      <c r="C8" s="423"/>
      <c r="D8" s="425">
        <f>vkm_NGW_PW*SUMIFS(TableVerdeelsleutelVkm[CNG],TableVerdeelsleutelVkm[Voertuigtype],"Lichte voertuigen")*SUMIFS(TableECFTransport[EnergieConsumptieFactor (PJ per km)],TableECFTransport[Index],CONCATENATE($A8,"_CNG_CNG"))</f>
        <v>8.1455286648594437E-4</v>
      </c>
      <c r="E8" s="425">
        <f>vkm_NGW_PW*SUMIFS(TableVerdeelsleutelVkm[LPG],TableVerdeelsleutelVkm[Voertuigtype],"Lichte voertuigen")*SUMIFS(TableECFTransport[EnergieConsumptieFactor (PJ per km)],TableECFTransport[Index],CONCATENATE($A8,"_LPG_LPG"))</f>
        <v>3.4928056314426415E-3</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0.8959838449694677</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0.27178484281599558</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3.6333204554410865E-2</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0.34322702896076879</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7.6455855384825453E-6</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1.0797985094405044E-2</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7.2999965289924221E-4</v>
      </c>
      <c r="C10" s="423"/>
      <c r="D10" s="425">
        <f>vkm_SW_PW*SUMIFS(TableVerdeelsleutelVkm[CNG],TableVerdeelsleutelVkm[Voertuigtype],"Lichte voertuigen")*SUMIFS(TableECFTransport[EnergieConsumptieFactor (PJ per km)],TableECFTransport[Index],CONCATENATE($A10,"_CNG_CNG"))</f>
        <v>1.3235511665095391E-3</v>
      </c>
      <c r="E10" s="425">
        <f>vkm_SW_PW*SUMIFS(TableVerdeelsleutelVkm[LPG],TableVerdeelsleutelVkm[Voertuigtype],"Lichte voertuigen")*SUMIFS(TableECFTransport[EnergieConsumptieFactor (PJ per km)],TableECFTransport[Index],CONCATENATE($A10,"_LPG_LPG"))</f>
        <v>7.4456722693188515E-3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1.8256081125352093</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0.47491656839592439</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7.1667036169855702E-2</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1.4751785084226117</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2.8434848300937774E-5</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4.6409252983825304E-2</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396.6590480871705</v>
      </c>
      <c r="C14" s="21"/>
      <c r="D14" s="21">
        <f t="shared" ref="D14:M14" si="0">((D5)*10^9/3600)+D12</f>
        <v>810.3038010033373</v>
      </c>
      <c r="E14" s="21">
        <f t="shared" si="0"/>
        <v>4015.9739504489253</v>
      </c>
      <c r="F14" s="21"/>
      <c r="G14" s="21">
        <f t="shared" si="0"/>
        <v>1755052.5927521477</v>
      </c>
      <c r="H14" s="21">
        <f t="shared" si="0"/>
        <v>281728.35485066561</v>
      </c>
      <c r="I14" s="21"/>
      <c r="J14" s="21"/>
      <c r="K14" s="21"/>
      <c r="L14" s="21"/>
      <c r="M14" s="21">
        <f t="shared" si="0"/>
        <v>63657.119734612454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0.19605810541488139</v>
      </c>
      <c r="C16" s="56">
        <f ca="1">'EF ele_warmte'!B22</f>
        <v>0.12626137238349922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77.768221463640984</v>
      </c>
      <c r="C18" s="23"/>
      <c r="D18" s="23">
        <f t="shared" ref="D18:M18" si="1">D14*D16</f>
        <v>163.68136780267415</v>
      </c>
      <c r="E18" s="23">
        <f t="shared" si="1"/>
        <v>911.62608675190609</v>
      </c>
      <c r="F18" s="23"/>
      <c r="G18" s="23">
        <f t="shared" si="1"/>
        <v>468599.04226482345</v>
      </c>
      <c r="H18" s="23">
        <f t="shared" si="1"/>
        <v>70150.360357815734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3.3307925650779252E-2</v>
      </c>
      <c r="C50" s="319">
        <f t="shared" ref="C50:P50" si="2">SUM(C51:C52)</f>
        <v>0</v>
      </c>
      <c r="D50" s="319">
        <f t="shared" si="2"/>
        <v>0</v>
      </c>
      <c r="E50" s="319">
        <f t="shared" si="2"/>
        <v>0</v>
      </c>
      <c r="F50" s="319">
        <f t="shared" si="2"/>
        <v>0</v>
      </c>
      <c r="G50" s="319">
        <f t="shared" si="2"/>
        <v>0.13288002669993956</v>
      </c>
      <c r="H50" s="319">
        <f t="shared" si="2"/>
        <v>0</v>
      </c>
      <c r="I50" s="319">
        <f t="shared" si="2"/>
        <v>0</v>
      </c>
      <c r="J50" s="319">
        <f t="shared" si="2"/>
        <v>0</v>
      </c>
      <c r="K50" s="319">
        <f t="shared" si="2"/>
        <v>0</v>
      </c>
      <c r="L50" s="319">
        <f t="shared" si="2"/>
        <v>0</v>
      </c>
      <c r="M50" s="319">
        <f t="shared" si="2"/>
        <v>4.1164381286153181E-3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0.13288002669993956</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4.1164381286153181E-3</v>
      </c>
      <c r="N51" s="321"/>
      <c r="O51" s="321"/>
      <c r="P51" s="324"/>
    </row>
    <row r="52" spans="1:18">
      <c r="A52" s="4" t="s">
        <v>329</v>
      </c>
      <c r="B52" s="866">
        <f>vkm_tram*SUMIFS(TableECFTransport[EnergieConsumptieFactor (PJ per km)],TableECFTransport[Index],"Tram_gemiddeld_Electric_Electric")</f>
        <v>3.3307925650779252E-2</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9252.2015696609033</v>
      </c>
      <c r="C54" s="21">
        <f t="shared" ref="C54:P54" si="3">(C50)*10^9/3600</f>
        <v>0</v>
      </c>
      <c r="D54" s="21">
        <f t="shared" si="3"/>
        <v>0</v>
      </c>
      <c r="E54" s="21">
        <f t="shared" si="3"/>
        <v>0</v>
      </c>
      <c r="F54" s="21">
        <f t="shared" si="3"/>
        <v>0</v>
      </c>
      <c r="G54" s="21">
        <f t="shared" si="3"/>
        <v>36911.118527760991</v>
      </c>
      <c r="H54" s="21">
        <f t="shared" si="3"/>
        <v>0</v>
      </c>
      <c r="I54" s="21">
        <f t="shared" si="3"/>
        <v>0</v>
      </c>
      <c r="J54" s="21">
        <f t="shared" si="3"/>
        <v>0</v>
      </c>
      <c r="K54" s="21">
        <f t="shared" si="3"/>
        <v>0</v>
      </c>
      <c r="L54" s="21">
        <f t="shared" si="3"/>
        <v>0</v>
      </c>
      <c r="M54" s="21">
        <f t="shared" si="3"/>
        <v>1143.4550357264773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0.19605810541488139</v>
      </c>
      <c r="C56" s="56">
        <f ca="1">'EF ele_warmte'!B22</f>
        <v>0.12626137238349922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1813.9691106643083</v>
      </c>
      <c r="C58" s="23">
        <f t="shared" ref="C58:P58" ca="1" si="4">C54*C56</f>
        <v>0</v>
      </c>
      <c r="D58" s="23">
        <f t="shared" si="4"/>
        <v>0</v>
      </c>
      <c r="E58" s="23">
        <f t="shared" si="4"/>
        <v>0</v>
      </c>
      <c r="F58" s="23">
        <f t="shared" si="4"/>
        <v>0</v>
      </c>
      <c r="G58" s="23">
        <f t="shared" si="4"/>
        <v>9855.2686469121854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726602.90107999987</v>
      </c>
      <c r="D10" s="978">
        <f ca="1">tertiair!C16</f>
        <v>5414.4910714285716</v>
      </c>
      <c r="E10" s="978">
        <f ca="1">tertiair!D16</f>
        <v>782081.69397039886</v>
      </c>
      <c r="F10" s="978">
        <f>tertiair!E16</f>
        <v>10634.293828533542</v>
      </c>
      <c r="G10" s="978">
        <f ca="1">tertiair!F16</f>
        <v>194535.13653281383</v>
      </c>
      <c r="H10" s="978">
        <f>tertiair!G16</f>
        <v>0</v>
      </c>
      <c r="I10" s="978">
        <f>tertiair!H16</f>
        <v>0</v>
      </c>
      <c r="J10" s="978">
        <f>tertiair!I16</f>
        <v>0</v>
      </c>
      <c r="K10" s="978">
        <f>tertiair!J16</f>
        <v>0</v>
      </c>
      <c r="L10" s="978">
        <f>tertiair!K16</f>
        <v>0</v>
      </c>
      <c r="M10" s="978">
        <f ca="1">tertiair!L16</f>
        <v>0</v>
      </c>
      <c r="N10" s="978">
        <f>tertiair!M16</f>
        <v>0</v>
      </c>
      <c r="O10" s="978">
        <f ca="1">tertiair!N16</f>
        <v>39507.343035667196</v>
      </c>
      <c r="P10" s="978">
        <f>tertiair!O16</f>
        <v>42.21</v>
      </c>
      <c r="Q10" s="979">
        <f>tertiair!P16</f>
        <v>343.2</v>
      </c>
      <c r="R10" s="674">
        <f ca="1">SUM(C10:Q10)</f>
        <v>1759161.2695188418</v>
      </c>
      <c r="S10" s="67"/>
    </row>
    <row r="11" spans="1:19" s="447" customFormat="1">
      <c r="A11" s="783" t="s">
        <v>224</v>
      </c>
      <c r="B11" s="788"/>
      <c r="C11" s="978">
        <f>huishoudens!B8</f>
        <v>371790.45807939477</v>
      </c>
      <c r="D11" s="978">
        <f>huishoudens!C8</f>
        <v>0</v>
      </c>
      <c r="E11" s="978">
        <f>huishoudens!D8</f>
        <v>1054921.485139047</v>
      </c>
      <c r="F11" s="978">
        <f>huishoudens!E8</f>
        <v>96503.844731714329</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79323.36357192685</v>
      </c>
      <c r="P11" s="978">
        <f>huishoudens!O8</f>
        <v>2066.7266666666669</v>
      </c>
      <c r="Q11" s="979">
        <f>huishoudens!P8</f>
        <v>4690.3999999999996</v>
      </c>
      <c r="R11" s="674">
        <f>SUM(C11:Q11)</f>
        <v>1609296.2781887494</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354069.16606007004</v>
      </c>
      <c r="D13" s="978">
        <f>industrie!C18</f>
        <v>11137.5</v>
      </c>
      <c r="E13" s="978">
        <f>industrie!D18</f>
        <v>291279.30966680835</v>
      </c>
      <c r="F13" s="978">
        <f>industrie!E18</f>
        <v>17704.833241203756</v>
      </c>
      <c r="G13" s="978">
        <f>industrie!F18</f>
        <v>76632.011766524025</v>
      </c>
      <c r="H13" s="978">
        <f>industrie!G18</f>
        <v>0</v>
      </c>
      <c r="I13" s="978">
        <f>industrie!H18</f>
        <v>0</v>
      </c>
      <c r="J13" s="978">
        <f>industrie!I18</f>
        <v>0</v>
      </c>
      <c r="K13" s="978">
        <f>industrie!J18</f>
        <v>2447.9942306672247</v>
      </c>
      <c r="L13" s="978">
        <f>industrie!K18</f>
        <v>0</v>
      </c>
      <c r="M13" s="978">
        <f>industrie!L18</f>
        <v>0</v>
      </c>
      <c r="N13" s="978">
        <f>industrie!M18</f>
        <v>0</v>
      </c>
      <c r="O13" s="978">
        <f>industrie!N18</f>
        <v>20402.593262438932</v>
      </c>
      <c r="P13" s="978">
        <f>industrie!O18</f>
        <v>0</v>
      </c>
      <c r="Q13" s="979">
        <f>industrie!P18</f>
        <v>0</v>
      </c>
      <c r="R13" s="674">
        <f>SUM(C13:Q13)</f>
        <v>773673.40822771238</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1452462.5252194647</v>
      </c>
      <c r="D16" s="706">
        <f t="shared" ref="D16:R16" ca="1" si="0">SUM(D9:D15)</f>
        <v>16551.991071428572</v>
      </c>
      <c r="E16" s="706">
        <f t="shared" ca="1" si="0"/>
        <v>2128282.488776254</v>
      </c>
      <c r="F16" s="706">
        <f t="shared" si="0"/>
        <v>124842.97180145163</v>
      </c>
      <c r="G16" s="706">
        <f t="shared" ca="1" si="0"/>
        <v>271167.14829933783</v>
      </c>
      <c r="H16" s="706">
        <f t="shared" si="0"/>
        <v>0</v>
      </c>
      <c r="I16" s="706">
        <f t="shared" si="0"/>
        <v>0</v>
      </c>
      <c r="J16" s="706">
        <f t="shared" si="0"/>
        <v>0</v>
      </c>
      <c r="K16" s="706">
        <f t="shared" si="0"/>
        <v>2447.9942306672247</v>
      </c>
      <c r="L16" s="706">
        <f t="shared" si="0"/>
        <v>0</v>
      </c>
      <c r="M16" s="706">
        <f t="shared" ca="1" si="0"/>
        <v>0</v>
      </c>
      <c r="N16" s="706">
        <f t="shared" si="0"/>
        <v>0</v>
      </c>
      <c r="O16" s="706">
        <f t="shared" ca="1" si="0"/>
        <v>139233.29987003296</v>
      </c>
      <c r="P16" s="706">
        <f t="shared" si="0"/>
        <v>2108.936666666667</v>
      </c>
      <c r="Q16" s="706">
        <f t="shared" si="0"/>
        <v>5033.5999999999995</v>
      </c>
      <c r="R16" s="706">
        <f t="shared" ca="1" si="0"/>
        <v>4142130.9559353036</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9252.2015696609033</v>
      </c>
      <c r="D19" s="978">
        <f>transport!C54</f>
        <v>0</v>
      </c>
      <c r="E19" s="978">
        <f>transport!D54</f>
        <v>0</v>
      </c>
      <c r="F19" s="978">
        <f>transport!E54</f>
        <v>0</v>
      </c>
      <c r="G19" s="978">
        <f>transport!F54</f>
        <v>0</v>
      </c>
      <c r="H19" s="978">
        <f>transport!G54</f>
        <v>36911.118527760991</v>
      </c>
      <c r="I19" s="978">
        <f>transport!H54</f>
        <v>0</v>
      </c>
      <c r="J19" s="978">
        <f>transport!I54</f>
        <v>0</v>
      </c>
      <c r="K19" s="978">
        <f>transport!J54</f>
        <v>0</v>
      </c>
      <c r="L19" s="978">
        <f>transport!K54</f>
        <v>0</v>
      </c>
      <c r="M19" s="978">
        <f>transport!L54</f>
        <v>0</v>
      </c>
      <c r="N19" s="978">
        <f>transport!M54</f>
        <v>1143.4550357264773</v>
      </c>
      <c r="O19" s="978">
        <f>transport!N54</f>
        <v>0</v>
      </c>
      <c r="P19" s="978">
        <f>transport!O54</f>
        <v>0</v>
      </c>
      <c r="Q19" s="979">
        <f>transport!P54</f>
        <v>0</v>
      </c>
      <c r="R19" s="674">
        <f>SUM(C19:Q19)</f>
        <v>47306.775133148367</v>
      </c>
      <c r="S19" s="67"/>
    </row>
    <row r="20" spans="1:19" s="447" customFormat="1">
      <c r="A20" s="783" t="s">
        <v>306</v>
      </c>
      <c r="B20" s="788"/>
      <c r="C20" s="978">
        <f>transport!B14</f>
        <v>396.6590480871705</v>
      </c>
      <c r="D20" s="978">
        <f>transport!C14</f>
        <v>0</v>
      </c>
      <c r="E20" s="978">
        <f>transport!D14</f>
        <v>810.3038010033373</v>
      </c>
      <c r="F20" s="978">
        <f>transport!E14</f>
        <v>4015.9739504489253</v>
      </c>
      <c r="G20" s="978">
        <f>transport!F14</f>
        <v>0</v>
      </c>
      <c r="H20" s="978">
        <f>transport!G14</f>
        <v>1755052.5927521477</v>
      </c>
      <c r="I20" s="978">
        <f>transport!H14</f>
        <v>281728.35485066561</v>
      </c>
      <c r="J20" s="978">
        <f>transport!I14</f>
        <v>0</v>
      </c>
      <c r="K20" s="978">
        <f>transport!J14</f>
        <v>0</v>
      </c>
      <c r="L20" s="978">
        <f>transport!K14</f>
        <v>0</v>
      </c>
      <c r="M20" s="978">
        <f>transport!L14</f>
        <v>0</v>
      </c>
      <c r="N20" s="978">
        <f>transport!M14</f>
        <v>63657.119734612454</v>
      </c>
      <c r="O20" s="978">
        <f>transport!N14</f>
        <v>0</v>
      </c>
      <c r="P20" s="978">
        <f>transport!O14</f>
        <v>0</v>
      </c>
      <c r="Q20" s="979">
        <f>transport!P14</f>
        <v>0</v>
      </c>
      <c r="R20" s="674">
        <f>SUM(C20:Q20)</f>
        <v>2105661.0041369651</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9648.8606177480742</v>
      </c>
      <c r="D22" s="786">
        <f t="shared" ref="D22:R22" si="1">SUM(D18:D21)</f>
        <v>0</v>
      </c>
      <c r="E22" s="786">
        <f t="shared" si="1"/>
        <v>810.3038010033373</v>
      </c>
      <c r="F22" s="786">
        <f t="shared" si="1"/>
        <v>4015.9739504489253</v>
      </c>
      <c r="G22" s="786">
        <f t="shared" si="1"/>
        <v>0</v>
      </c>
      <c r="H22" s="786">
        <f t="shared" si="1"/>
        <v>1791963.7112799087</v>
      </c>
      <c r="I22" s="786">
        <f t="shared" si="1"/>
        <v>281728.35485066561</v>
      </c>
      <c r="J22" s="786">
        <f t="shared" si="1"/>
        <v>0</v>
      </c>
      <c r="K22" s="786">
        <f t="shared" si="1"/>
        <v>0</v>
      </c>
      <c r="L22" s="786">
        <f t="shared" si="1"/>
        <v>0</v>
      </c>
      <c r="M22" s="786">
        <f t="shared" si="1"/>
        <v>0</v>
      </c>
      <c r="N22" s="786">
        <f t="shared" si="1"/>
        <v>64800.574770338928</v>
      </c>
      <c r="O22" s="786">
        <f t="shared" si="1"/>
        <v>0</v>
      </c>
      <c r="P22" s="786">
        <f t="shared" si="1"/>
        <v>0</v>
      </c>
      <c r="Q22" s="786">
        <f t="shared" si="1"/>
        <v>0</v>
      </c>
      <c r="R22" s="786">
        <f t="shared" si="1"/>
        <v>2152967.7792701134</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3879.8186854999994</v>
      </c>
      <c r="D24" s="978">
        <f>+landbouw!C8</f>
        <v>0</v>
      </c>
      <c r="E24" s="978">
        <f>+landbouw!D8</f>
        <v>5796.0951971318</v>
      </c>
      <c r="F24" s="978">
        <f>+landbouw!E8</f>
        <v>100.04562711758044</v>
      </c>
      <c r="G24" s="978">
        <f>+landbouw!F8</f>
        <v>14181.47617107869</v>
      </c>
      <c r="H24" s="978">
        <f>+landbouw!G8</f>
        <v>0</v>
      </c>
      <c r="I24" s="978">
        <f>+landbouw!H8</f>
        <v>0</v>
      </c>
      <c r="J24" s="978">
        <f>+landbouw!I8</f>
        <v>0</v>
      </c>
      <c r="K24" s="978">
        <f>+landbouw!J8</f>
        <v>558.55116515250677</v>
      </c>
      <c r="L24" s="978">
        <f>+landbouw!K8</f>
        <v>0</v>
      </c>
      <c r="M24" s="978">
        <f>+landbouw!L8</f>
        <v>0</v>
      </c>
      <c r="N24" s="978">
        <f>+landbouw!M8</f>
        <v>0</v>
      </c>
      <c r="O24" s="978">
        <f>+landbouw!N8</f>
        <v>0</v>
      </c>
      <c r="P24" s="978">
        <f>+landbouw!O8</f>
        <v>0</v>
      </c>
      <c r="Q24" s="979">
        <f>+landbouw!P8</f>
        <v>0</v>
      </c>
      <c r="R24" s="674">
        <f>SUM(C24:Q24)</f>
        <v>24515.98684598058</v>
      </c>
      <c r="S24" s="67"/>
    </row>
    <row r="25" spans="1:19" s="447" customFormat="1" ht="15" thickBot="1">
      <c r="A25" s="805" t="s">
        <v>834</v>
      </c>
      <c r="B25" s="981"/>
      <c r="C25" s="982">
        <f>IF(Onbekend_ele_kWh="---",0,Onbekend_ele_kWh)/1000+IF(REST_rest_ele_kWh="---",0,REST_rest_ele_kWh)/1000</f>
        <v>24605.582749000001</v>
      </c>
      <c r="D25" s="982"/>
      <c r="E25" s="982">
        <f>IF(onbekend_gas_kWh="---",0,onbekend_gas_kWh)/1000+IF(REST_rest_gas_kWh="---",0,REST_rest_gas_kWh)/1000</f>
        <v>93599.040630999996</v>
      </c>
      <c r="F25" s="982"/>
      <c r="G25" s="982"/>
      <c r="H25" s="982"/>
      <c r="I25" s="982"/>
      <c r="J25" s="982"/>
      <c r="K25" s="982"/>
      <c r="L25" s="982"/>
      <c r="M25" s="982"/>
      <c r="N25" s="982"/>
      <c r="O25" s="982"/>
      <c r="P25" s="982"/>
      <c r="Q25" s="983"/>
      <c r="R25" s="674">
        <f>SUM(C25:Q25)</f>
        <v>118204.62338</v>
      </c>
      <c r="S25" s="67"/>
    </row>
    <row r="26" spans="1:19" s="447" customFormat="1" ht="15.75" thickBot="1">
      <c r="A26" s="679" t="s">
        <v>835</v>
      </c>
      <c r="B26" s="791"/>
      <c r="C26" s="786">
        <f>SUM(C24:C25)</f>
        <v>28485.4014345</v>
      </c>
      <c r="D26" s="786">
        <f t="shared" ref="D26:R26" si="2">SUM(D24:D25)</f>
        <v>0</v>
      </c>
      <c r="E26" s="786">
        <f t="shared" si="2"/>
        <v>99395.135828131795</v>
      </c>
      <c r="F26" s="786">
        <f t="shared" si="2"/>
        <v>100.04562711758044</v>
      </c>
      <c r="G26" s="786">
        <f t="shared" si="2"/>
        <v>14181.47617107869</v>
      </c>
      <c r="H26" s="786">
        <f t="shared" si="2"/>
        <v>0</v>
      </c>
      <c r="I26" s="786">
        <f t="shared" si="2"/>
        <v>0</v>
      </c>
      <c r="J26" s="786">
        <f t="shared" si="2"/>
        <v>0</v>
      </c>
      <c r="K26" s="786">
        <f t="shared" si="2"/>
        <v>558.55116515250677</v>
      </c>
      <c r="L26" s="786">
        <f t="shared" si="2"/>
        <v>0</v>
      </c>
      <c r="M26" s="786">
        <f t="shared" si="2"/>
        <v>0</v>
      </c>
      <c r="N26" s="786">
        <f t="shared" si="2"/>
        <v>0</v>
      </c>
      <c r="O26" s="786">
        <f t="shared" si="2"/>
        <v>0</v>
      </c>
      <c r="P26" s="786">
        <f t="shared" si="2"/>
        <v>0</v>
      </c>
      <c r="Q26" s="786">
        <f t="shared" si="2"/>
        <v>0</v>
      </c>
      <c r="R26" s="786">
        <f t="shared" si="2"/>
        <v>142720.61022598058</v>
      </c>
      <c r="S26" s="67"/>
    </row>
    <row r="27" spans="1:19" s="447" customFormat="1" ht="17.25" thickTop="1" thickBot="1">
      <c r="A27" s="680" t="s">
        <v>115</v>
      </c>
      <c r="B27" s="779"/>
      <c r="C27" s="681">
        <f ca="1">C22+C16+C26</f>
        <v>1490596.7872717127</v>
      </c>
      <c r="D27" s="681">
        <f t="shared" ref="D27:R27" ca="1" si="3">D22+D16+D26</f>
        <v>16551.991071428572</v>
      </c>
      <c r="E27" s="681">
        <f t="shared" ca="1" si="3"/>
        <v>2228487.9284053892</v>
      </c>
      <c r="F27" s="681">
        <f t="shared" si="3"/>
        <v>128958.99137901813</v>
      </c>
      <c r="G27" s="681">
        <f t="shared" ca="1" si="3"/>
        <v>285348.62447041651</v>
      </c>
      <c r="H27" s="681">
        <f t="shared" si="3"/>
        <v>1791963.7112799087</v>
      </c>
      <c r="I27" s="681">
        <f t="shared" si="3"/>
        <v>281728.35485066561</v>
      </c>
      <c r="J27" s="681">
        <f t="shared" si="3"/>
        <v>0</v>
      </c>
      <c r="K27" s="681">
        <f t="shared" si="3"/>
        <v>3006.5453958197313</v>
      </c>
      <c r="L27" s="681">
        <f t="shared" si="3"/>
        <v>0</v>
      </c>
      <c r="M27" s="681">
        <f t="shared" ca="1" si="3"/>
        <v>0</v>
      </c>
      <c r="N27" s="681">
        <f t="shared" si="3"/>
        <v>64800.574770338928</v>
      </c>
      <c r="O27" s="681">
        <f t="shared" ca="1" si="3"/>
        <v>139233.29987003296</v>
      </c>
      <c r="P27" s="681">
        <f t="shared" si="3"/>
        <v>2108.936666666667</v>
      </c>
      <c r="Q27" s="681">
        <f t="shared" si="3"/>
        <v>5033.5999999999995</v>
      </c>
      <c r="R27" s="681">
        <f t="shared" ca="1" si="3"/>
        <v>6437819.3454313977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142456.38817470125</v>
      </c>
      <c r="D40" s="978">
        <f ca="1">tertiair!C20</f>
        <v>683.64107343677449</v>
      </c>
      <c r="E40" s="978">
        <f ca="1">tertiair!D20</f>
        <v>157980.50218202057</v>
      </c>
      <c r="F40" s="978">
        <f>tertiair!E20</f>
        <v>2413.9846990771143</v>
      </c>
      <c r="G40" s="978">
        <f ca="1">tertiair!F20</f>
        <v>51940.881454261296</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355475.39758349699</v>
      </c>
    </row>
    <row r="41" spans="1:18">
      <c r="A41" s="796" t="s">
        <v>224</v>
      </c>
      <c r="B41" s="803"/>
      <c r="C41" s="978">
        <f ca="1">huishoudens!B12</f>
        <v>72892.532822377019</v>
      </c>
      <c r="D41" s="978">
        <f ca="1">huishoudens!C12</f>
        <v>0</v>
      </c>
      <c r="E41" s="978">
        <f>huishoudens!D12</f>
        <v>213094.13999808751</v>
      </c>
      <c r="F41" s="978">
        <f>huishoudens!E12</f>
        <v>21906.372754099153</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307893.04557456367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69418.129883564354</v>
      </c>
      <c r="D43" s="978">
        <f ca="1">industrie!C22</f>
        <v>1406.2360349212224</v>
      </c>
      <c r="E43" s="978">
        <f>industrie!D22</f>
        <v>58838.420552695286</v>
      </c>
      <c r="F43" s="978">
        <f>industrie!E22</f>
        <v>4018.9971457532529</v>
      </c>
      <c r="G43" s="978">
        <f>industrie!F22</f>
        <v>20460.747141661916</v>
      </c>
      <c r="H43" s="978">
        <f>industrie!G22</f>
        <v>0</v>
      </c>
      <c r="I43" s="978">
        <f>industrie!H22</f>
        <v>0</v>
      </c>
      <c r="J43" s="978">
        <f>industrie!I22</f>
        <v>0</v>
      </c>
      <c r="K43" s="978">
        <f>industrie!J22</f>
        <v>866.5899576561975</v>
      </c>
      <c r="L43" s="978">
        <f>industrie!K22</f>
        <v>0</v>
      </c>
      <c r="M43" s="978">
        <f>industrie!L22</f>
        <v>0</v>
      </c>
      <c r="N43" s="978">
        <f>industrie!M22</f>
        <v>0</v>
      </c>
      <c r="O43" s="978">
        <f>industrie!N22</f>
        <v>0</v>
      </c>
      <c r="P43" s="978">
        <f>industrie!O22</f>
        <v>0</v>
      </c>
      <c r="Q43" s="748">
        <f>industrie!P22</f>
        <v>0</v>
      </c>
      <c r="R43" s="823">
        <f t="shared" ca="1" si="4"/>
        <v>155009.12071625222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284767.05088064261</v>
      </c>
      <c r="D46" s="706">
        <f t="shared" ref="D46:Q46" ca="1" si="5">SUM(D39:D45)</f>
        <v>2089.8771083579968</v>
      </c>
      <c r="E46" s="706">
        <f t="shared" ca="1" si="5"/>
        <v>429913.0627328034</v>
      </c>
      <c r="F46" s="706">
        <f t="shared" si="5"/>
        <v>28339.35459892952</v>
      </c>
      <c r="G46" s="706">
        <f t="shared" ca="1" si="5"/>
        <v>72401.628595923219</v>
      </c>
      <c r="H46" s="706">
        <f t="shared" si="5"/>
        <v>0</v>
      </c>
      <c r="I46" s="706">
        <f t="shared" si="5"/>
        <v>0</v>
      </c>
      <c r="J46" s="706">
        <f t="shared" si="5"/>
        <v>0</v>
      </c>
      <c r="K46" s="706">
        <f t="shared" si="5"/>
        <v>866.5899576561975</v>
      </c>
      <c r="L46" s="706">
        <f t="shared" si="5"/>
        <v>0</v>
      </c>
      <c r="M46" s="706">
        <f t="shared" ca="1" si="5"/>
        <v>0</v>
      </c>
      <c r="N46" s="706">
        <f t="shared" si="5"/>
        <v>0</v>
      </c>
      <c r="O46" s="706">
        <f t="shared" ca="1" si="5"/>
        <v>0</v>
      </c>
      <c r="P46" s="706">
        <f t="shared" si="5"/>
        <v>0</v>
      </c>
      <c r="Q46" s="706">
        <f t="shared" si="5"/>
        <v>0</v>
      </c>
      <c r="R46" s="706">
        <f ca="1">SUM(R39:R45)</f>
        <v>818377.56387431291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1813.9691106643083</v>
      </c>
      <c r="D49" s="978">
        <f ca="1">transport!C58</f>
        <v>0</v>
      </c>
      <c r="E49" s="978">
        <f>transport!D58</f>
        <v>0</v>
      </c>
      <c r="F49" s="978">
        <f>transport!E58</f>
        <v>0</v>
      </c>
      <c r="G49" s="978">
        <f>transport!F58</f>
        <v>0</v>
      </c>
      <c r="H49" s="978">
        <f>transport!G58</f>
        <v>9855.2686469121854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11669.237757576493</v>
      </c>
    </row>
    <row r="50" spans="1:18">
      <c r="A50" s="799" t="s">
        <v>306</v>
      </c>
      <c r="B50" s="809"/>
      <c r="C50" s="677">
        <f ca="1">transport!B18</f>
        <v>77.768221463640984</v>
      </c>
      <c r="D50" s="677">
        <f>transport!C18</f>
        <v>0</v>
      </c>
      <c r="E50" s="677">
        <f>transport!D18</f>
        <v>163.68136780267415</v>
      </c>
      <c r="F50" s="677">
        <f>transport!E18</f>
        <v>911.62608675190609</v>
      </c>
      <c r="G50" s="677">
        <f>transport!F18</f>
        <v>0</v>
      </c>
      <c r="H50" s="677">
        <f>transport!G18</f>
        <v>468599.04226482345</v>
      </c>
      <c r="I50" s="677">
        <f>transport!H18</f>
        <v>70150.360357815734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539902.47829865734</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1891.7373321279492</v>
      </c>
      <c r="D52" s="706">
        <f t="shared" ref="D52:Q52" ca="1" si="6">SUM(D48:D51)</f>
        <v>0</v>
      </c>
      <c r="E52" s="706">
        <f t="shared" si="6"/>
        <v>163.68136780267415</v>
      </c>
      <c r="F52" s="706">
        <f t="shared" si="6"/>
        <v>911.62608675190609</v>
      </c>
      <c r="G52" s="706">
        <f t="shared" si="6"/>
        <v>0</v>
      </c>
      <c r="H52" s="706">
        <f t="shared" si="6"/>
        <v>478454.31091173564</v>
      </c>
      <c r="I52" s="706">
        <f t="shared" si="6"/>
        <v>70150.360357815734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551571.71605623385</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760.66990083238545</v>
      </c>
      <c r="D54" s="677">
        <f ca="1">+landbouw!C12</f>
        <v>0</v>
      </c>
      <c r="E54" s="677">
        <f>+landbouw!D12</f>
        <v>1170.8112298206236</v>
      </c>
      <c r="F54" s="677">
        <f>+landbouw!E12</f>
        <v>22.710357355690761</v>
      </c>
      <c r="G54" s="677">
        <f>+landbouw!F12</f>
        <v>3786.4541376780103</v>
      </c>
      <c r="H54" s="677">
        <f>+landbouw!G12</f>
        <v>0</v>
      </c>
      <c r="I54" s="677">
        <f>+landbouw!H12</f>
        <v>0</v>
      </c>
      <c r="J54" s="677">
        <f>+landbouw!I12</f>
        <v>0</v>
      </c>
      <c r="K54" s="677">
        <f>+landbouw!J12</f>
        <v>197.7271124639874</v>
      </c>
      <c r="L54" s="677">
        <f>+landbouw!K12</f>
        <v>0</v>
      </c>
      <c r="M54" s="677">
        <f>+landbouw!L12</f>
        <v>0</v>
      </c>
      <c r="N54" s="677">
        <f>+landbouw!M12</f>
        <v>0</v>
      </c>
      <c r="O54" s="677">
        <f>+landbouw!N12</f>
        <v>0</v>
      </c>
      <c r="P54" s="677">
        <f>+landbouw!O12</f>
        <v>0</v>
      </c>
      <c r="Q54" s="678">
        <f>+landbouw!P12</f>
        <v>0</v>
      </c>
      <c r="R54" s="705">
        <f ca="1">SUM(C54:Q54)</f>
        <v>5938.3727381506978</v>
      </c>
    </row>
    <row r="55" spans="1:18" ht="15" thickBot="1">
      <c r="A55" s="799" t="s">
        <v>834</v>
      </c>
      <c r="B55" s="809"/>
      <c r="C55" s="677">
        <f ca="1">C25*'EF ele_warmte'!B12</f>
        <v>4824.1239363980294</v>
      </c>
      <c r="D55" s="677"/>
      <c r="E55" s="677">
        <f>E25*EF_CO2_aardgas</f>
        <v>18907.006207462</v>
      </c>
      <c r="F55" s="677"/>
      <c r="G55" s="677"/>
      <c r="H55" s="677"/>
      <c r="I55" s="677"/>
      <c r="J55" s="677"/>
      <c r="K55" s="677"/>
      <c r="L55" s="677"/>
      <c r="M55" s="677"/>
      <c r="N55" s="677"/>
      <c r="O55" s="677"/>
      <c r="P55" s="677"/>
      <c r="Q55" s="678"/>
      <c r="R55" s="705">
        <f ca="1">SUM(C55:Q55)</f>
        <v>23731.130143860028</v>
      </c>
    </row>
    <row r="56" spans="1:18" ht="15.75" thickBot="1">
      <c r="A56" s="797" t="s">
        <v>835</v>
      </c>
      <c r="B56" s="810"/>
      <c r="C56" s="706">
        <f ca="1">SUM(C54:C55)</f>
        <v>5584.7938372304152</v>
      </c>
      <c r="D56" s="706">
        <f t="shared" ref="D56:Q56" ca="1" si="7">SUM(D54:D55)</f>
        <v>0</v>
      </c>
      <c r="E56" s="706">
        <f t="shared" si="7"/>
        <v>20077.817437282625</v>
      </c>
      <c r="F56" s="706">
        <f t="shared" si="7"/>
        <v>22.710357355690761</v>
      </c>
      <c r="G56" s="706">
        <f t="shared" si="7"/>
        <v>3786.4541376780103</v>
      </c>
      <c r="H56" s="706">
        <f t="shared" si="7"/>
        <v>0</v>
      </c>
      <c r="I56" s="706">
        <f t="shared" si="7"/>
        <v>0</v>
      </c>
      <c r="J56" s="706">
        <f t="shared" si="7"/>
        <v>0</v>
      </c>
      <c r="K56" s="706">
        <f t="shared" si="7"/>
        <v>197.7271124639874</v>
      </c>
      <c r="L56" s="706">
        <f t="shared" si="7"/>
        <v>0</v>
      </c>
      <c r="M56" s="706">
        <f t="shared" si="7"/>
        <v>0</v>
      </c>
      <c r="N56" s="706">
        <f t="shared" si="7"/>
        <v>0</v>
      </c>
      <c r="O56" s="706">
        <f t="shared" si="7"/>
        <v>0</v>
      </c>
      <c r="P56" s="706">
        <f t="shared" si="7"/>
        <v>0</v>
      </c>
      <c r="Q56" s="707">
        <f t="shared" si="7"/>
        <v>0</v>
      </c>
      <c r="R56" s="708">
        <f ca="1">SUM(R54:R55)</f>
        <v>29669.502882010725</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292243.58205000096</v>
      </c>
      <c r="D61" s="714">
        <f t="shared" ref="D61:Q61" ca="1" si="8">D46+D52+D56</f>
        <v>2089.8771083579968</v>
      </c>
      <c r="E61" s="714">
        <f t="shared" ca="1" si="8"/>
        <v>450154.56153788872</v>
      </c>
      <c r="F61" s="714">
        <f t="shared" si="8"/>
        <v>29273.691043037117</v>
      </c>
      <c r="G61" s="714">
        <f t="shared" ca="1" si="8"/>
        <v>76188.08273360123</v>
      </c>
      <c r="H61" s="714">
        <f t="shared" si="8"/>
        <v>478454.31091173564</v>
      </c>
      <c r="I61" s="714">
        <f t="shared" si="8"/>
        <v>70150.360357815734</v>
      </c>
      <c r="J61" s="714">
        <f t="shared" si="8"/>
        <v>0</v>
      </c>
      <c r="K61" s="714">
        <f t="shared" si="8"/>
        <v>1064.3170701201848</v>
      </c>
      <c r="L61" s="714">
        <f t="shared" si="8"/>
        <v>0</v>
      </c>
      <c r="M61" s="714">
        <f t="shared" ca="1" si="8"/>
        <v>0</v>
      </c>
      <c r="N61" s="714">
        <f t="shared" si="8"/>
        <v>0</v>
      </c>
      <c r="O61" s="714">
        <f t="shared" ca="1" si="8"/>
        <v>0</v>
      </c>
      <c r="P61" s="714">
        <f t="shared" si="8"/>
        <v>0</v>
      </c>
      <c r="Q61" s="714">
        <f t="shared" si="8"/>
        <v>0</v>
      </c>
      <c r="R61" s="714">
        <f ca="1">R46+R52+R56</f>
        <v>1399618.7828125576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0.19605810541488139</v>
      </c>
      <c r="D63" s="755">
        <f t="shared" ca="1" si="9"/>
        <v>0.12626137238349919</v>
      </c>
      <c r="E63" s="989">
        <f t="shared" ca="1" si="9"/>
        <v>0.20200000000000004</v>
      </c>
      <c r="F63" s="755">
        <f t="shared" si="9"/>
        <v>0.22700000000000001</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105037.34461857929</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55464.214076202166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7181.0678789247795</v>
      </c>
      <c r="C76" s="724">
        <f>'lokale energieproductie'!B8*IFERROR(SUM(D76:H76)/SUM(D76:O76),0)</f>
        <v>6506.4321210752205</v>
      </c>
      <c r="D76" s="999">
        <f>'lokale energieproductie'!C8</f>
        <v>4853.5574489720902</v>
      </c>
      <c r="E76" s="1000">
        <f>'lokale energieproductie'!D8</f>
        <v>0</v>
      </c>
      <c r="F76" s="1000">
        <f>'lokale energieproductie'!E8</f>
        <v>2800.6888756808371</v>
      </c>
      <c r="G76" s="1000">
        <f>'lokale energieproductie'!F8</f>
        <v>0</v>
      </c>
      <c r="H76" s="1000">
        <f>'lokale energieproductie'!G8</f>
        <v>0</v>
      </c>
      <c r="I76" s="1000">
        <f>'lokale energieproductie'!I8</f>
        <v>8447.896081371835</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1728.2025344991457</v>
      </c>
      <c r="R76" s="826">
        <v>0</v>
      </c>
    </row>
    <row r="77" spans="1:18" ht="30.75" thickBot="1">
      <c r="A77" s="727" t="s">
        <v>352</v>
      </c>
      <c r="B77" s="724">
        <f>'lokale energieproductie'!B9*IFERROR(SUM(I77:O77)/SUM(D77:O77),0)</f>
        <v>1858.5</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5310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169541.12657370622</v>
      </c>
      <c r="C78" s="729">
        <f>SUM(C72:C77)</f>
        <v>6506.4321210752205</v>
      </c>
      <c r="D78" s="730">
        <f t="shared" ref="D78:H78" si="10">SUM(D76:D77)</f>
        <v>4853.5574489720902</v>
      </c>
      <c r="E78" s="730">
        <f t="shared" si="10"/>
        <v>0</v>
      </c>
      <c r="F78" s="730">
        <f t="shared" si="10"/>
        <v>2800.6888756808371</v>
      </c>
      <c r="G78" s="730">
        <f t="shared" si="10"/>
        <v>0</v>
      </c>
      <c r="H78" s="730">
        <f t="shared" si="10"/>
        <v>0</v>
      </c>
      <c r="I78" s="730">
        <f>SUM(I76:I77)</f>
        <v>8447.896081371835</v>
      </c>
      <c r="J78" s="730">
        <f>SUM(J76:J77)</f>
        <v>5310</v>
      </c>
      <c r="K78" s="730">
        <f t="shared" ref="K78:L78" si="11">SUM(K76:K77)</f>
        <v>0</v>
      </c>
      <c r="L78" s="730">
        <f t="shared" si="11"/>
        <v>0</v>
      </c>
      <c r="M78" s="730">
        <f>SUM(M76:M77)</f>
        <v>0</v>
      </c>
      <c r="N78" s="730">
        <f>SUM(N76:N77)</f>
        <v>0</v>
      </c>
      <c r="O78" s="834">
        <f>SUM(O76:O77)</f>
        <v>0</v>
      </c>
      <c r="P78" s="731">
        <v>0</v>
      </c>
      <c r="Q78" s="731">
        <f>SUM(Q76:Q77)</f>
        <v>1728.2025344991457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8683.9065874181142</v>
      </c>
      <c r="C87" s="740">
        <f>'lokale energieproductie'!B17*IFERROR(SUM(D87:H87)/SUM(D87:O87),0)</f>
        <v>7868.0844840104546</v>
      </c>
      <c r="D87" s="751">
        <f>'lokale energieproductie'!C17</f>
        <v>5869.2996938850529</v>
      </c>
      <c r="E87" s="751">
        <f>'lokale energieproductie'!D17</f>
        <v>0</v>
      </c>
      <c r="F87" s="751">
        <f>'lokale energieproductie'!E17</f>
        <v>3386.8111243191624</v>
      </c>
      <c r="G87" s="751">
        <f>'lokale energieproductie'!F17</f>
        <v>0</v>
      </c>
      <c r="H87" s="751">
        <f>'lokale energieproductie'!G17</f>
        <v>0</v>
      </c>
      <c r="I87" s="751">
        <f>'lokale energieproductie'!I17</f>
        <v>10215.853918628163</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2089.8771083579973</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8683.9065874181142</v>
      </c>
      <c r="C90" s="729">
        <f>SUM(C87:C89)</f>
        <v>7868.0844840104546</v>
      </c>
      <c r="D90" s="729">
        <f t="shared" ref="D90:H90" si="12">SUM(D87:D89)</f>
        <v>5869.2996938850529</v>
      </c>
      <c r="E90" s="729">
        <f t="shared" si="12"/>
        <v>0</v>
      </c>
      <c r="F90" s="729">
        <f t="shared" si="12"/>
        <v>3386.8111243191624</v>
      </c>
      <c r="G90" s="729">
        <f t="shared" si="12"/>
        <v>0</v>
      </c>
      <c r="H90" s="729">
        <f t="shared" si="12"/>
        <v>0</v>
      </c>
      <c r="I90" s="729">
        <f>SUM(I87:I89)</f>
        <v>10215.853918628163</v>
      </c>
      <c r="J90" s="729">
        <f>SUM(J87:J89)</f>
        <v>0</v>
      </c>
      <c r="K90" s="729">
        <f t="shared" ref="K90:L90" si="13">SUM(K87:K89)</f>
        <v>0</v>
      </c>
      <c r="L90" s="729">
        <f t="shared" si="13"/>
        <v>0</v>
      </c>
      <c r="M90" s="729">
        <f>SUM(M87:M89)</f>
        <v>0</v>
      </c>
      <c r="N90" s="729">
        <f>SUM(N87:N89)</f>
        <v>0</v>
      </c>
      <c r="O90" s="729">
        <f>SUM(O87:O89)</f>
        <v>0</v>
      </c>
      <c r="P90" s="729">
        <v>0</v>
      </c>
      <c r="Q90" s="729">
        <f>SUM(Q87:Q89)</f>
        <v>2089.8771083579973</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2"/>
  <sheetViews>
    <sheetView showGridLines="0" topLeftCell="A297" zoomScale="65" zoomScaleNormal="65" workbookViewId="0">
      <selection activeCell="M39" sqref="M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105037.34461857929</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55464.214076202166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N40</f>
        <v>13687.5</v>
      </c>
      <c r="C8" s="544">
        <f>B59</f>
        <v>4853.5574489720902</v>
      </c>
      <c r="D8" s="1009"/>
      <c r="E8" s="1009">
        <f>E59</f>
        <v>2800.6888756808371</v>
      </c>
      <c r="F8" s="1010"/>
      <c r="G8" s="545"/>
      <c r="H8" s="1009">
        <f>I59</f>
        <v>0</v>
      </c>
      <c r="I8" s="1009">
        <f>G59+F59</f>
        <v>8447.896081371835</v>
      </c>
      <c r="J8" s="1009">
        <f>H59+D59+C59</f>
        <v>0</v>
      </c>
      <c r="K8" s="1009"/>
      <c r="L8" s="1009"/>
      <c r="M8" s="1009"/>
      <c r="N8" s="546"/>
      <c r="O8" s="547">
        <f>C8*$C$12+D8*$D$12+E8*$E$12+F8*$F$12+G8*$G$12+H8*$H$12+I8*$I$12+J8*$J$12</f>
        <v>1728.2025344991457</v>
      </c>
      <c r="P8" s="1239"/>
      <c r="Q8" s="1240"/>
      <c r="S8" s="973"/>
      <c r="T8" s="1260"/>
      <c r="U8" s="1260"/>
    </row>
    <row r="9" spans="1:21" s="533" customFormat="1" ht="17.45" customHeight="1" thickBot="1">
      <c r="A9" s="548" t="s">
        <v>247</v>
      </c>
      <c r="B9" s="549">
        <f>N47+'Eigen informatie GS &amp; warmtenet'!B12</f>
        <v>1858.5</v>
      </c>
      <c r="C9" s="550">
        <f>P47+IF(ISERROR(('Eigen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(T47+U47)+IF(ISERROR('Eigen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V47+Q47+R47+IF(ISERROR('Eigen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176047.55869478144</v>
      </c>
      <c r="C10" s="557">
        <f t="shared" ref="C10:L10" si="0">SUM(C8:C9)</f>
        <v>4853.5574489720902</v>
      </c>
      <c r="D10" s="557">
        <f t="shared" si="0"/>
        <v>0</v>
      </c>
      <c r="E10" s="557">
        <f t="shared" si="0"/>
        <v>2800.6888756808371</v>
      </c>
      <c r="F10" s="557">
        <f t="shared" si="0"/>
        <v>0</v>
      </c>
      <c r="G10" s="557">
        <f t="shared" si="0"/>
        <v>0</v>
      </c>
      <c r="H10" s="557">
        <f t="shared" si="0"/>
        <v>0</v>
      </c>
      <c r="I10" s="557">
        <f t="shared" si="0"/>
        <v>8447.896081371835</v>
      </c>
      <c r="J10" s="557">
        <f t="shared" si="0"/>
        <v>5310</v>
      </c>
      <c r="K10" s="557">
        <f t="shared" si="0"/>
        <v>0</v>
      </c>
      <c r="L10" s="557">
        <f t="shared" si="0"/>
        <v>0</v>
      </c>
      <c r="M10" s="1012"/>
      <c r="N10" s="1012"/>
      <c r="O10" s="558">
        <f>SUM(O4:O9)</f>
        <v>1728.2025344991457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O40</f>
        <v>16551.991071428569</v>
      </c>
      <c r="C17" s="569">
        <f>B60</f>
        <v>5869.2996938850529</v>
      </c>
      <c r="D17" s="570"/>
      <c r="E17" s="570">
        <f>E60</f>
        <v>3386.8111243191624</v>
      </c>
      <c r="F17" s="1015"/>
      <c r="G17" s="571"/>
      <c r="H17" s="569">
        <f>I60</f>
        <v>0</v>
      </c>
      <c r="I17" s="570">
        <f>G60+F60</f>
        <v>10215.853918628163</v>
      </c>
      <c r="J17" s="570">
        <f>H60+D60+C60</f>
        <v>0</v>
      </c>
      <c r="K17" s="570"/>
      <c r="L17" s="570"/>
      <c r="M17" s="570"/>
      <c r="N17" s="1016"/>
      <c r="O17" s="572">
        <f>C17*$C$22+E17*$E$22+H17*$H$22+I17*$I$22+J17*$J$22+D17*$D$22+F17*$F$22+G17*$G$22+K17*$K$22+L17*$L$22</f>
        <v>2089.8771083579973</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16551.991071428569</v>
      </c>
      <c r="C20" s="556">
        <f>SUM(C17:C19)</f>
        <v>5869.2996938850529</v>
      </c>
      <c r="D20" s="556">
        <f t="shared" ref="D20:L20" si="1">SUM(D17:D19)</f>
        <v>0</v>
      </c>
      <c r="E20" s="556">
        <f t="shared" si="1"/>
        <v>3386.8111243191624</v>
      </c>
      <c r="F20" s="556">
        <f t="shared" si="1"/>
        <v>0</v>
      </c>
      <c r="G20" s="556">
        <f t="shared" si="1"/>
        <v>0</v>
      </c>
      <c r="H20" s="556">
        <f t="shared" si="1"/>
        <v>0</v>
      </c>
      <c r="I20" s="556">
        <f t="shared" si="1"/>
        <v>10215.853918628163</v>
      </c>
      <c r="J20" s="556">
        <f t="shared" si="1"/>
        <v>0</v>
      </c>
      <c r="K20" s="556">
        <f t="shared" si="1"/>
        <v>0</v>
      </c>
      <c r="L20" s="556">
        <f t="shared" si="1"/>
        <v>0</v>
      </c>
      <c r="M20" s="556"/>
      <c r="N20" s="556"/>
      <c r="O20" s="575">
        <f>SUM(O17:O19)</f>
        <v>2089.8771083579973</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38.25">
      <c r="A28" s="579"/>
      <c r="B28" s="770">
        <v>44021</v>
      </c>
      <c r="C28" s="770">
        <v>9042</v>
      </c>
      <c r="D28" s="627" t="s">
        <v>896</v>
      </c>
      <c r="E28" s="626" t="s">
        <v>897</v>
      </c>
      <c r="F28" s="626" t="s">
        <v>898</v>
      </c>
      <c r="G28" s="626" t="s">
        <v>899</v>
      </c>
      <c r="H28" s="626" t="s">
        <v>900</v>
      </c>
      <c r="I28" s="626" t="s">
        <v>901</v>
      </c>
      <c r="J28" s="769">
        <v>39812</v>
      </c>
      <c r="K28" s="769">
        <v>39812</v>
      </c>
      <c r="L28" s="626" t="s">
        <v>902</v>
      </c>
      <c r="M28" s="626">
        <v>2200</v>
      </c>
      <c r="N28" s="626">
        <v>9900</v>
      </c>
      <c r="O28" s="626">
        <v>11137.5</v>
      </c>
      <c r="P28" s="626">
        <v>0</v>
      </c>
      <c r="Q28" s="626">
        <v>0</v>
      </c>
      <c r="R28" s="626">
        <v>0</v>
      </c>
      <c r="S28" s="626">
        <v>6187.5</v>
      </c>
      <c r="T28" s="626">
        <v>18562.5</v>
      </c>
      <c r="U28" s="626">
        <v>0</v>
      </c>
      <c r="V28" s="626">
        <v>0</v>
      </c>
      <c r="W28" s="626">
        <v>0</v>
      </c>
      <c r="X28" s="626">
        <v>300</v>
      </c>
      <c r="Y28" s="626" t="s">
        <v>33</v>
      </c>
      <c r="Z28" s="628" t="s">
        <v>388</v>
      </c>
    </row>
    <row r="29" spans="1:26" s="580" customFormat="1" ht="63.75">
      <c r="A29" s="579"/>
      <c r="B29" s="770">
        <v>44021</v>
      </c>
      <c r="C29" s="770">
        <v>9031</v>
      </c>
      <c r="D29" s="627" t="s">
        <v>903</v>
      </c>
      <c r="E29" s="626" t="s">
        <v>904</v>
      </c>
      <c r="F29" s="626" t="s">
        <v>905</v>
      </c>
      <c r="G29" s="626" t="s">
        <v>899</v>
      </c>
      <c r="H29" s="626" t="s">
        <v>900</v>
      </c>
      <c r="I29" s="626" t="s">
        <v>904</v>
      </c>
      <c r="J29" s="769">
        <v>40096</v>
      </c>
      <c r="K29" s="769">
        <v>40179</v>
      </c>
      <c r="L29" s="626" t="s">
        <v>902</v>
      </c>
      <c r="M29" s="626">
        <v>9</v>
      </c>
      <c r="N29" s="626">
        <v>40.5</v>
      </c>
      <c r="O29" s="626">
        <v>45.5625</v>
      </c>
      <c r="P29" s="626">
        <v>0</v>
      </c>
      <c r="Q29" s="626">
        <v>0</v>
      </c>
      <c r="R29" s="626">
        <v>0</v>
      </c>
      <c r="S29" s="626">
        <v>0</v>
      </c>
      <c r="T29" s="626">
        <v>0</v>
      </c>
      <c r="U29" s="626">
        <v>101.25</v>
      </c>
      <c r="V29" s="626">
        <v>0</v>
      </c>
      <c r="W29" s="626">
        <v>0</v>
      </c>
      <c r="X29" s="626">
        <v>1600</v>
      </c>
      <c r="Y29" s="626" t="s">
        <v>49</v>
      </c>
      <c r="Z29" s="628" t="s">
        <v>155</v>
      </c>
    </row>
    <row r="30" spans="1:26" s="580" customFormat="1" ht="25.5">
      <c r="A30" s="579"/>
      <c r="B30" s="770">
        <v>44021</v>
      </c>
      <c r="C30" s="770">
        <v>9040</v>
      </c>
      <c r="D30" s="627" t="s">
        <v>906</v>
      </c>
      <c r="E30" s="626" t="s">
        <v>907</v>
      </c>
      <c r="F30" s="626" t="s">
        <v>908</v>
      </c>
      <c r="G30" s="626" t="s">
        <v>899</v>
      </c>
      <c r="H30" s="626" t="s">
        <v>909</v>
      </c>
      <c r="I30" s="626" t="s">
        <v>907</v>
      </c>
      <c r="J30" s="769">
        <v>41003</v>
      </c>
      <c r="K30" s="769">
        <v>41003</v>
      </c>
      <c r="L30" s="626" t="s">
        <v>902</v>
      </c>
      <c r="M30" s="626">
        <v>70</v>
      </c>
      <c r="N30" s="626">
        <v>315.00000000000006</v>
      </c>
      <c r="O30" s="626">
        <v>450.00000000000011</v>
      </c>
      <c r="P30" s="626">
        <v>900.00000000000023</v>
      </c>
      <c r="Q30" s="626">
        <v>0</v>
      </c>
      <c r="R30" s="626">
        <v>0</v>
      </c>
      <c r="S30" s="626">
        <v>0</v>
      </c>
      <c r="T30" s="626">
        <v>0</v>
      </c>
      <c r="U30" s="626">
        <v>0</v>
      </c>
      <c r="V30" s="626">
        <v>0</v>
      </c>
      <c r="W30" s="626">
        <v>0</v>
      </c>
      <c r="X30" s="626">
        <v>1300</v>
      </c>
      <c r="Y30" s="626" t="s">
        <v>53</v>
      </c>
      <c r="Z30" s="628" t="s">
        <v>155</v>
      </c>
    </row>
    <row r="31" spans="1:26" s="580" customFormat="1" ht="25.5">
      <c r="A31" s="579"/>
      <c r="B31" s="770">
        <v>44021</v>
      </c>
      <c r="C31" s="770">
        <v>9000</v>
      </c>
      <c r="D31" s="627" t="s">
        <v>910</v>
      </c>
      <c r="E31" s="626" t="s">
        <v>911</v>
      </c>
      <c r="F31" s="626" t="s">
        <v>912</v>
      </c>
      <c r="G31" s="626" t="s">
        <v>899</v>
      </c>
      <c r="H31" s="626" t="s">
        <v>909</v>
      </c>
      <c r="I31" s="626" t="s">
        <v>911</v>
      </c>
      <c r="J31" s="769">
        <v>40928</v>
      </c>
      <c r="K31" s="769">
        <v>41030</v>
      </c>
      <c r="L31" s="626" t="s">
        <v>902</v>
      </c>
      <c r="M31" s="626">
        <v>5</v>
      </c>
      <c r="N31" s="626">
        <v>22.5</v>
      </c>
      <c r="O31" s="626">
        <v>32.142857142857146</v>
      </c>
      <c r="P31" s="626">
        <v>64.285714285714292</v>
      </c>
      <c r="Q31" s="626">
        <v>0</v>
      </c>
      <c r="R31" s="626">
        <v>0</v>
      </c>
      <c r="S31" s="626">
        <v>0</v>
      </c>
      <c r="T31" s="626">
        <v>0</v>
      </c>
      <c r="U31" s="626">
        <v>0</v>
      </c>
      <c r="V31" s="626">
        <v>0</v>
      </c>
      <c r="W31" s="626">
        <v>0</v>
      </c>
      <c r="X31" s="626">
        <v>1300</v>
      </c>
      <c r="Y31" s="626" t="s">
        <v>53</v>
      </c>
      <c r="Z31" s="628" t="s">
        <v>155</v>
      </c>
    </row>
    <row r="32" spans="1:26" s="580" customFormat="1" ht="51">
      <c r="A32" s="579"/>
      <c r="B32" s="770">
        <v>44021</v>
      </c>
      <c r="C32" s="770">
        <v>9000</v>
      </c>
      <c r="D32" s="627" t="s">
        <v>913</v>
      </c>
      <c r="E32" s="626" t="s">
        <v>914</v>
      </c>
      <c r="F32" s="626" t="s">
        <v>915</v>
      </c>
      <c r="G32" s="626" t="s">
        <v>899</v>
      </c>
      <c r="H32" s="626" t="s">
        <v>909</v>
      </c>
      <c r="I32" s="626" t="s">
        <v>914</v>
      </c>
      <c r="J32" s="769">
        <v>41618</v>
      </c>
      <c r="K32" s="769">
        <v>41660</v>
      </c>
      <c r="L32" s="626" t="s">
        <v>902</v>
      </c>
      <c r="M32" s="626">
        <v>509</v>
      </c>
      <c r="N32" s="626">
        <v>2290.5</v>
      </c>
      <c r="O32" s="626">
        <v>3272.1428571428573</v>
      </c>
      <c r="P32" s="626">
        <v>6544.2857142857147</v>
      </c>
      <c r="Q32" s="626">
        <v>0</v>
      </c>
      <c r="R32" s="626">
        <v>0</v>
      </c>
      <c r="S32" s="626">
        <v>0</v>
      </c>
      <c r="T32" s="626">
        <v>0</v>
      </c>
      <c r="U32" s="626">
        <v>0</v>
      </c>
      <c r="V32" s="626">
        <v>0</v>
      </c>
      <c r="W32" s="626">
        <v>0</v>
      </c>
      <c r="X32" s="626">
        <v>1501</v>
      </c>
      <c r="Y32" s="626" t="s">
        <v>50</v>
      </c>
      <c r="Z32" s="628" t="s">
        <v>155</v>
      </c>
    </row>
    <row r="33" spans="1:26" s="580" customFormat="1" ht="25.5">
      <c r="A33" s="579"/>
      <c r="B33" s="770">
        <v>44021</v>
      </c>
      <c r="C33" s="770">
        <v>9031</v>
      </c>
      <c r="D33" s="627" t="s">
        <v>916</v>
      </c>
      <c r="E33" s="626" t="s">
        <v>917</v>
      </c>
      <c r="F33" s="626" t="s">
        <v>918</v>
      </c>
      <c r="G33" s="626" t="s">
        <v>919</v>
      </c>
      <c r="H33" s="626" t="s">
        <v>919</v>
      </c>
      <c r="I33" s="626" t="s">
        <v>917</v>
      </c>
      <c r="J33" s="769">
        <v>41549</v>
      </c>
      <c r="K33" s="769">
        <v>41688</v>
      </c>
      <c r="L33" s="626" t="s">
        <v>902</v>
      </c>
      <c r="M33" s="626">
        <v>1</v>
      </c>
      <c r="N33" s="626">
        <v>4.5</v>
      </c>
      <c r="O33" s="626">
        <v>22.5</v>
      </c>
      <c r="P33" s="626">
        <v>30</v>
      </c>
      <c r="Q33" s="626">
        <v>0</v>
      </c>
      <c r="R33" s="626">
        <v>0</v>
      </c>
      <c r="S33" s="626">
        <v>0</v>
      </c>
      <c r="T33" s="626">
        <v>0</v>
      </c>
      <c r="U33" s="626">
        <v>0</v>
      </c>
      <c r="V33" s="626">
        <v>0</v>
      </c>
      <c r="W33" s="626">
        <v>0</v>
      </c>
      <c r="X33" s="626">
        <v>1300</v>
      </c>
      <c r="Y33" s="626" t="s">
        <v>53</v>
      </c>
      <c r="Z33" s="628" t="s">
        <v>155</v>
      </c>
    </row>
    <row r="34" spans="1:26" s="580" customFormat="1" ht="38.25">
      <c r="A34" s="579"/>
      <c r="B34" s="770">
        <v>44021</v>
      </c>
      <c r="C34" s="770">
        <v>9050</v>
      </c>
      <c r="D34" s="627" t="s">
        <v>920</v>
      </c>
      <c r="E34" s="626" t="s">
        <v>921</v>
      </c>
      <c r="F34" s="626" t="s">
        <v>922</v>
      </c>
      <c r="G34" s="626" t="s">
        <v>899</v>
      </c>
      <c r="H34" s="626" t="s">
        <v>909</v>
      </c>
      <c r="I34" s="626" t="s">
        <v>921</v>
      </c>
      <c r="J34" s="769">
        <v>41767</v>
      </c>
      <c r="K34" s="769">
        <v>41767</v>
      </c>
      <c r="L34" s="626" t="s">
        <v>902</v>
      </c>
      <c r="M34" s="626">
        <v>5.5</v>
      </c>
      <c r="N34" s="626">
        <v>24.75</v>
      </c>
      <c r="O34" s="626">
        <v>35.357142857142861</v>
      </c>
      <c r="P34" s="626">
        <v>70.714285714285722</v>
      </c>
      <c r="Q34" s="626">
        <v>0</v>
      </c>
      <c r="R34" s="626">
        <v>0</v>
      </c>
      <c r="S34" s="626">
        <v>0</v>
      </c>
      <c r="T34" s="626">
        <v>0</v>
      </c>
      <c r="U34" s="626">
        <v>0</v>
      </c>
      <c r="V34" s="626">
        <v>0</v>
      </c>
      <c r="W34" s="626">
        <v>0</v>
      </c>
      <c r="X34" s="626">
        <v>1300</v>
      </c>
      <c r="Y34" s="626" t="s">
        <v>53</v>
      </c>
      <c r="Z34" s="628" t="s">
        <v>155</v>
      </c>
    </row>
    <row r="35" spans="1:26" s="580" customFormat="1" ht="25.5">
      <c r="A35" s="579"/>
      <c r="B35" s="770">
        <v>44021</v>
      </c>
      <c r="C35" s="770">
        <v>9000</v>
      </c>
      <c r="D35" s="627"/>
      <c r="E35" s="626"/>
      <c r="F35" s="626" t="s">
        <v>923</v>
      </c>
      <c r="G35" s="626" t="s">
        <v>899</v>
      </c>
      <c r="H35" s="626" t="s">
        <v>909</v>
      </c>
      <c r="I35" s="626" t="s">
        <v>924</v>
      </c>
      <c r="J35" s="769">
        <v>41597</v>
      </c>
      <c r="K35" s="769">
        <v>41604</v>
      </c>
      <c r="L35" s="626" t="s">
        <v>902</v>
      </c>
      <c r="M35" s="626">
        <v>70</v>
      </c>
      <c r="N35" s="626">
        <v>315.00000000000006</v>
      </c>
      <c r="O35" s="626">
        <v>450.00000000000011</v>
      </c>
      <c r="P35" s="626">
        <v>900.00000000000023</v>
      </c>
      <c r="Q35" s="626">
        <v>0</v>
      </c>
      <c r="R35" s="626">
        <v>0</v>
      </c>
      <c r="S35" s="626">
        <v>0</v>
      </c>
      <c r="T35" s="626">
        <v>0</v>
      </c>
      <c r="U35" s="626">
        <v>0</v>
      </c>
      <c r="V35" s="626">
        <v>0</v>
      </c>
      <c r="W35" s="626">
        <v>0</v>
      </c>
      <c r="X35" s="626">
        <v>1300</v>
      </c>
      <c r="Y35" s="626" t="s">
        <v>53</v>
      </c>
      <c r="Z35" s="628" t="s">
        <v>155</v>
      </c>
    </row>
    <row r="36" spans="1:26" s="580" customFormat="1" ht="25.5">
      <c r="A36" s="579"/>
      <c r="B36" s="770">
        <v>44021</v>
      </c>
      <c r="C36" s="770">
        <v>9000</v>
      </c>
      <c r="D36" s="627" t="s">
        <v>925</v>
      </c>
      <c r="E36" s="626" t="s">
        <v>926</v>
      </c>
      <c r="F36" s="626" t="s">
        <v>927</v>
      </c>
      <c r="G36" s="626" t="s">
        <v>899</v>
      </c>
      <c r="H36" s="626" t="s">
        <v>909</v>
      </c>
      <c r="I36" s="626" t="s">
        <v>928</v>
      </c>
      <c r="J36" s="769">
        <v>41970</v>
      </c>
      <c r="K36" s="769">
        <v>42224</v>
      </c>
      <c r="L36" s="626" t="s">
        <v>902</v>
      </c>
      <c r="M36" s="626">
        <v>238</v>
      </c>
      <c r="N36" s="626">
        <v>357</v>
      </c>
      <c r="O36" s="626">
        <v>510</v>
      </c>
      <c r="P36" s="626">
        <v>1020.0000000000001</v>
      </c>
      <c r="Q36" s="626">
        <v>0</v>
      </c>
      <c r="R36" s="626">
        <v>0</v>
      </c>
      <c r="S36" s="626">
        <v>0</v>
      </c>
      <c r="T36" s="626">
        <v>0</v>
      </c>
      <c r="U36" s="626">
        <v>0</v>
      </c>
      <c r="V36" s="626">
        <v>0</v>
      </c>
      <c r="W36" s="626">
        <v>0</v>
      </c>
      <c r="X36" s="626">
        <v>1400</v>
      </c>
      <c r="Y36" s="626" t="s">
        <v>158</v>
      </c>
      <c r="Z36" s="628" t="s">
        <v>155</v>
      </c>
    </row>
    <row r="37" spans="1:26" s="580" customFormat="1" ht="25.5">
      <c r="A37" s="579"/>
      <c r="B37" s="770">
        <v>44021</v>
      </c>
      <c r="C37" s="770">
        <v>9000</v>
      </c>
      <c r="D37" s="627" t="s">
        <v>925</v>
      </c>
      <c r="E37" s="626" t="s">
        <v>926</v>
      </c>
      <c r="F37" s="626" t="s">
        <v>929</v>
      </c>
      <c r="G37" s="626" t="s">
        <v>899</v>
      </c>
      <c r="H37" s="626" t="s">
        <v>909</v>
      </c>
      <c r="I37" s="626" t="s">
        <v>930</v>
      </c>
      <c r="J37" s="769">
        <v>41795</v>
      </c>
      <c r="K37" s="769">
        <v>42221</v>
      </c>
      <c r="L37" s="626" t="s">
        <v>902</v>
      </c>
      <c r="M37" s="626">
        <v>238</v>
      </c>
      <c r="N37" s="626">
        <v>357</v>
      </c>
      <c r="O37" s="626">
        <v>510</v>
      </c>
      <c r="P37" s="626">
        <v>1020.0000000000001</v>
      </c>
      <c r="Q37" s="626">
        <v>0</v>
      </c>
      <c r="R37" s="626">
        <v>0</v>
      </c>
      <c r="S37" s="626">
        <v>0</v>
      </c>
      <c r="T37" s="626">
        <v>0</v>
      </c>
      <c r="U37" s="626">
        <v>0</v>
      </c>
      <c r="V37" s="626">
        <v>0</v>
      </c>
      <c r="W37" s="626">
        <v>0</v>
      </c>
      <c r="X37" s="626">
        <v>1400</v>
      </c>
      <c r="Y37" s="626" t="s">
        <v>158</v>
      </c>
      <c r="Z37" s="628" t="s">
        <v>155</v>
      </c>
    </row>
    <row r="38" spans="1:26" s="580" customFormat="1" ht="25.5">
      <c r="A38" s="579"/>
      <c r="B38" s="770">
        <v>44021</v>
      </c>
      <c r="C38" s="770">
        <v>9000</v>
      </c>
      <c r="D38" s="627" t="s">
        <v>931</v>
      </c>
      <c r="E38" s="626" t="s">
        <v>932</v>
      </c>
      <c r="F38" s="626" t="s">
        <v>933</v>
      </c>
      <c r="G38" s="626" t="s">
        <v>899</v>
      </c>
      <c r="H38" s="626" t="s">
        <v>909</v>
      </c>
      <c r="I38" s="626" t="s">
        <v>932</v>
      </c>
      <c r="J38" s="769">
        <v>42110</v>
      </c>
      <c r="K38" s="769">
        <v>42110</v>
      </c>
      <c r="L38" s="626" t="s">
        <v>902</v>
      </c>
      <c r="M38" s="626">
        <v>9</v>
      </c>
      <c r="N38" s="626">
        <v>26.999999999999996</v>
      </c>
      <c r="O38" s="626">
        <v>38.571428571428569</v>
      </c>
      <c r="P38" s="626">
        <v>77.142857142857139</v>
      </c>
      <c r="Q38" s="626">
        <v>0</v>
      </c>
      <c r="R38" s="626">
        <v>0</v>
      </c>
      <c r="S38" s="626">
        <v>0</v>
      </c>
      <c r="T38" s="626">
        <v>0</v>
      </c>
      <c r="U38" s="626">
        <v>0</v>
      </c>
      <c r="V38" s="626">
        <v>0</v>
      </c>
      <c r="W38" s="626">
        <v>0</v>
      </c>
      <c r="X38" s="626">
        <v>1200</v>
      </c>
      <c r="Y38" s="626" t="s">
        <v>934</v>
      </c>
      <c r="Z38" s="628" t="s">
        <v>155</v>
      </c>
    </row>
    <row r="39" spans="1:26" s="580" customFormat="1" ht="25.5">
      <c r="A39" s="579"/>
      <c r="B39" s="770">
        <v>44021</v>
      </c>
      <c r="C39" s="770">
        <v>9000</v>
      </c>
      <c r="D39" s="627" t="s">
        <v>935</v>
      </c>
      <c r="E39" s="626" t="s">
        <v>936</v>
      </c>
      <c r="F39" s="626" t="s">
        <v>937</v>
      </c>
      <c r="G39" s="626" t="s">
        <v>899</v>
      </c>
      <c r="H39" s="626" t="s">
        <v>909</v>
      </c>
      <c r="I39" s="626" t="s">
        <v>938</v>
      </c>
      <c r="J39" s="769">
        <v>42040</v>
      </c>
      <c r="K39" s="769">
        <v>42040</v>
      </c>
      <c r="L39" s="626" t="s">
        <v>902</v>
      </c>
      <c r="M39" s="626">
        <v>9</v>
      </c>
      <c r="N39" s="626">
        <v>33.75</v>
      </c>
      <c r="O39" s="626">
        <v>48.214285714285715</v>
      </c>
      <c r="P39" s="626">
        <v>96.428571428571431</v>
      </c>
      <c r="Q39" s="626">
        <v>0</v>
      </c>
      <c r="R39" s="626">
        <v>0</v>
      </c>
      <c r="S39" s="626">
        <v>0</v>
      </c>
      <c r="T39" s="626">
        <v>0</v>
      </c>
      <c r="U39" s="626">
        <v>0</v>
      </c>
      <c r="V39" s="626">
        <v>0</v>
      </c>
      <c r="W39" s="626">
        <v>0</v>
      </c>
      <c r="X39" s="626">
        <v>1100</v>
      </c>
      <c r="Y39" s="626" t="s">
        <v>51</v>
      </c>
      <c r="Z39" s="628" t="s">
        <v>155</v>
      </c>
    </row>
    <row r="40" spans="1:26" s="564" customFormat="1">
      <c r="A40" s="582" t="s">
        <v>279</v>
      </c>
      <c r="B40" s="583"/>
      <c r="C40" s="583"/>
      <c r="D40" s="583"/>
      <c r="E40" s="583"/>
      <c r="F40" s="583"/>
      <c r="G40" s="583"/>
      <c r="H40" s="583"/>
      <c r="I40" s="583"/>
      <c r="J40" s="583"/>
      <c r="K40" s="583"/>
      <c r="L40" s="584"/>
      <c r="M40" s="584">
        <f>SUM(M28:M39)</f>
        <v>3363.5</v>
      </c>
      <c r="N40" s="584">
        <f>SUM(N28:N39)</f>
        <v>13687.5</v>
      </c>
      <c r="O40" s="584">
        <f>SUM(O28:O39)</f>
        <v>16551.991071428569</v>
      </c>
      <c r="P40" s="584">
        <f>SUM(P28:P39)</f>
        <v>10722.857142857143</v>
      </c>
      <c r="Q40" s="584">
        <f>SUM(Q28:Q39)</f>
        <v>0</v>
      </c>
      <c r="R40" s="584">
        <f>SUM(R28:R39)</f>
        <v>0</v>
      </c>
      <c r="S40" s="584">
        <f>SUM(S28:S39)</f>
        <v>6187.5</v>
      </c>
      <c r="T40" s="584">
        <f>SUM(T28:T39)</f>
        <v>18562.5</v>
      </c>
      <c r="U40" s="584">
        <f>SUM(U28:U39)</f>
        <v>101.25</v>
      </c>
      <c r="V40" s="584">
        <f>SUM(V28:V39)</f>
        <v>0</v>
      </c>
      <c r="W40" s="584">
        <f>SUM(W28:W39)</f>
        <v>0</v>
      </c>
      <c r="X40" s="585"/>
      <c r="Y40" s="585"/>
      <c r="Z40" s="586"/>
    </row>
    <row r="41" spans="1:26" s="564" customFormat="1">
      <c r="A41" s="582" t="s">
        <v>286</v>
      </c>
      <c r="B41" s="583"/>
      <c r="C41" s="583"/>
      <c r="D41" s="583"/>
      <c r="E41" s="583"/>
      <c r="F41" s="583"/>
      <c r="G41" s="583"/>
      <c r="H41" s="583"/>
      <c r="I41" s="583"/>
      <c r="J41" s="583"/>
      <c r="K41" s="583"/>
      <c r="L41" s="584"/>
      <c r="M41" s="584">
        <f>SUMIF($Z$28:$Z$39,"industrie",M28:M39)</f>
        <v>2200</v>
      </c>
      <c r="N41" s="584">
        <f>SUMIF($Z$28:$Z$39,"industrie",N28:N39)</f>
        <v>9900</v>
      </c>
      <c r="O41" s="584">
        <f>SUMIF($Z$28:$Z$39,"industrie",O28:O39)</f>
        <v>11137.5</v>
      </c>
      <c r="P41" s="584">
        <f>SUMIF($Z$28:$Z$39,"industrie",P28:P39)</f>
        <v>0</v>
      </c>
      <c r="Q41" s="584">
        <f>SUMIF($Z$28:$Z$39,"industrie",Q28:Q39)</f>
        <v>0</v>
      </c>
      <c r="R41" s="584">
        <f>SUMIF($Z$28:$Z$39,"industrie",R28:R39)</f>
        <v>0</v>
      </c>
      <c r="S41" s="584">
        <f>SUMIF($Z$28:$Z$39,"industrie",S28:S39)</f>
        <v>6187.5</v>
      </c>
      <c r="T41" s="584">
        <f>SUMIF($Z$28:$Z$39,"industrie",T28:T39)</f>
        <v>18562.5</v>
      </c>
      <c r="U41" s="584">
        <f>SUMIF($Z$28:$Z$39,"industrie",U28:U39)</f>
        <v>0</v>
      </c>
      <c r="V41" s="584">
        <f>SUMIF($Z$28:$Z$39,"industrie",V28:V39)</f>
        <v>0</v>
      </c>
      <c r="W41" s="584">
        <f>SUMIF($Z$28:$Z$39,"industrie",W28:W39)</f>
        <v>0</v>
      </c>
      <c r="X41" s="585"/>
      <c r="Y41" s="585"/>
      <c r="Z41" s="586"/>
    </row>
    <row r="42" spans="1:26" s="564" customFormat="1">
      <c r="A42" s="582" t="s">
        <v>287</v>
      </c>
      <c r="B42" s="583"/>
      <c r="C42" s="583"/>
      <c r="D42" s="583"/>
      <c r="E42" s="583"/>
      <c r="F42" s="583"/>
      <c r="G42" s="583"/>
      <c r="H42" s="583"/>
      <c r="I42" s="583"/>
      <c r="J42" s="583"/>
      <c r="K42" s="583"/>
      <c r="L42" s="584"/>
      <c r="M42" s="584">
        <f ca="1">SUMIF($Z$28:AC39,"tertiair",M28:M39)</f>
        <v>1163.5</v>
      </c>
      <c r="N42" s="584">
        <f ca="1">SUMIF($Z$28:AD39,"tertiair",N28:N39)</f>
        <v>3787.5</v>
      </c>
      <c r="O42" s="584">
        <f ca="1">SUMIF($Z$28:AE39,"tertiair",O28:O39)</f>
        <v>5414.4910714285716</v>
      </c>
      <c r="P42" s="584">
        <f ca="1">SUMIF($Z$28:AF39,"tertiair",P28:P39)</f>
        <v>10722.857142857143</v>
      </c>
      <c r="Q42" s="584">
        <f ca="1">SUMIF($Z$28:AG39,"tertiair",Q28:Q39)</f>
        <v>0</v>
      </c>
      <c r="R42" s="584">
        <f ca="1">SUMIF($Z$28:AH39,"tertiair",R28:R39)</f>
        <v>0</v>
      </c>
      <c r="S42" s="584">
        <f ca="1">SUMIF($Z$28:AI39,"tertiair",S28:S39)</f>
        <v>0</v>
      </c>
      <c r="T42" s="584">
        <f ca="1">SUMIF($Z$28:AJ39,"tertiair",T28:T39)</f>
        <v>0</v>
      </c>
      <c r="U42" s="584">
        <f ca="1">SUMIF($Z$28:AK39,"tertiair",U28:U39)</f>
        <v>101.25</v>
      </c>
      <c r="V42" s="584">
        <f ca="1">SUMIF($Z$28:AL39,"tertiair",V28:V39)</f>
        <v>0</v>
      </c>
      <c r="W42" s="584">
        <f ca="1">SUMIF($Z$28:AM39,"tertiair",W28:W39)</f>
        <v>0</v>
      </c>
      <c r="X42" s="585"/>
      <c r="Y42" s="585"/>
      <c r="Z42" s="586"/>
    </row>
    <row r="43" spans="1:26" s="564" customFormat="1" ht="15.75" thickBot="1">
      <c r="A43" s="587" t="s">
        <v>288</v>
      </c>
      <c r="B43" s="588"/>
      <c r="C43" s="588"/>
      <c r="D43" s="588"/>
      <c r="E43" s="588"/>
      <c r="F43" s="588"/>
      <c r="G43" s="588"/>
      <c r="H43" s="588"/>
      <c r="I43" s="588"/>
      <c r="J43" s="588"/>
      <c r="K43" s="588"/>
      <c r="L43" s="589"/>
      <c r="M43" s="589">
        <f>SUMIF($Z$28:$Z$39,"landbouw",M28:M39)</f>
        <v>0</v>
      </c>
      <c r="N43" s="589">
        <f>SUMIF($Z$28:$Z$39,"landbouw",N28:N39)</f>
        <v>0</v>
      </c>
      <c r="O43" s="589">
        <f>SUMIF($Z$28:$Z$39,"landbouw",O28:O39)</f>
        <v>0</v>
      </c>
      <c r="P43" s="589">
        <f>SUMIF($Z$28:$Z$39,"landbouw",P28:P39)</f>
        <v>0</v>
      </c>
      <c r="Q43" s="589">
        <f>SUMIF($Z$28:$Z$39,"landbouw",Q28:Q39)</f>
        <v>0</v>
      </c>
      <c r="R43" s="589">
        <f>SUMIF($Z$28:$Z$39,"landbouw",R28:R39)</f>
        <v>0</v>
      </c>
      <c r="S43" s="589">
        <f>SUMIF($Z$28:$Z$39,"landbouw",S28:S39)</f>
        <v>0</v>
      </c>
      <c r="T43" s="589">
        <f>SUMIF($Z$28:$Z$39,"landbouw",T28:T39)</f>
        <v>0</v>
      </c>
      <c r="U43" s="589">
        <f>SUMIF($Z$28:$Z$39,"landbouw",U28:U39)</f>
        <v>0</v>
      </c>
      <c r="V43" s="589">
        <f>SUMIF($Z$28:$Z$39,"landbouw",V28:V39)</f>
        <v>0</v>
      </c>
      <c r="W43" s="589">
        <f>SUMIF($Z$28:$Z$39,"landbouw",W28:W39)</f>
        <v>0</v>
      </c>
      <c r="X43" s="590"/>
      <c r="Y43" s="590"/>
      <c r="Z43" s="591"/>
    </row>
    <row r="44" spans="1:26" s="533" customFormat="1" ht="15.75" thickBot="1">
      <c r="A44" s="592"/>
      <c r="B44" s="593"/>
      <c r="C44" s="593"/>
      <c r="D44" s="593"/>
      <c r="E44" s="593"/>
      <c r="F44" s="593"/>
      <c r="G44" s="593"/>
      <c r="H44" s="593"/>
      <c r="I44" s="593"/>
      <c r="J44" s="593"/>
      <c r="K44" s="593"/>
      <c r="L44" s="576"/>
      <c r="M44" s="576"/>
      <c r="N44" s="576"/>
      <c r="O44" s="577"/>
      <c r="P44" s="577"/>
    </row>
    <row r="45" spans="1:26" s="533" customFormat="1" ht="45">
      <c r="A45" s="594" t="s">
        <v>280</v>
      </c>
      <c r="B45" s="623" t="s">
        <v>89</v>
      </c>
      <c r="C45" s="623" t="s">
        <v>90</v>
      </c>
      <c r="D45" s="623" t="s">
        <v>91</v>
      </c>
      <c r="E45" s="623" t="s">
        <v>92</v>
      </c>
      <c r="F45" s="623" t="s">
        <v>93</v>
      </c>
      <c r="G45" s="623" t="s">
        <v>94</v>
      </c>
      <c r="H45" s="623" t="s">
        <v>95</v>
      </c>
      <c r="I45" s="623" t="s">
        <v>96</v>
      </c>
      <c r="J45" s="623" t="s">
        <v>97</v>
      </c>
      <c r="K45" s="623" t="s">
        <v>98</v>
      </c>
      <c r="L45" s="623" t="s">
        <v>99</v>
      </c>
      <c r="M45" s="624" t="s">
        <v>297</v>
      </c>
      <c r="N45" s="624" t="s">
        <v>100</v>
      </c>
      <c r="O45" s="624" t="s">
        <v>101</v>
      </c>
      <c r="P45" s="624" t="s">
        <v>536</v>
      </c>
      <c r="Q45" s="624" t="s">
        <v>102</v>
      </c>
      <c r="R45" s="624" t="s">
        <v>103</v>
      </c>
      <c r="S45" s="624" t="s">
        <v>104</v>
      </c>
      <c r="T45" s="624" t="s">
        <v>105</v>
      </c>
      <c r="U45" s="624" t="s">
        <v>106</v>
      </c>
      <c r="V45" s="624" t="s">
        <v>107</v>
      </c>
      <c r="W45" s="623" t="s">
        <v>108</v>
      </c>
      <c r="X45" s="623" t="s">
        <v>298</v>
      </c>
      <c r="Y45" s="623" t="s">
        <v>109</v>
      </c>
      <c r="Z45" s="625" t="s">
        <v>299</v>
      </c>
    </row>
    <row r="46" spans="1:26" s="595" customFormat="1" ht="63.75">
      <c r="A46" s="581"/>
      <c r="B46" s="770">
        <v>44021</v>
      </c>
      <c r="C46" s="770">
        <v>9000</v>
      </c>
      <c r="D46" s="629" t="s">
        <v>939</v>
      </c>
      <c r="E46" s="629" t="s">
        <v>940</v>
      </c>
      <c r="F46" s="629" t="s">
        <v>941</v>
      </c>
      <c r="G46" s="629" t="s">
        <v>942</v>
      </c>
      <c r="H46" s="629" t="s">
        <v>943</v>
      </c>
      <c r="I46" s="629" t="s">
        <v>944</v>
      </c>
      <c r="J46" s="769">
        <v>38292</v>
      </c>
      <c r="K46" s="769">
        <v>38687</v>
      </c>
      <c r="L46" s="629" t="s">
        <v>945</v>
      </c>
      <c r="M46" s="629">
        <v>413</v>
      </c>
      <c r="N46" s="629">
        <v>1858.5</v>
      </c>
      <c r="O46" s="629">
        <v>0</v>
      </c>
      <c r="P46" s="629">
        <v>0</v>
      </c>
      <c r="Q46" s="629">
        <v>5310</v>
      </c>
      <c r="R46" s="629">
        <v>0</v>
      </c>
      <c r="S46" s="629">
        <v>0</v>
      </c>
      <c r="T46" s="629">
        <v>0</v>
      </c>
      <c r="U46" s="629">
        <v>0</v>
      </c>
      <c r="V46" s="629">
        <v>0</v>
      </c>
      <c r="W46" s="629">
        <v>0</v>
      </c>
      <c r="X46" s="629">
        <v>1600</v>
      </c>
      <c r="Y46" s="629" t="s">
        <v>49</v>
      </c>
      <c r="Z46" s="630" t="s">
        <v>155</v>
      </c>
    </row>
    <row r="47" spans="1:26" s="564" customFormat="1">
      <c r="A47" s="582" t="s">
        <v>279</v>
      </c>
      <c r="B47" s="583"/>
      <c r="C47" s="583"/>
      <c r="D47" s="583"/>
      <c r="E47" s="583"/>
      <c r="F47" s="583"/>
      <c r="G47" s="583"/>
      <c r="H47" s="583"/>
      <c r="I47" s="583"/>
      <c r="J47" s="583"/>
      <c r="K47" s="583"/>
      <c r="L47" s="584"/>
      <c r="M47" s="584">
        <f>SUM(M46:M46)</f>
        <v>413</v>
      </c>
      <c r="N47" s="584">
        <f>SUM(N46:N46)</f>
        <v>1858.5</v>
      </c>
      <c r="O47" s="584">
        <f>SUM(O46:O46)</f>
        <v>0</v>
      </c>
      <c r="P47" s="584">
        <f>SUM(P46:P46)</f>
        <v>0</v>
      </c>
      <c r="Q47" s="584">
        <f>SUM(Q46:Q46)</f>
        <v>5310</v>
      </c>
      <c r="R47" s="584">
        <f>SUM(R46:R46)</f>
        <v>0</v>
      </c>
      <c r="S47" s="584">
        <f>SUM(S46:S46)</f>
        <v>0</v>
      </c>
      <c r="T47" s="584">
        <f>SUM(T46:T46)</f>
        <v>0</v>
      </c>
      <c r="U47" s="584">
        <f>SUM(U46:U46)</f>
        <v>0</v>
      </c>
      <c r="V47" s="584">
        <f>SUM(V46:V46)</f>
        <v>0</v>
      </c>
      <c r="W47" s="584">
        <f>SUM(W46:W46)</f>
        <v>0</v>
      </c>
      <c r="X47" s="585"/>
      <c r="Y47" s="585"/>
      <c r="Z47" s="586"/>
    </row>
    <row r="48" spans="1:26" s="564" customFormat="1">
      <c r="A48" s="582" t="s">
        <v>286</v>
      </c>
      <c r="B48" s="583"/>
      <c r="C48" s="583"/>
      <c r="D48" s="583"/>
      <c r="E48" s="583"/>
      <c r="F48" s="583"/>
      <c r="G48" s="583"/>
      <c r="H48" s="583"/>
      <c r="I48" s="583"/>
      <c r="J48" s="583"/>
      <c r="K48" s="583"/>
      <c r="L48" s="584"/>
      <c r="M48" s="584">
        <f>SUMIF($Z$46:$Z$46,"industrie",M46:M46)</f>
        <v>0</v>
      </c>
      <c r="N48" s="584">
        <f>SUMIF($Z$46:$Z$46,"industrie",N46:N46)</f>
        <v>0</v>
      </c>
      <c r="O48" s="584">
        <f>SUMIF($Z$46:$Z$46,"industrie",O46:O46)</f>
        <v>0</v>
      </c>
      <c r="P48" s="584">
        <f>SUMIF($Z$46:$Z$46,"industrie",P46:P46)</f>
        <v>0</v>
      </c>
      <c r="Q48" s="584">
        <f>SUMIF($Z$46:$Z$46,"industrie",Q46:Q46)</f>
        <v>0</v>
      </c>
      <c r="R48" s="584">
        <f>SUMIF($Z$46:$Z$46,"industrie",R46:R46)</f>
        <v>0</v>
      </c>
      <c r="S48" s="584">
        <f>SUMIF($Z$46:$Z$46,"industrie",S46:S46)</f>
        <v>0</v>
      </c>
      <c r="T48" s="584">
        <f>SUMIF($Z$46:$Z$46,"industrie",T46:T46)</f>
        <v>0</v>
      </c>
      <c r="U48" s="584">
        <f>SUMIF($Z$46:$Z$46,"industrie",U46:U46)</f>
        <v>0</v>
      </c>
      <c r="V48" s="584">
        <f>SUMIF($Z$46:$Z$46,"industrie",V46:V46)</f>
        <v>0</v>
      </c>
      <c r="W48" s="584">
        <f>SUMIF($Z$46:$Z$46,"industrie",W46:W46)</f>
        <v>0</v>
      </c>
      <c r="X48" s="585"/>
      <c r="Y48" s="585"/>
      <c r="Z48" s="586"/>
    </row>
    <row r="49" spans="1:27" s="564" customFormat="1">
      <c r="A49" s="582" t="s">
        <v>287</v>
      </c>
      <c r="B49" s="583"/>
      <c r="C49" s="583"/>
      <c r="D49" s="583"/>
      <c r="E49" s="583"/>
      <c r="F49" s="583"/>
      <c r="G49" s="583"/>
      <c r="H49" s="583"/>
      <c r="I49" s="583"/>
      <c r="J49" s="583"/>
      <c r="K49" s="583"/>
      <c r="L49" s="584"/>
      <c r="M49" s="584">
        <f>SUMIF($Z$46:$Z$47,"tertiair",M46:M47)</f>
        <v>413</v>
      </c>
      <c r="N49" s="584">
        <f>SUMIF($Z$46:$Z$47,"tertiair",N46:N47)</f>
        <v>1858.5</v>
      </c>
      <c r="O49" s="584">
        <f>SUMIF($Z$46:$Z$47,"tertiair",O46:O47)</f>
        <v>0</v>
      </c>
      <c r="P49" s="584">
        <f>SUMIF($Z$46:$Z$47,"tertiair",P46:P47)</f>
        <v>0</v>
      </c>
      <c r="Q49" s="584">
        <f>SUMIF($Z$46:$Z$47,"tertiair",Q46:Q47)</f>
        <v>5310</v>
      </c>
      <c r="R49" s="584">
        <f>SUMIF($Z$46:$Z$47,"tertiair",R46:R47)</f>
        <v>0</v>
      </c>
      <c r="S49" s="584">
        <f>SUMIF($Z$46:$Z$47,"tertiair",S46:S47)</f>
        <v>0</v>
      </c>
      <c r="T49" s="584">
        <f>SUMIF($Z$46:$Z$47,"tertiair",T46:T47)</f>
        <v>0</v>
      </c>
      <c r="U49" s="584">
        <f>SUMIF($Z$46:$Z$47,"tertiair",U46:U47)</f>
        <v>0</v>
      </c>
      <c r="V49" s="584">
        <f>SUMIF($Z$46:$Z$47,"tertiair",V46:V47)</f>
        <v>0</v>
      </c>
      <c r="W49" s="584">
        <f>SUMIF($Z$46:$Z$47,"tertiair",W46:W47)</f>
        <v>0</v>
      </c>
      <c r="X49" s="585"/>
      <c r="Y49" s="585"/>
      <c r="Z49" s="586"/>
    </row>
    <row r="50" spans="1:27" s="564" customFormat="1" ht="15.75" thickBot="1">
      <c r="A50" s="587" t="s">
        <v>288</v>
      </c>
      <c r="B50" s="588"/>
      <c r="C50" s="588"/>
      <c r="D50" s="588"/>
      <c r="E50" s="588"/>
      <c r="F50" s="588"/>
      <c r="G50" s="588"/>
      <c r="H50" s="588"/>
      <c r="I50" s="588"/>
      <c r="J50" s="588"/>
      <c r="K50" s="588"/>
      <c r="L50" s="589"/>
      <c r="M50" s="589">
        <f>SUMIF($Z$46:$Z$48,"landbouw",M46:M48)</f>
        <v>0</v>
      </c>
      <c r="N50" s="589">
        <f>SUMIF($Z$46:$Z$48,"landbouw",N46:N48)</f>
        <v>0</v>
      </c>
      <c r="O50" s="589">
        <f>SUMIF($Z$46:$Z$48,"landbouw",O46:O48)</f>
        <v>0</v>
      </c>
      <c r="P50" s="589">
        <f>SUMIF($Z$46:$Z$48,"landbouw",P46:P48)</f>
        <v>0</v>
      </c>
      <c r="Q50" s="589">
        <f>SUMIF($Z$46:$Z$48,"landbouw",Q46:Q48)</f>
        <v>0</v>
      </c>
      <c r="R50" s="589">
        <f>SUMIF($Z$46:$Z$48,"landbouw",R46:R48)</f>
        <v>0</v>
      </c>
      <c r="S50" s="589">
        <f>SUMIF($Z$46:$Z$48,"landbouw",S46:S48)</f>
        <v>0</v>
      </c>
      <c r="T50" s="589">
        <f>SUMIF($Z$46:$Z$48,"landbouw",T46:T48)</f>
        <v>0</v>
      </c>
      <c r="U50" s="589">
        <f>SUMIF($Z$46:$Z$48,"landbouw",U46:U48)</f>
        <v>0</v>
      </c>
      <c r="V50" s="589">
        <f>SUMIF($Z$46:$Z$48,"landbouw",V46:V48)</f>
        <v>0</v>
      </c>
      <c r="W50" s="589">
        <f>SUMIF($Z$46:$Z$48,"landbouw",W46:W48)</f>
        <v>0</v>
      </c>
      <c r="X50" s="590"/>
      <c r="Y50" s="590"/>
      <c r="Z50" s="591"/>
    </row>
    <row r="51" spans="1:27" s="596" customFormat="1">
      <c r="A51" s="592"/>
      <c r="B51" s="576"/>
      <c r="C51" s="576"/>
      <c r="D51" s="576"/>
      <c r="E51" s="576"/>
      <c r="F51" s="576"/>
      <c r="G51" s="576"/>
      <c r="H51" s="576"/>
      <c r="I51" s="576"/>
      <c r="J51" s="576"/>
      <c r="K51" s="576"/>
      <c r="L51" s="576"/>
      <c r="M51" s="576"/>
      <c r="N51" s="576"/>
      <c r="O51" s="576"/>
      <c r="P51" s="576"/>
      <c r="Q51" s="576"/>
      <c r="R51" s="576"/>
      <c r="S51" s="576"/>
      <c r="T51" s="576"/>
      <c r="U51" s="576"/>
      <c r="V51" s="576"/>
      <c r="W51" s="576"/>
      <c r="X51" s="576"/>
      <c r="Y51" s="576"/>
    </row>
    <row r="52" spans="1:27" s="596" customFormat="1" ht="15.75" thickBot="1">
      <c r="A52" s="592"/>
      <c r="B52" s="576"/>
      <c r="C52" s="576"/>
      <c r="D52" s="576"/>
      <c r="E52" s="576"/>
      <c r="F52" s="576"/>
      <c r="G52" s="576"/>
      <c r="H52" s="576"/>
      <c r="I52" s="576"/>
      <c r="J52" s="576"/>
      <c r="K52" s="576"/>
      <c r="L52" s="576"/>
      <c r="M52" s="576"/>
      <c r="N52" s="576"/>
      <c r="O52" s="576"/>
      <c r="P52" s="576"/>
      <c r="Q52" s="576"/>
      <c r="R52" s="576"/>
      <c r="S52" s="576"/>
      <c r="T52" s="576"/>
      <c r="U52" s="576"/>
      <c r="V52" s="576"/>
      <c r="W52" s="576"/>
      <c r="X52" s="576"/>
      <c r="Y52" s="576"/>
      <c r="Z52" s="576"/>
      <c r="AA52" s="576"/>
    </row>
    <row r="53" spans="1:27">
      <c r="A53" s="597" t="s">
        <v>281</v>
      </c>
      <c r="B53" s="598"/>
      <c r="C53" s="598"/>
      <c r="D53" s="598"/>
      <c r="E53" s="598"/>
      <c r="F53" s="598"/>
      <c r="G53" s="598"/>
      <c r="H53" s="598"/>
      <c r="I53" s="599"/>
      <c r="J53" s="600"/>
      <c r="K53" s="600"/>
      <c r="L53" s="601"/>
      <c r="M53" s="601"/>
      <c r="N53" s="601"/>
      <c r="O53" s="601"/>
      <c r="P53" s="601"/>
    </row>
    <row r="54" spans="1:27">
      <c r="A54" s="603"/>
      <c r="B54" s="593"/>
      <c r="C54" s="593"/>
      <c r="D54" s="593"/>
      <c r="E54" s="593"/>
      <c r="F54" s="593"/>
      <c r="G54" s="593"/>
      <c r="H54" s="593"/>
      <c r="I54" s="604"/>
      <c r="J54" s="593"/>
      <c r="K54" s="593"/>
      <c r="L54" s="601"/>
      <c r="M54" s="601"/>
      <c r="N54" s="601"/>
      <c r="O54" s="601"/>
      <c r="P54" s="601"/>
    </row>
    <row r="55" spans="1:27">
      <c r="A55" s="605"/>
      <c r="B55" s="606" t="s">
        <v>282</v>
      </c>
      <c r="C55" s="606" t="s">
        <v>283</v>
      </c>
      <c r="D55" s="606"/>
      <c r="E55" s="606"/>
      <c r="F55" s="606"/>
      <c r="G55" s="606"/>
      <c r="H55" s="606"/>
      <c r="I55" s="607"/>
      <c r="J55" s="606"/>
      <c r="K55" s="606"/>
      <c r="L55" s="606"/>
      <c r="M55" s="606"/>
      <c r="N55" s="606"/>
      <c r="O55" s="606"/>
      <c r="P55" s="601"/>
    </row>
    <row r="56" spans="1:27">
      <c r="A56" s="603" t="s">
        <v>279</v>
      </c>
      <c r="B56" s="608">
        <f>IF(ISERROR(O40/(O40+N40)),0,O40/(O40+N40))</f>
        <v>0.54736341403137978</v>
      </c>
      <c r="C56" s="609">
        <f>IF(ISERROR(N40/(O40+N40)),0,N40/(N40+O40))</f>
        <v>0.45263658596862016</v>
      </c>
      <c r="D56" s="576"/>
      <c r="E56" s="576"/>
      <c r="F56" s="576"/>
      <c r="G56" s="576"/>
      <c r="H56" s="576"/>
      <c r="I56" s="610"/>
      <c r="J56" s="576"/>
      <c r="K56" s="576"/>
      <c r="L56" s="611"/>
      <c r="M56" s="611"/>
      <c r="N56" s="611"/>
      <c r="O56" s="611"/>
      <c r="P56" s="601"/>
    </row>
    <row r="57" spans="1:27">
      <c r="A57" s="603"/>
      <c r="B57" s="612"/>
      <c r="C57" s="612"/>
      <c r="D57" s="612"/>
      <c r="E57" s="612"/>
      <c r="F57" s="612"/>
      <c r="G57" s="612"/>
      <c r="H57" s="612"/>
      <c r="I57" s="613"/>
      <c r="J57" s="612"/>
      <c r="K57" s="612"/>
      <c r="L57" s="614"/>
      <c r="M57" s="614"/>
      <c r="N57" s="614"/>
      <c r="O57" s="614"/>
      <c r="P57" s="601"/>
    </row>
    <row r="58" spans="1:27" ht="30">
      <c r="A58" s="615"/>
      <c r="B58" s="616" t="s">
        <v>536</v>
      </c>
      <c r="C58" s="616" t="s">
        <v>102</v>
      </c>
      <c r="D58" s="616" t="s">
        <v>103</v>
      </c>
      <c r="E58" s="616" t="s">
        <v>104</v>
      </c>
      <c r="F58" s="616" t="s">
        <v>105</v>
      </c>
      <c r="G58" s="616" t="s">
        <v>106</v>
      </c>
      <c r="H58" s="616" t="s">
        <v>107</v>
      </c>
      <c r="I58" s="617" t="s">
        <v>108</v>
      </c>
      <c r="J58" s="606"/>
      <c r="K58" s="606"/>
      <c r="L58" s="614"/>
      <c r="M58" s="614"/>
      <c r="N58" s="614"/>
      <c r="O58" s="601"/>
      <c r="P58" s="601"/>
    </row>
    <row r="59" spans="1:27">
      <c r="A59" s="605" t="s">
        <v>284</v>
      </c>
      <c r="B59" s="618">
        <f t="shared" ref="B59:I59" si="2">$C$56*P40</f>
        <v>4853.5574489720902</v>
      </c>
      <c r="C59" s="618">
        <f t="shared" si="2"/>
        <v>0</v>
      </c>
      <c r="D59" s="618">
        <f t="shared" si="2"/>
        <v>0</v>
      </c>
      <c r="E59" s="618">
        <f t="shared" si="2"/>
        <v>2800.6888756808371</v>
      </c>
      <c r="F59" s="618">
        <f t="shared" si="2"/>
        <v>8402.0666270425118</v>
      </c>
      <c r="G59" s="618">
        <f t="shared" si="2"/>
        <v>45.829454329322793</v>
      </c>
      <c r="H59" s="618">
        <f t="shared" si="2"/>
        <v>0</v>
      </c>
      <c r="I59" s="619">
        <f t="shared" si="2"/>
        <v>0</v>
      </c>
      <c r="J59" s="576"/>
      <c r="K59" s="576"/>
      <c r="L59" s="614"/>
      <c r="M59" s="614"/>
      <c r="N59" s="614"/>
      <c r="O59" s="601"/>
      <c r="P59" s="601"/>
    </row>
    <row r="60" spans="1:27" ht="15.75" thickBot="1">
      <c r="A60" s="620" t="s">
        <v>285</v>
      </c>
      <c r="B60" s="621">
        <f t="shared" ref="B60:I60" si="3">$B$56*P40</f>
        <v>5869.2996938850529</v>
      </c>
      <c r="C60" s="621">
        <f t="shared" si="3"/>
        <v>0</v>
      </c>
      <c r="D60" s="621">
        <f t="shared" si="3"/>
        <v>0</v>
      </c>
      <c r="E60" s="621">
        <f t="shared" si="3"/>
        <v>3386.8111243191624</v>
      </c>
      <c r="F60" s="621">
        <f t="shared" si="3"/>
        <v>10160.433372957486</v>
      </c>
      <c r="G60" s="621">
        <f t="shared" si="3"/>
        <v>55.4205456706772</v>
      </c>
      <c r="H60" s="621">
        <f t="shared" si="3"/>
        <v>0</v>
      </c>
      <c r="I60" s="622">
        <f t="shared" si="3"/>
        <v>0</v>
      </c>
      <c r="J60" s="576"/>
      <c r="K60" s="576"/>
      <c r="L60" s="614"/>
      <c r="M60" s="614"/>
      <c r="N60" s="614"/>
      <c r="O60" s="601"/>
      <c r="P60" s="601"/>
    </row>
    <row r="61" spans="1:27">
      <c r="J61" s="562"/>
      <c r="K61" s="562"/>
      <c r="L61" s="562"/>
      <c r="M61" s="562"/>
      <c r="N61" s="562"/>
    </row>
    <row r="62" spans="1:27">
      <c r="J62" s="562"/>
      <c r="K62" s="562"/>
      <c r="L62" s="562"/>
      <c r="M62" s="562"/>
      <c r="N6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371790.45807939477</v>
      </c>
      <c r="C4" s="451">
        <f>huishoudens!C8</f>
        <v>0</v>
      </c>
      <c r="D4" s="451">
        <f>huishoudens!D8</f>
        <v>1054921.485139047</v>
      </c>
      <c r="E4" s="451">
        <f>huishoudens!E8</f>
        <v>96503.844731714329</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79323.36357192685</v>
      </c>
      <c r="O4" s="451">
        <f>huishoudens!O8</f>
        <v>2066.7266666666669</v>
      </c>
      <c r="P4" s="452">
        <f>huishoudens!P8</f>
        <v>4690.3999999999996</v>
      </c>
      <c r="Q4" s="453">
        <f>SUM(B4:P4)</f>
        <v>1609296.2781887494</v>
      </c>
    </row>
    <row r="5" spans="1:17">
      <c r="A5" s="450" t="s">
        <v>155</v>
      </c>
      <c r="B5" s="451">
        <f ca="1">tertiair!B16</f>
        <v>712499.54367799987</v>
      </c>
      <c r="C5" s="451">
        <f ca="1">tertiair!C16</f>
        <v>5414.4910714285716</v>
      </c>
      <c r="D5" s="451">
        <f ca="1">tertiair!D16</f>
        <v>782081.69397039886</v>
      </c>
      <c r="E5" s="451">
        <f>tertiair!E16</f>
        <v>10634.293828533542</v>
      </c>
      <c r="F5" s="451">
        <f ca="1">tertiair!F16</f>
        <v>194535.13653281383</v>
      </c>
      <c r="G5" s="451">
        <f>tertiair!G16</f>
        <v>0</v>
      </c>
      <c r="H5" s="451">
        <f>tertiair!H16</f>
        <v>0</v>
      </c>
      <c r="I5" s="451">
        <f>tertiair!I16</f>
        <v>0</v>
      </c>
      <c r="J5" s="451">
        <f>tertiair!J16</f>
        <v>0</v>
      </c>
      <c r="K5" s="451">
        <f>tertiair!K16</f>
        <v>0</v>
      </c>
      <c r="L5" s="451">
        <f ca="1">tertiair!L16</f>
        <v>0</v>
      </c>
      <c r="M5" s="451">
        <f>tertiair!M16</f>
        <v>0</v>
      </c>
      <c r="N5" s="451">
        <f ca="1">tertiair!N16</f>
        <v>39507.343035667196</v>
      </c>
      <c r="O5" s="451">
        <f>tertiair!O16</f>
        <v>42.21</v>
      </c>
      <c r="P5" s="452">
        <f>tertiair!P16</f>
        <v>343.2</v>
      </c>
      <c r="Q5" s="450">
        <f t="shared" ref="Q5:Q14" ca="1" si="0">SUM(B5:P5)</f>
        <v>1745057.9121168416</v>
      </c>
    </row>
    <row r="6" spans="1:17">
      <c r="A6" s="450" t="s">
        <v>193</v>
      </c>
      <c r="B6" s="451">
        <f>'openbare verlichting'!B8</f>
        <v>14103.357402000001</v>
      </c>
      <c r="C6" s="451"/>
      <c r="D6" s="451"/>
      <c r="E6" s="451"/>
      <c r="F6" s="451"/>
      <c r="G6" s="451"/>
      <c r="H6" s="451"/>
      <c r="I6" s="451"/>
      <c r="J6" s="451"/>
      <c r="K6" s="451"/>
      <c r="L6" s="451"/>
      <c r="M6" s="451"/>
      <c r="N6" s="451"/>
      <c r="O6" s="451"/>
      <c r="P6" s="452"/>
      <c r="Q6" s="450">
        <f t="shared" si="0"/>
        <v>14103.357402000001</v>
      </c>
    </row>
    <row r="7" spans="1:17">
      <c r="A7" s="450" t="s">
        <v>111</v>
      </c>
      <c r="B7" s="451">
        <f>landbouw!B8</f>
        <v>3879.8186854999994</v>
      </c>
      <c r="C7" s="451">
        <f>landbouw!C8</f>
        <v>0</v>
      </c>
      <c r="D7" s="451">
        <f>landbouw!D8</f>
        <v>5796.0951971318</v>
      </c>
      <c r="E7" s="451">
        <f>landbouw!E8</f>
        <v>100.04562711758044</v>
      </c>
      <c r="F7" s="451">
        <f>landbouw!F8</f>
        <v>14181.47617107869</v>
      </c>
      <c r="G7" s="451">
        <f>landbouw!G8</f>
        <v>0</v>
      </c>
      <c r="H7" s="451">
        <f>landbouw!H8</f>
        <v>0</v>
      </c>
      <c r="I7" s="451">
        <f>landbouw!I8</f>
        <v>0</v>
      </c>
      <c r="J7" s="451">
        <f>landbouw!J8</f>
        <v>558.55116515250677</v>
      </c>
      <c r="K7" s="451">
        <f>landbouw!K8</f>
        <v>0</v>
      </c>
      <c r="L7" s="451">
        <f>landbouw!L8</f>
        <v>0</v>
      </c>
      <c r="M7" s="451">
        <f>landbouw!M8</f>
        <v>0</v>
      </c>
      <c r="N7" s="451">
        <f>landbouw!N8</f>
        <v>0</v>
      </c>
      <c r="O7" s="451">
        <f>landbouw!O8</f>
        <v>0</v>
      </c>
      <c r="P7" s="452">
        <f>landbouw!P8</f>
        <v>0</v>
      </c>
      <c r="Q7" s="450">
        <f t="shared" si="0"/>
        <v>24515.98684598058</v>
      </c>
    </row>
    <row r="8" spans="1:17">
      <c r="A8" s="450" t="s">
        <v>637</v>
      </c>
      <c r="B8" s="451">
        <f>industrie!B18</f>
        <v>354069.16606007004</v>
      </c>
      <c r="C8" s="451">
        <f>industrie!C18</f>
        <v>11137.5</v>
      </c>
      <c r="D8" s="451">
        <f>industrie!D18</f>
        <v>291279.30966680835</v>
      </c>
      <c r="E8" s="451">
        <f>industrie!E18</f>
        <v>17704.833241203756</v>
      </c>
      <c r="F8" s="451">
        <f>industrie!F18</f>
        <v>76632.011766524025</v>
      </c>
      <c r="G8" s="451">
        <f>industrie!G18</f>
        <v>0</v>
      </c>
      <c r="H8" s="451">
        <f>industrie!H18</f>
        <v>0</v>
      </c>
      <c r="I8" s="451">
        <f>industrie!I18</f>
        <v>0</v>
      </c>
      <c r="J8" s="451">
        <f>industrie!J18</f>
        <v>2447.9942306672247</v>
      </c>
      <c r="K8" s="451">
        <f>industrie!K18</f>
        <v>0</v>
      </c>
      <c r="L8" s="451">
        <f>industrie!L18</f>
        <v>0</v>
      </c>
      <c r="M8" s="451">
        <f>industrie!M18</f>
        <v>0</v>
      </c>
      <c r="N8" s="451">
        <f>industrie!N18</f>
        <v>20402.593262438932</v>
      </c>
      <c r="O8" s="451">
        <f>industrie!O18</f>
        <v>0</v>
      </c>
      <c r="P8" s="452">
        <f>industrie!P18</f>
        <v>0</v>
      </c>
      <c r="Q8" s="450">
        <f t="shared" si="0"/>
        <v>773673.40822771238</v>
      </c>
    </row>
    <row r="9" spans="1:17" s="456" customFormat="1">
      <c r="A9" s="454" t="s">
        <v>563</v>
      </c>
      <c r="B9" s="455">
        <f>transport!B14</f>
        <v>396.6590480871705</v>
      </c>
      <c r="C9" s="455">
        <f>transport!C14</f>
        <v>0</v>
      </c>
      <c r="D9" s="455">
        <f>transport!D14</f>
        <v>810.3038010033373</v>
      </c>
      <c r="E9" s="455">
        <f>transport!E14</f>
        <v>4015.9739504489253</v>
      </c>
      <c r="F9" s="455">
        <f>transport!F14</f>
        <v>0</v>
      </c>
      <c r="G9" s="455">
        <f>transport!G14</f>
        <v>1755052.5927521477</v>
      </c>
      <c r="H9" s="455">
        <f>transport!H14</f>
        <v>281728.35485066561</v>
      </c>
      <c r="I9" s="455">
        <f>transport!I14</f>
        <v>0</v>
      </c>
      <c r="J9" s="455">
        <f>transport!J14</f>
        <v>0</v>
      </c>
      <c r="K9" s="455">
        <f>transport!K14</f>
        <v>0</v>
      </c>
      <c r="L9" s="455">
        <f>transport!L14</f>
        <v>0</v>
      </c>
      <c r="M9" s="455">
        <f>transport!M14</f>
        <v>63657.119734612454</v>
      </c>
      <c r="N9" s="455">
        <f>transport!N14</f>
        <v>0</v>
      </c>
      <c r="O9" s="455">
        <f>transport!O14</f>
        <v>0</v>
      </c>
      <c r="P9" s="455">
        <f>transport!P14</f>
        <v>0</v>
      </c>
      <c r="Q9" s="454">
        <f>SUM(B9:P9)</f>
        <v>2105661.0041369651</v>
      </c>
    </row>
    <row r="10" spans="1:17">
      <c r="A10" s="450" t="s">
        <v>553</v>
      </c>
      <c r="B10" s="451">
        <f>transport!B54</f>
        <v>9252.2015696609033</v>
      </c>
      <c r="C10" s="451">
        <f>transport!C54</f>
        <v>0</v>
      </c>
      <c r="D10" s="451">
        <f>transport!D54</f>
        <v>0</v>
      </c>
      <c r="E10" s="451">
        <f>transport!E54</f>
        <v>0</v>
      </c>
      <c r="F10" s="451">
        <f>transport!F54</f>
        <v>0</v>
      </c>
      <c r="G10" s="451">
        <f>transport!G54</f>
        <v>36911.118527760991</v>
      </c>
      <c r="H10" s="451">
        <f>transport!H54</f>
        <v>0</v>
      </c>
      <c r="I10" s="451">
        <f>transport!I54</f>
        <v>0</v>
      </c>
      <c r="J10" s="451">
        <f>transport!J54</f>
        <v>0</v>
      </c>
      <c r="K10" s="451">
        <f>transport!K54</f>
        <v>0</v>
      </c>
      <c r="L10" s="451">
        <f>transport!L54</f>
        <v>0</v>
      </c>
      <c r="M10" s="451">
        <f>transport!M54</f>
        <v>1143.4550357264773</v>
      </c>
      <c r="N10" s="451">
        <f>transport!N54</f>
        <v>0</v>
      </c>
      <c r="O10" s="451">
        <f>transport!O54</f>
        <v>0</v>
      </c>
      <c r="P10" s="452">
        <f>transport!P54</f>
        <v>0</v>
      </c>
      <c r="Q10" s="450">
        <f t="shared" si="0"/>
        <v>47306.775133148367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24605.582749000001</v>
      </c>
      <c r="C14" s="458"/>
      <c r="D14" s="458">
        <f>'SEAP template'!E25</f>
        <v>93599.040630999996</v>
      </c>
      <c r="E14" s="458"/>
      <c r="F14" s="458"/>
      <c r="G14" s="458"/>
      <c r="H14" s="458"/>
      <c r="I14" s="458"/>
      <c r="J14" s="458"/>
      <c r="K14" s="458"/>
      <c r="L14" s="458"/>
      <c r="M14" s="458"/>
      <c r="N14" s="458"/>
      <c r="O14" s="458"/>
      <c r="P14" s="459"/>
      <c r="Q14" s="450">
        <f t="shared" si="0"/>
        <v>118204.62338</v>
      </c>
    </row>
    <row r="15" spans="1:17" s="460" customFormat="1">
      <c r="A15" s="1004" t="s">
        <v>557</v>
      </c>
      <c r="B15" s="944">
        <f ca="1">SUM(B4:B14)</f>
        <v>1490596.7872717127</v>
      </c>
      <c r="C15" s="944">
        <f t="shared" ref="C15:Q15" ca="1" si="1">SUM(C4:C14)</f>
        <v>16551.991071428572</v>
      </c>
      <c r="D15" s="944">
        <f t="shared" ca="1" si="1"/>
        <v>2228487.9284053892</v>
      </c>
      <c r="E15" s="944">
        <f t="shared" si="1"/>
        <v>128958.99137901813</v>
      </c>
      <c r="F15" s="944">
        <f t="shared" ca="1" si="1"/>
        <v>285348.62447041657</v>
      </c>
      <c r="G15" s="944">
        <f t="shared" si="1"/>
        <v>1791963.7112799087</v>
      </c>
      <c r="H15" s="944">
        <f t="shared" si="1"/>
        <v>281728.35485066561</v>
      </c>
      <c r="I15" s="944">
        <f t="shared" si="1"/>
        <v>0</v>
      </c>
      <c r="J15" s="944">
        <f t="shared" si="1"/>
        <v>3006.5453958197313</v>
      </c>
      <c r="K15" s="944">
        <f t="shared" si="1"/>
        <v>0</v>
      </c>
      <c r="L15" s="944">
        <f t="shared" ca="1" si="1"/>
        <v>0</v>
      </c>
      <c r="M15" s="944">
        <f t="shared" si="1"/>
        <v>64800.574770338928</v>
      </c>
      <c r="N15" s="944">
        <f t="shared" ca="1" si="1"/>
        <v>139233.29987003296</v>
      </c>
      <c r="O15" s="944">
        <f t="shared" si="1"/>
        <v>2108.936666666667</v>
      </c>
      <c r="P15" s="944">
        <f t="shared" si="1"/>
        <v>5033.5999999999995</v>
      </c>
      <c r="Q15" s="944">
        <f t="shared" ca="1" si="1"/>
        <v>6437819.3454313977</v>
      </c>
    </row>
    <row r="17" spans="1:17">
      <c r="A17" s="461" t="s">
        <v>558</v>
      </c>
      <c r="B17" s="760">
        <f ca="1">huishoudens!B10</f>
        <v>0.19605810541488139</v>
      </c>
      <c r="C17" s="760">
        <f ca="1">huishoudens!C10</f>
        <v>0.12626137238349922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72892.532822377019</v>
      </c>
      <c r="C22" s="451">
        <f t="shared" ref="C22:C32" ca="1" si="3">C4*$C$17</f>
        <v>0</v>
      </c>
      <c r="D22" s="451">
        <f t="shared" ref="D22:D32" si="4">D4*$D$17</f>
        <v>213094.13999808751</v>
      </c>
      <c r="E22" s="451">
        <f t="shared" ref="E22:E32" si="5">E4*$E$17</f>
        <v>21906.372754099153</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307893.04557456367</v>
      </c>
    </row>
    <row r="23" spans="1:17">
      <c r="A23" s="450" t="s">
        <v>155</v>
      </c>
      <c r="B23" s="451">
        <f t="shared" ca="1" si="2"/>
        <v>139691.31064247619</v>
      </c>
      <c r="C23" s="451">
        <f t="shared" ca="1" si="3"/>
        <v>683.64107343677449</v>
      </c>
      <c r="D23" s="451">
        <f t="shared" ca="1" si="4"/>
        <v>157980.50218202057</v>
      </c>
      <c r="E23" s="451">
        <f t="shared" si="5"/>
        <v>2413.9846990771143</v>
      </c>
      <c r="F23" s="451">
        <f t="shared" ca="1" si="6"/>
        <v>51940.881454261296</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352710.32005127193</v>
      </c>
    </row>
    <row r="24" spans="1:17">
      <c r="A24" s="450" t="s">
        <v>193</v>
      </c>
      <c r="B24" s="451">
        <f t="shared" ca="1" si="2"/>
        <v>2765.0775322250638</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2765.0775322250638</v>
      </c>
    </row>
    <row r="25" spans="1:17">
      <c r="A25" s="450" t="s">
        <v>111</v>
      </c>
      <c r="B25" s="451">
        <f t="shared" ca="1" si="2"/>
        <v>760.66990083238545</v>
      </c>
      <c r="C25" s="451">
        <f t="shared" ca="1" si="3"/>
        <v>0</v>
      </c>
      <c r="D25" s="451">
        <f t="shared" si="4"/>
        <v>1170.8112298206236</v>
      </c>
      <c r="E25" s="451">
        <f t="shared" si="5"/>
        <v>22.710357355690761</v>
      </c>
      <c r="F25" s="451">
        <f t="shared" si="6"/>
        <v>3786.4541376780103</v>
      </c>
      <c r="G25" s="451">
        <f t="shared" si="7"/>
        <v>0</v>
      </c>
      <c r="H25" s="451">
        <f t="shared" si="8"/>
        <v>0</v>
      </c>
      <c r="I25" s="451">
        <f t="shared" si="9"/>
        <v>0</v>
      </c>
      <c r="J25" s="451">
        <f t="shared" si="10"/>
        <v>197.7271124639874</v>
      </c>
      <c r="K25" s="451">
        <f t="shared" si="11"/>
        <v>0</v>
      </c>
      <c r="L25" s="451">
        <f t="shared" si="12"/>
        <v>0</v>
      </c>
      <c r="M25" s="451">
        <f t="shared" si="13"/>
        <v>0</v>
      </c>
      <c r="N25" s="451">
        <f t="shared" si="14"/>
        <v>0</v>
      </c>
      <c r="O25" s="451">
        <f t="shared" si="15"/>
        <v>0</v>
      </c>
      <c r="P25" s="452">
        <f t="shared" si="16"/>
        <v>0</v>
      </c>
      <c r="Q25" s="450">
        <f t="shared" ca="1" si="17"/>
        <v>5938.3727381506978</v>
      </c>
    </row>
    <row r="26" spans="1:17">
      <c r="A26" s="450" t="s">
        <v>637</v>
      </c>
      <c r="B26" s="451">
        <f t="shared" ca="1" si="2"/>
        <v>69418.129883564354</v>
      </c>
      <c r="C26" s="451">
        <f t="shared" ca="1" si="3"/>
        <v>1406.2360349212224</v>
      </c>
      <c r="D26" s="451">
        <f t="shared" si="4"/>
        <v>58838.420552695286</v>
      </c>
      <c r="E26" s="451">
        <f t="shared" si="5"/>
        <v>4018.9971457532529</v>
      </c>
      <c r="F26" s="451">
        <f t="shared" si="6"/>
        <v>20460.747141661916</v>
      </c>
      <c r="G26" s="451">
        <f t="shared" si="7"/>
        <v>0</v>
      </c>
      <c r="H26" s="451">
        <f t="shared" si="8"/>
        <v>0</v>
      </c>
      <c r="I26" s="451">
        <f t="shared" si="9"/>
        <v>0</v>
      </c>
      <c r="J26" s="451">
        <f t="shared" si="10"/>
        <v>866.5899576561975</v>
      </c>
      <c r="K26" s="451">
        <f t="shared" si="11"/>
        <v>0</v>
      </c>
      <c r="L26" s="451">
        <f t="shared" si="12"/>
        <v>0</v>
      </c>
      <c r="M26" s="451">
        <f t="shared" si="13"/>
        <v>0</v>
      </c>
      <c r="N26" s="451">
        <f t="shared" si="14"/>
        <v>0</v>
      </c>
      <c r="O26" s="451">
        <f t="shared" si="15"/>
        <v>0</v>
      </c>
      <c r="P26" s="452">
        <f t="shared" si="16"/>
        <v>0</v>
      </c>
      <c r="Q26" s="450">
        <f t="shared" ca="1" si="17"/>
        <v>155009.12071625222</v>
      </c>
    </row>
    <row r="27" spans="1:17" s="456" customFormat="1">
      <c r="A27" s="454" t="s">
        <v>563</v>
      </c>
      <c r="B27" s="754">
        <f t="shared" ca="1" si="2"/>
        <v>77.768221463640984</v>
      </c>
      <c r="C27" s="455">
        <f t="shared" ca="1" si="3"/>
        <v>0</v>
      </c>
      <c r="D27" s="455">
        <f t="shared" si="4"/>
        <v>163.68136780267415</v>
      </c>
      <c r="E27" s="455">
        <f t="shared" si="5"/>
        <v>911.62608675190609</v>
      </c>
      <c r="F27" s="455">
        <f t="shared" si="6"/>
        <v>0</v>
      </c>
      <c r="G27" s="455">
        <f t="shared" si="7"/>
        <v>468599.04226482345</v>
      </c>
      <c r="H27" s="455">
        <f t="shared" si="8"/>
        <v>70150.360357815734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539902.47829865734</v>
      </c>
    </row>
    <row r="28" spans="1:17">
      <c r="A28" s="450" t="s">
        <v>553</v>
      </c>
      <c r="B28" s="451">
        <f t="shared" ca="1" si="2"/>
        <v>1813.9691106643083</v>
      </c>
      <c r="C28" s="451">
        <f t="shared" ca="1" si="3"/>
        <v>0</v>
      </c>
      <c r="D28" s="451">
        <f t="shared" si="4"/>
        <v>0</v>
      </c>
      <c r="E28" s="451">
        <f t="shared" si="5"/>
        <v>0</v>
      </c>
      <c r="F28" s="451">
        <f t="shared" si="6"/>
        <v>0</v>
      </c>
      <c r="G28" s="451">
        <f t="shared" si="7"/>
        <v>9855.2686469121854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11669.237757576493</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4824.1239363980294</v>
      </c>
      <c r="C32" s="451">
        <f t="shared" ca="1" si="3"/>
        <v>0</v>
      </c>
      <c r="D32" s="451">
        <f t="shared" si="4"/>
        <v>18907.006207462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23731.130143860028</v>
      </c>
    </row>
    <row r="33" spans="1:17" s="460" customFormat="1">
      <c r="A33" s="1004" t="s">
        <v>557</v>
      </c>
      <c r="B33" s="944">
        <f ca="1">SUM(B22:B32)</f>
        <v>292243.58205000102</v>
      </c>
      <c r="C33" s="944">
        <f t="shared" ref="C33:Q33" ca="1" si="18">SUM(C22:C32)</f>
        <v>2089.8771083579968</v>
      </c>
      <c r="D33" s="944">
        <f t="shared" ca="1" si="18"/>
        <v>450154.56153788866</v>
      </c>
      <c r="E33" s="944">
        <f t="shared" si="18"/>
        <v>29273.691043037117</v>
      </c>
      <c r="F33" s="944">
        <f t="shared" ca="1" si="18"/>
        <v>76188.082733601215</v>
      </c>
      <c r="G33" s="944">
        <f t="shared" si="18"/>
        <v>478454.31091173564</v>
      </c>
      <c r="H33" s="944">
        <f t="shared" si="18"/>
        <v>70150.360357815734</v>
      </c>
      <c r="I33" s="944">
        <f t="shared" si="18"/>
        <v>0</v>
      </c>
      <c r="J33" s="944">
        <f t="shared" si="18"/>
        <v>1064.3170701201848</v>
      </c>
      <c r="K33" s="944">
        <f t="shared" si="18"/>
        <v>0</v>
      </c>
      <c r="L33" s="944">
        <f t="shared" ca="1" si="18"/>
        <v>0</v>
      </c>
      <c r="M33" s="944">
        <f t="shared" si="18"/>
        <v>0</v>
      </c>
      <c r="N33" s="944">
        <f t="shared" ca="1" si="18"/>
        <v>0</v>
      </c>
      <c r="O33" s="944">
        <f t="shared" si="18"/>
        <v>0</v>
      </c>
      <c r="P33" s="944">
        <f t="shared" si="18"/>
        <v>0</v>
      </c>
      <c r="Q33" s="944">
        <f t="shared" ca="1" si="18"/>
        <v>1399618.7828125574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105037.34461857929</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55464.214076202166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7181.0678789247795</v>
      </c>
      <c r="C8" s="1021">
        <f>'SEAP template'!C76</f>
        <v>6506.4321210752205</v>
      </c>
      <c r="D8" s="1021">
        <f>'SEAP template'!D76</f>
        <v>4853.5574489720902</v>
      </c>
      <c r="E8" s="1021">
        <f>'SEAP template'!E76</f>
        <v>0</v>
      </c>
      <c r="F8" s="1021">
        <f>'SEAP template'!F76</f>
        <v>2800.6888756808371</v>
      </c>
      <c r="G8" s="1021">
        <f>'SEAP template'!G76</f>
        <v>0</v>
      </c>
      <c r="H8" s="1021">
        <f>'SEAP template'!H76</f>
        <v>0</v>
      </c>
      <c r="I8" s="1021">
        <f>'SEAP template'!I76</f>
        <v>8447.896081371835</v>
      </c>
      <c r="J8" s="1021">
        <f>'SEAP template'!J76</f>
        <v>0</v>
      </c>
      <c r="K8" s="1021">
        <f>'SEAP template'!K76</f>
        <v>0</v>
      </c>
      <c r="L8" s="1021">
        <f>'SEAP template'!L76</f>
        <v>0</v>
      </c>
      <c r="M8" s="1021">
        <f>'SEAP template'!M76</f>
        <v>0</v>
      </c>
      <c r="N8" s="1021">
        <f>'SEAP template'!N76</f>
        <v>0</v>
      </c>
      <c r="O8" s="1021">
        <f>'SEAP template'!O76</f>
        <v>0</v>
      </c>
      <c r="P8" s="1022">
        <f>'SEAP template'!Q76</f>
        <v>1728.2025344991457</v>
      </c>
    </row>
    <row r="9" spans="1:16">
      <c r="A9" s="1024" t="s">
        <v>849</v>
      </c>
      <c r="B9" s="1021">
        <f>'SEAP template'!B77</f>
        <v>1858.5</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5310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169541.12657370622</v>
      </c>
      <c r="C10" s="1025">
        <f>SUM(C4:C9)</f>
        <v>6506.4321210752205</v>
      </c>
      <c r="D10" s="1025">
        <f t="shared" ref="D10:H10" si="0">SUM(D8:D9)</f>
        <v>4853.5574489720902</v>
      </c>
      <c r="E10" s="1025">
        <f t="shared" si="0"/>
        <v>0</v>
      </c>
      <c r="F10" s="1025">
        <f t="shared" si="0"/>
        <v>2800.6888756808371</v>
      </c>
      <c r="G10" s="1025">
        <f t="shared" si="0"/>
        <v>0</v>
      </c>
      <c r="H10" s="1025">
        <f t="shared" si="0"/>
        <v>0</v>
      </c>
      <c r="I10" s="1025">
        <f>SUM(I8:I9)</f>
        <v>8447.896081371835</v>
      </c>
      <c r="J10" s="1025">
        <f>SUM(J8:J9)</f>
        <v>5310</v>
      </c>
      <c r="K10" s="1025">
        <f t="shared" ref="K10:L10" si="1">SUM(K8:K9)</f>
        <v>0</v>
      </c>
      <c r="L10" s="1025">
        <f t="shared" si="1"/>
        <v>0</v>
      </c>
      <c r="M10" s="1025">
        <f>SUM(M8:M9)</f>
        <v>0</v>
      </c>
      <c r="N10" s="1025">
        <f>SUM(N8:N9)</f>
        <v>0</v>
      </c>
      <c r="O10" s="1025">
        <f>SUM(O8:O9)</f>
        <v>0</v>
      </c>
      <c r="P10" s="1025">
        <f>SUM(P8:P9)</f>
        <v>1728.2025344991457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0.19605810541488139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8683.9065874181142</v>
      </c>
      <c r="C17" s="1027">
        <f>'SEAP template'!C87</f>
        <v>7868.0844840104546</v>
      </c>
      <c r="D17" s="1022">
        <f>'SEAP template'!D87</f>
        <v>5869.2996938850529</v>
      </c>
      <c r="E17" s="1022">
        <f>'SEAP template'!E87</f>
        <v>0</v>
      </c>
      <c r="F17" s="1022">
        <f>'SEAP template'!F87</f>
        <v>3386.8111243191624</v>
      </c>
      <c r="G17" s="1022">
        <f>'SEAP template'!G87</f>
        <v>0</v>
      </c>
      <c r="H17" s="1022">
        <f>'SEAP template'!H87</f>
        <v>0</v>
      </c>
      <c r="I17" s="1022">
        <f>'SEAP template'!I87</f>
        <v>10215.853918628163</v>
      </c>
      <c r="J17" s="1022">
        <f>'SEAP template'!J87</f>
        <v>0</v>
      </c>
      <c r="K17" s="1022">
        <f>'SEAP template'!K87</f>
        <v>0</v>
      </c>
      <c r="L17" s="1022">
        <f>'SEAP template'!L87</f>
        <v>0</v>
      </c>
      <c r="M17" s="1022">
        <f>'SEAP template'!M87</f>
        <v>0</v>
      </c>
      <c r="N17" s="1022">
        <f>'SEAP template'!N87</f>
        <v>0</v>
      </c>
      <c r="O17" s="1022">
        <f>'SEAP template'!O87</f>
        <v>0</v>
      </c>
      <c r="P17" s="1022">
        <f>'SEAP template'!Q87</f>
        <v>2089.8771083579973</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8683.9065874181142</v>
      </c>
      <c r="C20" s="1025">
        <f>SUM(C17:C19)</f>
        <v>7868.0844840104546</v>
      </c>
      <c r="D20" s="1025">
        <f t="shared" ref="D20:H20" si="2">SUM(D17:D19)</f>
        <v>5869.2996938850529</v>
      </c>
      <c r="E20" s="1025">
        <f t="shared" si="2"/>
        <v>0</v>
      </c>
      <c r="F20" s="1025">
        <f t="shared" si="2"/>
        <v>3386.8111243191624</v>
      </c>
      <c r="G20" s="1025">
        <f t="shared" si="2"/>
        <v>0</v>
      </c>
      <c r="H20" s="1025">
        <f t="shared" si="2"/>
        <v>0</v>
      </c>
      <c r="I20" s="1025">
        <f>SUM(I17:I19)</f>
        <v>10215.853918628163</v>
      </c>
      <c r="J20" s="1025">
        <f>SUM(J17:J19)</f>
        <v>0</v>
      </c>
      <c r="K20" s="1025">
        <f t="shared" ref="K20:L20" si="3">SUM(K17:K19)</f>
        <v>0</v>
      </c>
      <c r="L20" s="1025">
        <f t="shared" si="3"/>
        <v>0</v>
      </c>
      <c r="M20" s="1025">
        <f>SUM(M17:M19)</f>
        <v>0</v>
      </c>
      <c r="N20" s="1025">
        <f>SUM(N17:N19)</f>
        <v>0</v>
      </c>
      <c r="O20" s="1025">
        <f>SUM(O17:O19)</f>
        <v>0</v>
      </c>
      <c r="P20" s="1025">
        <f>SUM(P17:P19)</f>
        <v>2089.8771083579973</v>
      </c>
    </row>
    <row r="22" spans="1:16">
      <c r="A22" s="461" t="s">
        <v>857</v>
      </c>
      <c r="B22" s="760" t="s">
        <v>851</v>
      </c>
      <c r="C22" s="760">
        <f ca="1">'EF ele_warmte'!B22</f>
        <v>0.12626137238349922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0.19605810541488139</v>
      </c>
      <c r="C17" s="498">
        <f ca="1">'EF ele_warmte'!B22</f>
        <v>0.12626137238349922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2</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3.1266666666666669</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3</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57.2</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2020-06-20T15:58:05Z</dcterms:modified>
</cp:coreProperties>
</file>