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G49" i="18"/>
  <c r="I49" i="18"/>
  <c r="H17" i="18" s="1"/>
  <c r="B48" i="18"/>
  <c r="C8" i="18" s="1"/>
  <c r="F49" i="18"/>
  <c r="I17" i="18" s="1"/>
  <c r="D48" i="18"/>
  <c r="D49" i="18"/>
  <c r="J17" i="18" s="1"/>
  <c r="C49" i="18"/>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O15" i="48"/>
  <c r="J20" i="15"/>
  <c r="K40" i="14" s="1"/>
  <c r="N63"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E23" i="48"/>
  <c r="E33" i="48" s="1"/>
  <c r="E15" i="48"/>
  <c r="J22" i="16"/>
  <c r="K43" i="14" s="1"/>
  <c r="K46" i="14" s="1"/>
  <c r="K61" i="14" s="1"/>
  <c r="K63" i="14" s="1"/>
  <c r="J8" i="48"/>
  <c r="K13" i="14"/>
  <c r="K16" i="14" s="1"/>
  <c r="K27" i="14" s="1"/>
  <c r="E22" i="16"/>
  <c r="F43" i="14" s="1"/>
  <c r="F46" i="14" s="1"/>
  <c r="F61" i="14" s="1"/>
  <c r="F63" i="14" s="1"/>
  <c r="G33" i="48"/>
  <c r="N8" i="48"/>
  <c r="N26" i="48" s="1"/>
  <c r="O13" i="14"/>
  <c r="N22" i="16"/>
  <c r="O43" i="14" s="1"/>
  <c r="G13" i="14"/>
  <c r="F8" i="48"/>
  <c r="J26" i="48" l="1"/>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<sst xmlns="http://schemas.openxmlformats.org/spreadsheetml/2006/main" count="2416" uniqueCount="902">
  <si>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</si>
  <si>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</si>
  <si>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</si>
  <si>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</si>
  <si>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</si>
  <si>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</si>
  <si>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</si>
  <si>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</si>
  <si>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</si>
  <si>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</si>
  <si>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</si>
  <si>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</si>
  <si>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</si>
  <si>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</si>
  <si>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</si>
  <si>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</si>
  <si>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</si>
  <si>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</si>
  <si>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</si>
  <si>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</si>
  <si>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</si>
  <si>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</si>
  <si>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</si>
  <si>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</si>
  <si>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</si>
  <si>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</si>
  <si>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</si>
  <si>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</si>
  <si>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</si>
  <si>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</si>
  <si>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</si>
  <si>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</si>
  <si>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</si>
  <si>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</si>
  <si>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</si>
  <si>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</si>
  <si>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</si>
  <si>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</si>
  <si>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</si>
  <si>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</si>
  <si>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</si>
  <si>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</si>
  <si>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</si>
  <si>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</si>
  <si>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</si>
  <si>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</si>
  <si>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</si>
  <si>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</si>
  <si>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</si>
  <si>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</si>
  <si>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</si>
  <si>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</si>
  <si>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</si>
  <si>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</si>
  <si>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</si>
  <si>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</si>
  <si>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</si>
  <si>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</si>
  <si>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</si>
  <si>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</si>
  <si>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</si>
  <si>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</si>
  <si>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</si>
  <si>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</si>
  <si>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</si>
  <si>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</si>
  <si>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</si>
  <si>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</si>
  <si>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</si>
  <si>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</si>
  <si>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</si>
  <si>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</si>
  <si>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</si>
  <si>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</si>
  <si>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</si>
  <si>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</si>
  <si>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</si>
  <si>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</si>
  <si>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</si>
  <si>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</si>
  <si>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</si>
  <si>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</si>
  <si>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</si>
  <si>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</si>
  <si>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</si>
  <si>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</si>
  <si>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</si>
  <si>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</si>
  <si>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</si>
  <si>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</si>
  <si>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</si>
  <si>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</si>
  <si>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</si>
  <si>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</si>
  <si>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</si>
  <si>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</si>
  <si>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</si>
  <si>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</si>
  <si>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</si>
  <si>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</si>
  <si>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</si>
  <si>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</si>
  <si>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</si>
  <si>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</si>
  <si>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</si>
  <si>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</si>
  <si>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</si>
  <si>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</si>
  <si>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</si>
  <si>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</si>
  <si>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</si>
  <si>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</si>
  <si>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</si>
  <si>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</si>
  <si>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</si>
  <si>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</si>
  <si>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</si>
  <si>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</si>
  <si>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</si>
  <si>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</si>
  <si>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</si>
  <si>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</si>
  <si>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</si>
  <si>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</si>
  <si>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</si>
  <si>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</si>
  <si>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</si>
  <si>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</si>
  <si>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</si>
  <si>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</si>
  <si>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</si>
  <si>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</si>
  <si>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</si>
  <si>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</si>
  <si>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</si>
  <si>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</si>
  <si>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</si>
  <si>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</si>
  <si>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</si>
  <si>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</si>
  <si>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</si>
  <si>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</si>
  <si>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</si>
  <si>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</si>
  <si>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</si>
  <si>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</si>
  <si>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</si>
  <si>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</si>
  <si>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</si>
  <si>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</si>
  <si>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</si>
  <si>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</si>
  <si>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</si>
  <si>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</si>
  <si>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</si>
  <si>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</si>
  <si>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</si>
  <si>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</si>
  <si>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</si>
  <si>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</si>
  <si>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</si>
  <si>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</si>
  <si>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</si>
  <si>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</si>
  <si>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</si>
  <si>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</si>
  <si>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</si>
  <si>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</si>
  <si>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</si>
  <si>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</si>
  <si>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</si>
  <si>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</si>
  <si>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</si>
  <si>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</si>
  <si>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</si>
  <si>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</si>
  <si>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</si>
  <si>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</si>
  <si>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</si>
  <si>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</si>
  <si>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</si>
  <si>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</si>
  <si>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</si>
  <si>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</si>
  <si>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</si>
  <si>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</si>
  <si>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</si>
  <si>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</si>
  <si>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</si>
  <si>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</si>
  <si>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</si>
  <si>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</si>
  <si>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</si>
  <si>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</si>
  <si>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</si>
  <si>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</si>
  <si>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</si>
  <si>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</si>
  <si>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</si>
  <si>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</si>
  <si>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</si>
  <si>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</si>
  <si>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</si>
  <si>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</si>
  <si>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</si>
  <si>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</si>
  <si>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</si>
  <si>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</si>
  <si>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</si>
  <si>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</si>
  <si>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</si>
  <si>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</si>
  <si>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</si>
  <si>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</si>
  <si>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</si>
  <si>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</si>
  <si>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</si>
  <si>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</si>
  <si>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</si>
  <si>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</si>
  <si>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</si>
  <si>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</si>
  <si>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</si>
  <si>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</si>
  <si>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</si>
  <si>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</si>
  <si>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</si>
  <si>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</si>
  <si>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</si>
  <si>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</si>
  <si>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</si>
  <si>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</si>
  <si>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</si>
  <si>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</si>
  <si>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</si>
  <si>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</si>
  <si>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</si>
  <si>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</si>
  <si>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</si>
  <si>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</si>
  <si>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</si>
  <si>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</si>
  <si>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</si>
  <si>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</si>
  <si>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</si>
  <si>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</si>
  <si>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</si>
  <si>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</si>
  <si>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</si>
  <si>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</si>
  <si>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</si>
  <si>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</si>
  <si>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</si>
  <si>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</si>
  <si>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</si>
  <si>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</si>
  <si>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</si>
  <si>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</si>
  <si>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</si>
  <si>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</si>
  <si>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</si>
  <si>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</si>
  <si>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</si>
  <si>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</si>
  <si>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</si>
  <si>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</si>
  <si>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</si>
  <si>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</si>
  <si>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</si>
  <si>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</si>
  <si>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</si>
  <si>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</si>
  <si>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</si>
  <si>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</si>
  <si>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</si>
  <si>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</si>
  <si>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</si>
  <si>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</si>
  <si>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</si>
  <si>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</si>
  <si>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</si>
  <si>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</si>
  <si>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</si>
  <si>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</si>
  <si>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</si>
  <si>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</si>
  <si>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</si>
  <si>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</si>
  <si>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</si>
  <si>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</si>
  <si>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</si>
  <si>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</si>
  <si>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</si>
  <si>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</si>
  <si>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</si>
  <si>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</si>
  <si>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</si>
  <si>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</si>
  <si>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</si>
  <si>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</si>
  <si>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</si>
  <si>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</si>
  <si>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</si>
  <si>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</si>
  <si>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</si>
  <si>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</si>
  <si>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</si>
  <si>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</si>
  <si>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</si>
  <si>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</si>
  <si>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</si>
  <si>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</si>
  <si>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</si>
  <si>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</si>
  <si>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</si>
  <si>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</si>
  <si>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</si>
  <si>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</si>
  <si>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</si>
  <si>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</si>
  <si>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</si>
  <si>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</si>
  <si>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</si>
  <si>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</si>
  <si>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</si>
  <si>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</si>
  <si>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</si>
  <si>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</si>
  <si>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</si>
  <si>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</si>
  <si>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</si>
  <si>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</si>
  <si>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</si>
  <si>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</si>
  <si>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</si>
  <si>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</si>
  <si>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</si>
  <si>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</si>
  <si>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</si>
  <si>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</si>
  <si>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</si>
  <si>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</si>
  <si>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</si>
  <si>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</si>
  <si>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</si>
  <si>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</si>
  <si>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</si>
  <si>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</si>
  <si>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</si>
  <si>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</si>
  <si>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</si>
  <si>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</si>
  <si>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</si>
  <si>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</si>
  <si>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</si>
  <si>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</si>
  <si>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</si>
  <si>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</si>
  <si>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</si>
  <si>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</si>
  <si>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</si>
  <si>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</si>
  <si>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</si>
  <si>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</si>
  <si>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</si>
  <si>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</si>
  <si>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</si>
  <si>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</si>
  <si>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</si>
  <si>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</si>
  <si>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</si>
  <si>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</si>
  <si>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</si>
  <si>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</si>
  <si>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</si>
  <si>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</si>
  <si>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</si>
  <si>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</si>
  <si>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</si>
  <si>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</si>
  <si>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</si>
  <si>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</si>
  <si>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</si>
  <si>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</si>
  <si>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</si>
  <si>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</si>
  <si>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</si>
  <si>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</si>
  <si>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</si>
  <si>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</si>
  <si>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</si>
  <si>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</si>
  <si>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</si>
  <si>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</si>
  <si>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</si>
  <si>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</si>
  <si>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</si>
  <si>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</si>
  <si>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</si>
  <si>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</si>
  <si>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</si>
  <si>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</si>
  <si>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</si>
  <si>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</si>
  <si>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</si>
  <si>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</si>
  <si>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</si>
  <si>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</si>
  <si>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</si>
  <si>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</si>
  <si>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</si>
  <si>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</si>
  <si>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</si>
  <si>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</si>
  <si>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</si>
  <si>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</si>
  <si>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</si>
  <si>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</si>
  <si>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</si>
  <si>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</si>
  <si>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</si>
  <si>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</si>
  <si>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</si>
  <si>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</si>
  <si>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</si>
  <si>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</si>
  <si>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</si>
  <si>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</si>
  <si>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</si>
  <si>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</si>
  <si>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</si>
  <si>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</si>
  <si>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</si>
  <si>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</si>
  <si>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</si>
  <si>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</si>
  <si>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</si>
  <si>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</si>
  <si>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</si>
  <si>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</si>
  <si>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</si>
  <si>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</si>
  <si>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</si>
  <si>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</si>
  <si>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</si>
  <si>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</si>
  <si>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</si>
  <si>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</si>
  <si>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</si>
  <si>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</si>
  <si>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</si>
  <si>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</si>
  <si>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</si>
  <si>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</si>
  <si>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</si>
  <si>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</si>
  <si>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</si>
  <si>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</si>
  <si>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</si>
  <si>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</si>
  <si>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</si>
  <si>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</si>
  <si>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</si>
  <si>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</si>
  <si>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</si>
  <si>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</si>
  <si>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</si>
  <si>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</si>
  <si>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</si>
  <si>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</si>
  <si>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</si>
  <si>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</si>
  <si>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</si>
  <si>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</si>
  <si>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</si>
  <si>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</si>
  <si>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</si>
  <si>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</si>
  <si>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</si>
  <si>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</si>
  <si>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</si>
  <si>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</si>
  <si>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</si>
  <si>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</si>
  <si>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</si>
  <si>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</si>
  <si>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</si>
  <si>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</si>
  <si>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</si>
  <si>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</si>
  <si>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</si>
  <si>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</si>
  <si>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</si>
  <si>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</si>
  <si>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</si>
  <si>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</si>
  <si>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</si>
  <si>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</si>
  <si>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</si>
  <si>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</si>
  <si>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</si>
  <si>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</si>
  <si>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</si>
  <si>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</si>
  <si>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</si>
  <si>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</si>
  <si>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</si>
  <si>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</si>
  <si>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</si>
  <si>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</si>
  <si>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</si>
  <si>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</si>
  <si>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</si>
  <si>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</si>
  <si>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</si>
  <si>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</si>
  <si>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</si>
  <si>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</si>
  <si>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</si>
  <si>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</si>
  <si>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</si>
  <si>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</si>
  <si>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</si>
  <si>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</si>
  <si>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</si>
  <si>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</si>
  <si>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</si>
  <si>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</si>
  <si>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</si>
  <si>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</si>
  <si>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</si>
  <si>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</si>
  <si>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</si>
  <si>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</si>
  <si>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</si>
  <si>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</si>
  <si>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</si>
  <si>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</si>
  <si>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</si>
  <si>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</si>
  <si>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</si>
  <si>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</si>
  <si>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</si>
  <si>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</si>
  <si>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</si>
  <si>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</si>
  <si>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</si>
  <si>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</si>
  <si>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</si>
  <si>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</si>
  <si>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</si>
  <si>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</si>
  <si>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</si>
  <si>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</si>
  <si>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</si>
  <si>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</si>
  <si>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</si>
  <si>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</si>
  <si>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</si>
  <si>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</si>
  <si>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</si>
  <si>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</si>
  <si>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</si>
  <si>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</si>
  <si>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</si>
  <si>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</si>
  <si>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</si>
  <si>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</si>
  <si>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</si>
  <si>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</si>
  <si>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</si>
  <si>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</si>
  <si>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</si>
  <si>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</si>
  <si>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</si>
  <si>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</si>
  <si>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</si>
  <si>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</si>
  <si>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</si>
  <si>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</si>
  <si>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</si>
  <si>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</si>
  <si>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</si>
  <si>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</si>
  <si>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</si>
  <si>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</si>
  <si>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</si>
  <si>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</si>
  <si>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</si>
  <si>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</si>
  <si>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</si>
  <si>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</si>
  <si>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</si>
  <si>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</si>
  <si>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</si>
  <si>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</si>
  <si>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</si>
  <si>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</si>
  <si>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</si>
  <si>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</si>
  <si>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</si>
  <si>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</si>
  <si>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</si>
  <si>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</si>
  <si>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</si>
  <si>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</si>
  <si>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</si>
  <si>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</si>
  <si>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</si>
  <si>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</si>
  <si>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</si>
  <si>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</si>
  <si>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</si>
  <si>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</si>
  <si>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</si>
  <si>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</si>
  <si>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</si>
  <si>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</si>
  <si>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</si>
  <si>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</si>
  <si>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</si>
  <si>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</si>
  <si>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</si>
  <si>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</si>
  <si>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</si>
  <si>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</si>
  <si>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</si>
  <si>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</si>
  <si>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</si>
  <si>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</si>
  <si>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</si>
  <si>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</si>
  <si>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</si>
  <si>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</si>
  <si>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</si>
  <si>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</si>
  <si>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</si>
  <si>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</si>
  <si>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</si>
  <si>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</si>
  <si>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</si>
  <si>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</si>
  <si>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</si>
  <si>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</si>
  <si>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</si>
  <si>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</si>
  <si>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</si>
  <si>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</si>
  <si>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</si>
  <si>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</si>
  <si>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</si>
  <si>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</si>
  <si>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</si>
  <si>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</si>
  <si>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</si>
  <si>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</si>
  <si>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</si>
  <si>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</si>
  <si>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</si>
  <si>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</si>
  <si>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</si>
  <si>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</si>
  <si>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</si>
  <si>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</si>
  <si>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</si>
  <si>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</si>
  <si>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</si>
  <si>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</si>
  <si>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</si>
  <si>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</si>
  <si>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</si>
  <si>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</si>
  <si>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</si>
  <si>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</si>
  <si>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</si>
  <si>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</si>
  <si>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</si>
  <si>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</si>
  <si>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</si>
  <si>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</si>
  <si>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</si>
  <si>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</si>
  <si>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</si>
  <si>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</si>
  <si>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</si>
  <si>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</si>
  <si>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</si>
  <si>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</si>
  <si>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</si>
  <si>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</si>
  <si>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</si>
  <si>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</si>
  <si>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</si>
  <si>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</si>
  <si>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</si>
  <si>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</si>
  <si>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</si>
  <si>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</si>
  <si>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</si>
  <si>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</si>
  <si>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</si>
  <si>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</si>
  <si>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</si>
  <si>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</si>
  <si>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</si>
  <si>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</si>
  <si>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</si>
  <si>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</si>
  <si>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</si>
  <si>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</si>
  <si>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</si>
  <si>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</si>
  <si>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</si>
  <si>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</si>
  <si>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</si>
  <si>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</si>
  <si>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</si>
  <si>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</si>
  <si>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</si>
  <si>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</si>
  <si>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</si>
  <si>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</si>
  <si>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</si>
  <si>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</si>
  <si>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</si>
  <si>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</si>
  <si>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</si>
  <si>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</si>
  <si>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</si>
  <si>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</si>
  <si>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</si>
  <si>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</si>
  <si>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</si>
  <si>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</si>
  <si>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</si>
  <si>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</si>
  <si>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</si>
  <si>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</si>
  <si>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</si>
  <si>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</si>
  <si>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</si>
  <si>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</si>
  <si>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</si>
  <si>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</si>
  <si>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</si>
  <si>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</si>
  <si>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</si>
  <si>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</si>
  <si>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</si>
  <si>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</si>
  <si>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</si>
  <si>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</si>
  <si>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</si>
  <si>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</si>
  <si>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</si>
  <si>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</si>
  <si>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</si>
  <si>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</si>
  <si>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</si>
  <si>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</si>
  <si>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</si>
  <si>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</si>
  <si>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</si>
  <si>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</si>
  <si>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</si>
  <si>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</si>
  <si>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</si>
  <si>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</si>
  <si>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</si>
  <si>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</si>
  <si>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</si>
  <si>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</si>
  <si>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</si>
  <si>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</si>
  <si>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</si>
  <si>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</si>
  <si>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</si>
  <si>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</si>
  <si>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</si>
  <si>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</si>
  <si>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</si>
  <si>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</si>
  <si>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</si>
  <si>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</si>
  <si>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</si>
  <si>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</si>
  <si>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</si>
  <si>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</si>
  <si>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</si>
  <si>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</si>
  <si>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</si>
  <si>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</si>
  <si>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</si>
  <si>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</si>
  <si>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</si>
  <si>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</si>
  <si>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</si>
  <si>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</si>
  <si>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</si>
  <si>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</si>
  <si>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</si>
  <si>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</si>
  <si>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</si>
  <si>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</si>
  <si>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</si>
  <si>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</si>
  <si>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</si>
  <si>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</si>
  <si>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</si>
  <si>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</si>
  <si>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</si>
  <si>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</si>
  <si>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</si>
  <si>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</si>
  <si>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</si>
  <si>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</si>
  <si>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</si>
  <si>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</si>
  <si>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</si>
  <si>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</si>
  <si>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</si>
  <si>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</si>
  <si>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</si>
  <si>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</si>
  <si>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</si>
  <si>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</si>
  <si>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</si>
  <si>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</si>
  <si>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</si>
  <si>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</si>
  <si>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</si>
  <si>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</si>
  <si>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</si>
  <si>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</si>
  <si>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</si>
  <si>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</si>
  <si>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</si>
  <si>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</si>
  <si>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</si>
  <si>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</si>
  <si>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</si>
  <si>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</si>
  <si>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</si>
  <si>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</si>
  <si>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</si>
  <si>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</si>
  <si>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</si>
  <si>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</si>
  <si>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</si>
  <si>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</si>
  <si>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</si>
  <si>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</si>
  <si>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</si>
  <si>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</si>
  <si>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</si>
  <si>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</si>
  <si>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</si>
  <si>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</si>
  <si>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</si>
  <si>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</si>
  <si>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</si>
  <si>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</si>
  <si>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</si>
  <si>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</si>
  <si>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</si>
  <si>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</si>
  <si>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</si>
  <si>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</si>
  <si>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</si>
  <si>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</si>
  <si>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</si>
  <si>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</si>
  <si>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</si>
  <si>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</si>
  <si>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</si>
  <si>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</si>
  <si>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</si>
  <si>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</si>
  <si>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</si>
  <si>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</si>
  <si>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</si>
  <si>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</si>
  <si>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</si>
  <si>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</si>
  <si>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</si>
  <si>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</si>
  <si>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</si>
  <si>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</si>
  <si>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</si>
  <si>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</si>
  <si>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43010</t>
  </si>
  <si>
    <t>MALDEGEM</t>
  </si>
  <si>
    <t>Paarden&amp;pony's 200 - 600 kg</t>
  </si>
  <si>
    <t>Paarden&amp;pony's &lt; 200 kg</t>
  </si>
  <si>
    <t>Fluvius</t>
  </si>
  <si>
    <t>referentietaak LNE (2017); Jaarverslag De Lijn</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</si>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</sst>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227057.37849597534</c:v>
                </c:pt>
                <c:pt idx="1">
                  <c:v>56223.025548257719</c:v>
                </c:pt>
                <c:pt idx="2">
                  <c:v>1534.1880000000001</c:v>
                </c:pt>
                <c:pt idx="3">
                  <c:v>26344.736897436938</c:v>
                </c:pt>
                <c:pt idx="4">
                  <c:v>69115.60618755038</c:v>
                </c:pt>
                <c:pt idx="5">
                  <c:v>225158.10514056741</c:v>
                </c:pt>
                <c:pt idx="6">
                  <c:v>1484.7641201806032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227057.37849597534</c:v>
                </c:pt>
                <c:pt idx="1">
                  <c:v>56223.025548257719</c:v>
                </c:pt>
                <c:pt idx="2">
                  <c:v>1534.1880000000001</c:v>
                </c:pt>
                <c:pt idx="3">
                  <c:v>26344.736897436938</c:v>
                </c:pt>
                <c:pt idx="4">
                  <c:v>69115.60618755038</c:v>
                </c:pt>
                <c:pt idx="5">
                  <c:v>225158.10514056741</c:v>
                </c:pt>
                <c:pt idx="6">
                  <c:v>1484.7641201806032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38729.071436163707</c:v>
                </c:pt>
                <c:pt idx="2">
                  <c:v>10001.952490340962</c:v>
                </c:pt>
                <c:pt idx="3">
                  <c:v>227.50394832401665</c:v>
                </c:pt>
                <c:pt idx="4">
                  <c:v>6419.0875424529931</c:v>
                </c:pt>
                <c:pt idx="5">
                  <c:v>11928.047328406279</c:v>
                </c:pt>
                <c:pt idx="6">
                  <c:v>57665.63069371759</c:v>
                </c:pt>
                <c:pt idx="7">
                  <c:v>384.52012232547673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38729.071436163707</c:v>
                </c:pt>
                <c:pt idx="2">
                  <c:v>10001.952490340962</c:v>
                </c:pt>
                <c:pt idx="3">
                  <c:v>227.50394832401665</c:v>
                </c:pt>
                <c:pt idx="4">
                  <c:v>6419.0875424529931</c:v>
                </c:pt>
                <c:pt idx="5">
                  <c:v>11928.047328406279</c:v>
                </c:pt>
                <c:pt idx="6">
                  <c:v>57665.63069371759</c:v>
                </c:pt>
                <c:pt idx="7">
                  <c:v>384.52012232547673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43010</v>
      </c>
      <c r="B6" s="390"/>
      <c r="C6" s="391"/>
    </row>
    <row r="7" spans="1:7" s="388" customFormat="1" ht="15.75" customHeight="1">
      <c r="A7" s="392" t="str">
        <f>txtMunicipality</f>
        <v>MALDEGEM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22801.131182309997</v>
      </c>
      <c r="D10" s="978">
        <f ca="1">tertiair!C16</f>
        <v>0</v>
      </c>
      <c r="E10" s="978">
        <f ca="1">tertiair!D16</f>
        <v>26099.362605358896</v>
      </c>
      <c r="F10" s="978">
        <f>tertiair!E16</f>
        <v>444.55195316344742</v>
      </c>
      <c r="G10" s="978">
        <f ca="1">tertiair!F16</f>
        <v>5525.4827711510707</v>
      </c>
      <c r="H10" s="978">
        <f>tertiair!G16</f>
        <v>0</v>
      </c>
      <c r="I10" s="978">
        <f>tertiair!H16</f>
        <v>0</v>
      </c>
      <c r="J10" s="978">
        <f>tertiair!I16</f>
        <v>0</v>
      </c>
      <c r="K10" s="978">
        <f>tertiair!J16</f>
        <v>0</v>
      </c>
      <c r="L10" s="978">
        <f>tertiair!K16</f>
        <v>0</v>
      </c>
      <c r="M10" s="978">
        <f ca="1">tertiair!L16</f>
        <v>0</v>
      </c>
      <c r="N10" s="978">
        <f>tertiair!M16</f>
        <v>0</v>
      </c>
      <c r="O10" s="978">
        <f ca="1">tertiair!N16</f>
        <v>2797.9117029409636</v>
      </c>
      <c r="P10" s="978">
        <f>tertiair!O16</f>
        <v>12.506666666666668</v>
      </c>
      <c r="Q10" s="979">
        <f>tertiair!P16</f>
        <v>76.266666666666666</v>
      </c>
      <c r="R10" s="674">
        <f ca="1">SUM(C10:Q10)</f>
        <v>57757.213548257714</v>
      </c>
      <c r="S10" s="67"/>
    </row>
    <row r="11" spans="1:19" s="447" customFormat="1">
      <c r="A11" s="783" t="s">
        <v>224</v>
      </c>
      <c r="B11" s="788"/>
      <c r="C11" s="978">
        <f>huishoudens!B8</f>
        <v>43797.469881819765</v>
      </c>
      <c r="D11" s="978">
        <f>huishoudens!C8</f>
        <v>0</v>
      </c>
      <c r="E11" s="978">
        <f>huishoudens!D8</f>
        <v>86619.009678321992</v>
      </c>
      <c r="F11" s="978">
        <f>huishoudens!E8</f>
        <v>45155.539728304582</v>
      </c>
      <c r="G11" s="978">
        <f>huishoudens!F8</f>
        <v>14357.672410894693</v>
      </c>
      <c r="H11" s="978">
        <f>huishoudens!G8</f>
        <v>0</v>
      </c>
      <c r="I11" s="978">
        <f>huishoudens!H8</f>
        <v>0</v>
      </c>
      <c r="J11" s="978">
        <f>huishoudens!I8</f>
        <v>0</v>
      </c>
      <c r="K11" s="978">
        <f>huishoudens!J8</f>
        <v>1846.1050242259412</v>
      </c>
      <c r="L11" s="978">
        <f>huishoudens!K8</f>
        <v>0</v>
      </c>
      <c r="M11" s="978">
        <f>huishoudens!L8</f>
        <v>0</v>
      </c>
      <c r="N11" s="978">
        <f>huishoudens!M8</f>
        <v>0</v>
      </c>
      <c r="O11" s="978">
        <f>huishoudens!N8</f>
        <v>33177.538439075011</v>
      </c>
      <c r="P11" s="978">
        <f>huishoudens!O8</f>
        <v>464.31000000000006</v>
      </c>
      <c r="Q11" s="979">
        <f>huishoudens!P8</f>
        <v>1639.7333333333333</v>
      </c>
      <c r="R11" s="674">
        <f>SUM(C11:Q11)</f>
        <v>227057.37849597534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36553.97959984</v>
      </c>
      <c r="D13" s="978">
        <f>industrie!C18</f>
        <v>0</v>
      </c>
      <c r="E13" s="978">
        <f>industrie!D18</f>
        <v>14749.481576685899</v>
      </c>
      <c r="F13" s="978">
        <f>industrie!E18</f>
        <v>2577.2032220968686</v>
      </c>
      <c r="G13" s="978">
        <f>industrie!F18</f>
        <v>10644.823051462128</v>
      </c>
      <c r="H13" s="978">
        <f>industrie!G18</f>
        <v>0</v>
      </c>
      <c r="I13" s="978">
        <f>industrie!H18</f>
        <v>0</v>
      </c>
      <c r="J13" s="978">
        <f>industrie!I18</f>
        <v>0</v>
      </c>
      <c r="K13" s="978">
        <f>industrie!J18</f>
        <v>284.99535684463774</v>
      </c>
      <c r="L13" s="978">
        <f>industrie!K18</f>
        <v>0</v>
      </c>
      <c r="M13" s="978">
        <f>industrie!L18</f>
        <v>0</v>
      </c>
      <c r="N13" s="978">
        <f>industrie!M18</f>
        <v>0</v>
      </c>
      <c r="O13" s="978">
        <f>industrie!N18</f>
        <v>4305.1233806208411</v>
      </c>
      <c r="P13" s="978">
        <f>industrie!O18</f>
        <v>0</v>
      </c>
      <c r="Q13" s="979">
        <f>industrie!P18</f>
        <v>0</v>
      </c>
      <c r="R13" s="674">
        <f>SUM(C13:Q13)</f>
        <v>69115.60618755038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103152.58066396977</v>
      </c>
      <c r="D16" s="706">
        <f t="shared" ref="D16:R16" ca="1" si="0">SUM(D9:D15)</f>
        <v>0</v>
      </c>
      <c r="E16" s="706">
        <f t="shared" ca="1" si="0"/>
        <v>127467.85386036678</v>
      </c>
      <c r="F16" s="706">
        <f t="shared" si="0"/>
        <v>48177.2949035649</v>
      </c>
      <c r="G16" s="706">
        <f t="shared" ca="1" si="0"/>
        <v>30527.978233507893</v>
      </c>
      <c r="H16" s="706">
        <f t="shared" si="0"/>
        <v>0</v>
      </c>
      <c r="I16" s="706">
        <f t="shared" si="0"/>
        <v>0</v>
      </c>
      <c r="J16" s="706">
        <f t="shared" si="0"/>
        <v>0</v>
      </c>
      <c r="K16" s="706">
        <f t="shared" si="0"/>
        <v>2131.1003810705788</v>
      </c>
      <c r="L16" s="706">
        <f t="shared" si="0"/>
        <v>0</v>
      </c>
      <c r="M16" s="706">
        <f t="shared" ca="1" si="0"/>
        <v>0</v>
      </c>
      <c r="N16" s="706">
        <f t="shared" si="0"/>
        <v>0</v>
      </c>
      <c r="O16" s="706">
        <f t="shared" ca="1" si="0"/>
        <v>40280.573522636812</v>
      </c>
      <c r="P16" s="706">
        <f t="shared" si="0"/>
        <v>476.81666666666672</v>
      </c>
      <c r="Q16" s="706">
        <f t="shared" si="0"/>
        <v>1716</v>
      </c>
      <c r="R16" s="706">
        <f t="shared" ca="1" si="0"/>
        <v>353930.19823178346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1440.1502708819353</v>
      </c>
      <c r="I19" s="978">
        <f>transport!H54</f>
        <v>0</v>
      </c>
      <c r="J19" s="978">
        <f>transport!I54</f>
        <v>0</v>
      </c>
      <c r="K19" s="978">
        <f>transport!J54</f>
        <v>0</v>
      </c>
      <c r="L19" s="978">
        <f>transport!K54</f>
        <v>0</v>
      </c>
      <c r="M19" s="978">
        <f>transport!L54</f>
        <v>0</v>
      </c>
      <c r="N19" s="978">
        <f>transport!M54</f>
        <v>44.613849298667951</v>
      </c>
      <c r="O19" s="978">
        <f>transport!N54</f>
        <v>0</v>
      </c>
      <c r="P19" s="978">
        <f>transport!O54</f>
        <v>0</v>
      </c>
      <c r="Q19" s="979">
        <f>transport!P54</f>
        <v>0</v>
      </c>
      <c r="R19" s="674">
        <f>SUM(C19:Q19)</f>
        <v>1484.7641201806032</v>
      </c>
      <c r="S19" s="67"/>
    </row>
    <row r="20" spans="1:19" s="447" customFormat="1">
      <c r="A20" s="783" t="s">
        <v>306</v>
      </c>
      <c r="B20" s="788"/>
      <c r="C20" s="978">
        <f>transport!B14</f>
        <v>48.150259444032827</v>
      </c>
      <c r="D20" s="978">
        <f>transport!C14</f>
        <v>0</v>
      </c>
      <c r="E20" s="978">
        <f>transport!D14</f>
        <v>98.650776179552835</v>
      </c>
      <c r="F20" s="978">
        <f>transport!E14</f>
        <v>443.78725663503565</v>
      </c>
      <c r="G20" s="978">
        <f>transport!F14</f>
        <v>0</v>
      </c>
      <c r="H20" s="978">
        <f>transport!G14</f>
        <v>184105.76363906718</v>
      </c>
      <c r="I20" s="978">
        <f>transport!H14</f>
        <v>33660.981770560051</v>
      </c>
      <c r="J20" s="978">
        <f>transport!I14</f>
        <v>0</v>
      </c>
      <c r="K20" s="978">
        <f>transport!J14</f>
        <v>0</v>
      </c>
      <c r="L20" s="978">
        <f>transport!K14</f>
        <v>0</v>
      </c>
      <c r="M20" s="978">
        <f>transport!L14</f>
        <v>0</v>
      </c>
      <c r="N20" s="978">
        <f>transport!M14</f>
        <v>6800.7714386815505</v>
      </c>
      <c r="O20" s="978">
        <f>transport!N14</f>
        <v>0</v>
      </c>
      <c r="P20" s="978">
        <f>transport!O14</f>
        <v>0</v>
      </c>
      <c r="Q20" s="979">
        <f>transport!P14</f>
        <v>0</v>
      </c>
      <c r="R20" s="674">
        <f>SUM(C20:Q20)</f>
        <v>225158.10514056741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48.150259444032827</v>
      </c>
      <c r="D22" s="786">
        <f t="shared" ref="D22:R22" si="1">SUM(D18:D21)</f>
        <v>0</v>
      </c>
      <c r="E22" s="786">
        <f t="shared" si="1"/>
        <v>98.650776179552835</v>
      </c>
      <c r="F22" s="786">
        <f t="shared" si="1"/>
        <v>443.78725663503565</v>
      </c>
      <c r="G22" s="786">
        <f t="shared" si="1"/>
        <v>0</v>
      </c>
      <c r="H22" s="786">
        <f t="shared" si="1"/>
        <v>185545.91390994913</v>
      </c>
      <c r="I22" s="786">
        <f t="shared" si="1"/>
        <v>33660.981770560051</v>
      </c>
      <c r="J22" s="786">
        <f t="shared" si="1"/>
        <v>0</v>
      </c>
      <c r="K22" s="786">
        <f t="shared" si="1"/>
        <v>0</v>
      </c>
      <c r="L22" s="786">
        <f t="shared" si="1"/>
        <v>0</v>
      </c>
      <c r="M22" s="786">
        <f t="shared" si="1"/>
        <v>0</v>
      </c>
      <c r="N22" s="786">
        <f t="shared" si="1"/>
        <v>6845.3852879802189</v>
      </c>
      <c r="O22" s="786">
        <f t="shared" si="1"/>
        <v>0</v>
      </c>
      <c r="P22" s="786">
        <f t="shared" si="1"/>
        <v>0</v>
      </c>
      <c r="Q22" s="786">
        <f t="shared" si="1"/>
        <v>0</v>
      </c>
      <c r="R22" s="786">
        <f t="shared" si="1"/>
        <v>226642.869260748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5378.0315780799992</v>
      </c>
      <c r="D24" s="978">
        <f>+landbouw!C8</f>
        <v>62.357142857142847</v>
      </c>
      <c r="E24" s="978">
        <f>+landbouw!D8</f>
        <v>333.70106967098002</v>
      </c>
      <c r="F24" s="978">
        <f>+landbouw!E8</f>
        <v>138.67878514478181</v>
      </c>
      <c r="G24" s="978">
        <f>+landbouw!F8</f>
        <v>19657.729614243912</v>
      </c>
      <c r="H24" s="978">
        <f>+landbouw!G8</f>
        <v>0</v>
      </c>
      <c r="I24" s="978">
        <f>+landbouw!H8</f>
        <v>0</v>
      </c>
      <c r="J24" s="978">
        <f>+landbouw!I8</f>
        <v>0</v>
      </c>
      <c r="K24" s="978">
        <f>+landbouw!J8</f>
        <v>774.23870744012345</v>
      </c>
      <c r="L24" s="978">
        <f>+landbouw!K8</f>
        <v>0</v>
      </c>
      <c r="M24" s="978">
        <f>+landbouw!L8</f>
        <v>0</v>
      </c>
      <c r="N24" s="978">
        <f>+landbouw!M8</f>
        <v>0</v>
      </c>
      <c r="O24" s="978">
        <f>+landbouw!N8</f>
        <v>0</v>
      </c>
      <c r="P24" s="978">
        <f>+landbouw!O8</f>
        <v>0</v>
      </c>
      <c r="Q24" s="979">
        <f>+landbouw!P8</f>
        <v>0</v>
      </c>
      <c r="R24" s="674">
        <f>SUM(C24:Q24)</f>
        <v>26344.736897436938</v>
      </c>
      <c r="S24" s="67"/>
    </row>
    <row r="25" spans="1:19" s="447" customFormat="1" ht="15" thickBot="1">
      <c r="A25" s="805" t="s">
        <v>834</v>
      </c>
      <c r="B25" s="981"/>
      <c r="C25" s="982">
        <f>IF(Onbekend_ele_kWh="---",0,Onbekend_ele_kWh)/1000+IF(REST_rest_ele_kWh="---",0,REST_rest_ele_kWh)/1000</f>
        <v>1390.3788259999999</v>
      </c>
      <c r="D25" s="982"/>
      <c r="E25" s="982">
        <f>IF(onbekend_gas_kWh="---",0,onbekend_gas_kWh)/1000+IF(REST_rest_gas_kWh="---",0,REST_rest_gas_kWh)/1000</f>
        <v>2209.6709839</v>
      </c>
      <c r="F25" s="982"/>
      <c r="G25" s="982"/>
      <c r="H25" s="982"/>
      <c r="I25" s="982"/>
      <c r="J25" s="982"/>
      <c r="K25" s="982"/>
      <c r="L25" s="982"/>
      <c r="M25" s="982"/>
      <c r="N25" s="982"/>
      <c r="O25" s="982"/>
      <c r="P25" s="982"/>
      <c r="Q25" s="983"/>
      <c r="R25" s="674">
        <f>SUM(C25:Q25)</f>
        <v>3600.0498098999997</v>
      </c>
      <c r="S25" s="67"/>
    </row>
    <row r="26" spans="1:19" s="447" customFormat="1" ht="15.75" thickBot="1">
      <c r="A26" s="679" t="s">
        <v>835</v>
      </c>
      <c r="B26" s="791"/>
      <c r="C26" s="786">
        <f>SUM(C24:C25)</f>
        <v>6768.4104040799994</v>
      </c>
      <c r="D26" s="786">
        <f t="shared" ref="D26:R26" si="2">SUM(D24:D25)</f>
        <v>62.357142857142847</v>
      </c>
      <c r="E26" s="786">
        <f t="shared" si="2"/>
        <v>2543.3720535709799</v>
      </c>
      <c r="F26" s="786">
        <f t="shared" si="2"/>
        <v>138.67878514478181</v>
      </c>
      <c r="G26" s="786">
        <f t="shared" si="2"/>
        <v>19657.729614243912</v>
      </c>
      <c r="H26" s="786">
        <f t="shared" si="2"/>
        <v>0</v>
      </c>
      <c r="I26" s="786">
        <f t="shared" si="2"/>
        <v>0</v>
      </c>
      <c r="J26" s="786">
        <f t="shared" si="2"/>
        <v>0</v>
      </c>
      <c r="K26" s="786">
        <f t="shared" si="2"/>
        <v>774.23870744012345</v>
      </c>
      <c r="L26" s="786">
        <f t="shared" si="2"/>
        <v>0</v>
      </c>
      <c r="M26" s="786">
        <f t="shared" si="2"/>
        <v>0</v>
      </c>
      <c r="N26" s="786">
        <f t="shared" si="2"/>
        <v>0</v>
      </c>
      <c r="O26" s="786">
        <f t="shared" si="2"/>
        <v>0</v>
      </c>
      <c r="P26" s="786">
        <f t="shared" si="2"/>
        <v>0</v>
      </c>
      <c r="Q26" s="786">
        <f t="shared" si="2"/>
        <v>0</v>
      </c>
      <c r="R26" s="786">
        <f t="shared" si="2"/>
        <v>29944.786707336938</v>
      </c>
      <c r="S26" s="67"/>
    </row>
    <row r="27" spans="1:19" s="447" customFormat="1" ht="17.25" thickTop="1" thickBot="1">
      <c r="A27" s="680" t="s">
        <v>115</v>
      </c>
      <c r="B27" s="779"/>
      <c r="C27" s="681">
        <f ca="1">C22+C16+C26</f>
        <v>109969.14132749381</v>
      </c>
      <c r="D27" s="681">
        <f t="shared" ref="D27:R27" ca="1" si="3">D22+D16+D26</f>
        <v>62.357142857142847</v>
      </c>
      <c r="E27" s="681">
        <f t="shared" ca="1" si="3"/>
        <v>130109.87669011732</v>
      </c>
      <c r="F27" s="681">
        <f t="shared" si="3"/>
        <v>48759.760945344715</v>
      </c>
      <c r="G27" s="681">
        <f t="shared" ca="1" si="3"/>
        <v>50185.707847751808</v>
      </c>
      <c r="H27" s="681">
        <f t="shared" si="3"/>
        <v>185545.91390994913</v>
      </c>
      <c r="I27" s="681">
        <f t="shared" si="3"/>
        <v>33660.981770560051</v>
      </c>
      <c r="J27" s="681">
        <f t="shared" si="3"/>
        <v>0</v>
      </c>
      <c r="K27" s="681">
        <f t="shared" si="3"/>
        <v>2905.3390885107024</v>
      </c>
      <c r="L27" s="681">
        <f t="shared" si="3"/>
        <v>0</v>
      </c>
      <c r="M27" s="681">
        <f t="shared" ca="1" si="3"/>
        <v>0</v>
      </c>
      <c r="N27" s="681">
        <f t="shared" si="3"/>
        <v>6845.3852879802189</v>
      </c>
      <c r="O27" s="681">
        <f t="shared" ca="1" si="3"/>
        <v>40280.573522636812</v>
      </c>
      <c r="P27" s="681">
        <f t="shared" si="3"/>
        <v>476.81666666666672</v>
      </c>
      <c r="Q27" s="681">
        <f t="shared" si="3"/>
        <v>1716</v>
      </c>
      <c r="R27" s="681">
        <f t="shared" ca="1" si="3"/>
        <v>610517.85419986839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3381.1679991170431</v>
      </c>
      <c r="D40" s="978">
        <f ca="1">tertiair!C20</f>
        <v>0</v>
      </c>
      <c r="E40" s="978">
        <f ca="1">tertiair!D20</f>
        <v>5272.0712462824977</v>
      </c>
      <c r="F40" s="978">
        <f>tertiair!E20</f>
        <v>100.91329336810257</v>
      </c>
      <c r="G40" s="978">
        <f ca="1">tertiair!F20</f>
        <v>1475.3038998973359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10229.45643866498</v>
      </c>
    </row>
    <row r="41" spans="1:18">
      <c r="A41" s="796" t="s">
        <v>224</v>
      </c>
      <c r="B41" s="803"/>
      <c r="C41" s="978">
        <f ca="1">huishoudens!B12</f>
        <v>6494.704250532659</v>
      </c>
      <c r="D41" s="978">
        <f ca="1">huishoudens!C12</f>
        <v>0</v>
      </c>
      <c r="E41" s="978">
        <f>huishoudens!D12</f>
        <v>17497.039955021042</v>
      </c>
      <c r="F41" s="978">
        <f>huishoudens!E12</f>
        <v>10250.30751832514</v>
      </c>
      <c r="G41" s="978">
        <f>huishoudens!F12</f>
        <v>3833.4985337088833</v>
      </c>
      <c r="H41" s="978">
        <f>huishoudens!G12</f>
        <v>0</v>
      </c>
      <c r="I41" s="978">
        <f>huishoudens!H12</f>
        <v>0</v>
      </c>
      <c r="J41" s="978">
        <f>huishoudens!I12</f>
        <v>0</v>
      </c>
      <c r="K41" s="978">
        <f>huishoudens!J12</f>
        <v>653.52117857598319</v>
      </c>
      <c r="L41" s="978">
        <f>huishoudens!K12</f>
        <v>0</v>
      </c>
      <c r="M41" s="978">
        <f>huishoudens!L12</f>
        <v>0</v>
      </c>
      <c r="N41" s="978">
        <f>huishoudens!M12</f>
        <v>0</v>
      </c>
      <c r="O41" s="978">
        <f>huishoudens!N12</f>
        <v>0</v>
      </c>
      <c r="P41" s="978">
        <f>huishoudens!O12</f>
        <v>0</v>
      </c>
      <c r="Q41" s="748">
        <f>huishoudens!P12</f>
        <v>0</v>
      </c>
      <c r="R41" s="824">
        <f t="shared" ca="1" si="4"/>
        <v>38729.071436163707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5420.5708074363492</v>
      </c>
      <c r="D43" s="978">
        <f ca="1">industrie!C22</f>
        <v>0</v>
      </c>
      <c r="E43" s="978">
        <f>industrie!D22</f>
        <v>2979.3952784905518</v>
      </c>
      <c r="F43" s="978">
        <f>industrie!E22</f>
        <v>585.02513141598922</v>
      </c>
      <c r="G43" s="978">
        <f>industrie!F22</f>
        <v>2842.1677547403883</v>
      </c>
      <c r="H43" s="978">
        <f>industrie!G22</f>
        <v>0</v>
      </c>
      <c r="I43" s="978">
        <f>industrie!H22</f>
        <v>0</v>
      </c>
      <c r="J43" s="978">
        <f>industrie!I22</f>
        <v>0</v>
      </c>
      <c r="K43" s="978">
        <f>industrie!J22</f>
        <v>100.88835632300176</v>
      </c>
      <c r="L43" s="978">
        <f>industrie!K22</f>
        <v>0</v>
      </c>
      <c r="M43" s="978">
        <f>industrie!L22</f>
        <v>0</v>
      </c>
      <c r="N43" s="978">
        <f>industrie!M22</f>
        <v>0</v>
      </c>
      <c r="O43" s="978">
        <f>industrie!N22</f>
        <v>0</v>
      </c>
      <c r="P43" s="978">
        <f>industrie!O22</f>
        <v>0</v>
      </c>
      <c r="Q43" s="748">
        <f>industrie!P22</f>
        <v>0</v>
      </c>
      <c r="R43" s="823">
        <f t="shared" ca="1" si="4"/>
        <v>11928.047328406279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15296.443057086053</v>
      </c>
      <c r="D46" s="706">
        <f t="shared" ref="D46:Q46" ca="1" si="5">SUM(D39:D45)</f>
        <v>0</v>
      </c>
      <c r="E46" s="706">
        <f t="shared" ca="1" si="5"/>
        <v>25748.50647979409</v>
      </c>
      <c r="F46" s="706">
        <f t="shared" si="5"/>
        <v>10936.245943109232</v>
      </c>
      <c r="G46" s="706">
        <f t="shared" ca="1" si="5"/>
        <v>8150.9701883466078</v>
      </c>
      <c r="H46" s="706">
        <f t="shared" si="5"/>
        <v>0</v>
      </c>
      <c r="I46" s="706">
        <f t="shared" si="5"/>
        <v>0</v>
      </c>
      <c r="J46" s="706">
        <f t="shared" si="5"/>
        <v>0</v>
      </c>
      <c r="K46" s="706">
        <f t="shared" si="5"/>
        <v>754.40953489898493</v>
      </c>
      <c r="L46" s="706">
        <f t="shared" si="5"/>
        <v>0</v>
      </c>
      <c r="M46" s="706">
        <f t="shared" ca="1" si="5"/>
        <v>0</v>
      </c>
      <c r="N46" s="706">
        <f t="shared" si="5"/>
        <v>0</v>
      </c>
      <c r="O46" s="706">
        <f t="shared" ca="1" si="5"/>
        <v>0</v>
      </c>
      <c r="P46" s="706">
        <f t="shared" si="5"/>
        <v>0</v>
      </c>
      <c r="Q46" s="706">
        <f t="shared" si="5"/>
        <v>0</v>
      </c>
      <c r="R46" s="706">
        <f ca="1">SUM(R39:R45)</f>
        <v>60886.57520323497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384.52012232547673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384.52012232547673</v>
      </c>
    </row>
    <row r="50" spans="1:18">
      <c r="A50" s="799" t="s">
        <v>306</v>
      </c>
      <c r="B50" s="809"/>
      <c r="C50" s="677">
        <f ca="1">transport!B18</f>
        <v>7.1401771727736358</v>
      </c>
      <c r="D50" s="677">
        <f>transport!C18</f>
        <v>0</v>
      </c>
      <c r="E50" s="677">
        <f>transport!D18</f>
        <v>19.927456788269673</v>
      </c>
      <c r="F50" s="677">
        <f>transport!E18</f>
        <v>100.7397072561531</v>
      </c>
      <c r="G50" s="677">
        <f>transport!F18</f>
        <v>0</v>
      </c>
      <c r="H50" s="677">
        <f>transport!G18</f>
        <v>49156.238891630943</v>
      </c>
      <c r="I50" s="677">
        <f>transport!H18</f>
        <v>8381.5844608694533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57665.63069371759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7.1401771727736358</v>
      </c>
      <c r="D52" s="706">
        <f t="shared" ref="D52:Q52" ca="1" si="6">SUM(D48:D51)</f>
        <v>0</v>
      </c>
      <c r="E52" s="706">
        <f t="shared" si="6"/>
        <v>19.927456788269673</v>
      </c>
      <c r="F52" s="706">
        <f t="shared" si="6"/>
        <v>100.7397072561531</v>
      </c>
      <c r="G52" s="706">
        <f t="shared" si="6"/>
        <v>0</v>
      </c>
      <c r="H52" s="706">
        <f t="shared" si="6"/>
        <v>49540.75901395642</v>
      </c>
      <c r="I52" s="706">
        <f t="shared" si="6"/>
        <v>8381.5844608694533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58050.150816043068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797.50553271466197</v>
      </c>
      <c r="D54" s="677">
        <f ca="1">+landbouw!C12</f>
        <v>0</v>
      </c>
      <c r="E54" s="677">
        <f>+landbouw!D12</f>
        <v>67.407616073537966</v>
      </c>
      <c r="F54" s="677">
        <f>+landbouw!E12</f>
        <v>31.480084227865472</v>
      </c>
      <c r="G54" s="677">
        <f>+landbouw!F12</f>
        <v>5248.6138070031247</v>
      </c>
      <c r="H54" s="677">
        <f>+landbouw!G12</f>
        <v>0</v>
      </c>
      <c r="I54" s="677">
        <f>+landbouw!H12</f>
        <v>0</v>
      </c>
      <c r="J54" s="677">
        <f>+landbouw!I12</f>
        <v>0</v>
      </c>
      <c r="K54" s="677">
        <f>+landbouw!J12</f>
        <v>274.0805024338037</v>
      </c>
      <c r="L54" s="677">
        <f>+landbouw!K12</f>
        <v>0</v>
      </c>
      <c r="M54" s="677">
        <f>+landbouw!L12</f>
        <v>0</v>
      </c>
      <c r="N54" s="677">
        <f>+landbouw!M12</f>
        <v>0</v>
      </c>
      <c r="O54" s="677">
        <f>+landbouw!N12</f>
        <v>0</v>
      </c>
      <c r="P54" s="677">
        <f>+landbouw!O12</f>
        <v>0</v>
      </c>
      <c r="Q54" s="678">
        <f>+landbouw!P12</f>
        <v>0</v>
      </c>
      <c r="R54" s="705">
        <f ca="1">SUM(C54:Q54)</f>
        <v>6419.0875424529931</v>
      </c>
    </row>
    <row r="55" spans="1:18" ht="15" thickBot="1">
      <c r="A55" s="799" t="s">
        <v>834</v>
      </c>
      <c r="B55" s="809"/>
      <c r="C55" s="677">
        <f ca="1">C25*'EF ele_warmte'!B12</f>
        <v>206.17855998163907</v>
      </c>
      <c r="D55" s="677"/>
      <c r="E55" s="677">
        <f>E25*EF_CO2_aardgas</f>
        <v>446.35353874780003</v>
      </c>
      <c r="F55" s="677"/>
      <c r="G55" s="677"/>
      <c r="H55" s="677"/>
      <c r="I55" s="677"/>
      <c r="J55" s="677"/>
      <c r="K55" s="677"/>
      <c r="L55" s="677"/>
      <c r="M55" s="677"/>
      <c r="N55" s="677"/>
      <c r="O55" s="677"/>
      <c r="P55" s="677"/>
      <c r="Q55" s="678"/>
      <c r="R55" s="705">
        <f ca="1">SUM(C55:Q55)</f>
        <v>652.5320987294391</v>
      </c>
    </row>
    <row r="56" spans="1:18" ht="15.75" thickBot="1">
      <c r="A56" s="797" t="s">
        <v>835</v>
      </c>
      <c r="B56" s="810"/>
      <c r="C56" s="706">
        <f ca="1">SUM(C54:C55)</f>
        <v>1003.684092696301</v>
      </c>
      <c r="D56" s="706">
        <f t="shared" ref="D56:Q56" ca="1" si="7">SUM(D54:D55)</f>
        <v>0</v>
      </c>
      <c r="E56" s="706">
        <f t="shared" si="7"/>
        <v>513.76115482133798</v>
      </c>
      <c r="F56" s="706">
        <f t="shared" si="7"/>
        <v>31.480084227865472</v>
      </c>
      <c r="G56" s="706">
        <f t="shared" si="7"/>
        <v>5248.6138070031247</v>
      </c>
      <c r="H56" s="706">
        <f t="shared" si="7"/>
        <v>0</v>
      </c>
      <c r="I56" s="706">
        <f t="shared" si="7"/>
        <v>0</v>
      </c>
      <c r="J56" s="706">
        <f t="shared" si="7"/>
        <v>0</v>
      </c>
      <c r="K56" s="706">
        <f t="shared" si="7"/>
        <v>274.0805024338037</v>
      </c>
      <c r="L56" s="706">
        <f t="shared" si="7"/>
        <v>0</v>
      </c>
      <c r="M56" s="706">
        <f t="shared" si="7"/>
        <v>0</v>
      </c>
      <c r="N56" s="706">
        <f t="shared" si="7"/>
        <v>0</v>
      </c>
      <c r="O56" s="706">
        <f t="shared" si="7"/>
        <v>0</v>
      </c>
      <c r="P56" s="706">
        <f t="shared" si="7"/>
        <v>0</v>
      </c>
      <c r="Q56" s="707">
        <f t="shared" si="7"/>
        <v>0</v>
      </c>
      <c r="R56" s="708">
        <f ca="1">SUM(R54:R55)</f>
        <v>7071.6196411824321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16307.267326955129</v>
      </c>
      <c r="D61" s="714">
        <f t="shared" ref="D61:Q61" ca="1" si="8">D46+D52+D56</f>
        <v>0</v>
      </c>
      <c r="E61" s="714">
        <f t="shared" ca="1" si="8"/>
        <v>26282.195091403701</v>
      </c>
      <c r="F61" s="714">
        <f t="shared" si="8"/>
        <v>11068.46573459325</v>
      </c>
      <c r="G61" s="714">
        <f t="shared" ca="1" si="8"/>
        <v>13399.583995349733</v>
      </c>
      <c r="H61" s="714">
        <f t="shared" si="8"/>
        <v>49540.75901395642</v>
      </c>
      <c r="I61" s="714">
        <f t="shared" si="8"/>
        <v>8381.5844608694533</v>
      </c>
      <c r="J61" s="714">
        <f t="shared" si="8"/>
        <v>0</v>
      </c>
      <c r="K61" s="714">
        <f t="shared" si="8"/>
        <v>1028.4900373327887</v>
      </c>
      <c r="L61" s="714">
        <f t="shared" si="8"/>
        <v>0</v>
      </c>
      <c r="M61" s="714">
        <f t="shared" ca="1" si="8"/>
        <v>0</v>
      </c>
      <c r="N61" s="714">
        <f t="shared" si="8"/>
        <v>0</v>
      </c>
      <c r="O61" s="714">
        <f t="shared" ca="1" si="8"/>
        <v>0</v>
      </c>
      <c r="P61" s="714">
        <f t="shared" si="8"/>
        <v>0</v>
      </c>
      <c r="Q61" s="714">
        <f t="shared" si="8"/>
        <v>0</v>
      </c>
      <c r="R61" s="714">
        <f ca="1">R46+R52+R56</f>
        <v>126008.34566046047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0.14828948494188238</v>
      </c>
      <c r="D63" s="755">
        <f t="shared" ca="1" si="9"/>
        <v>0</v>
      </c>
      <c r="E63" s="989">
        <f t="shared" ca="1" si="9"/>
        <v>0.20200000000000001</v>
      </c>
      <c r="F63" s="755">
        <f t="shared" si="9"/>
        <v>0.22700000000000001</v>
      </c>
      <c r="G63" s="755">
        <f t="shared" ca="1" si="9"/>
        <v>0.26700000000000002</v>
      </c>
      <c r="H63" s="755">
        <f t="shared" si="9"/>
        <v>0.26700000000000002</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28398.00584985939</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7738.9455366609964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43.649999999999991</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51.35294117647058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36180.601386520386</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43797.469881819765</v>
      </c>
      <c r="C4" s="451">
        <f>huishoudens!C8</f>
        <v>0</v>
      </c>
      <c r="D4" s="451">
        <f>huishoudens!D8</f>
        <v>86619.009678321992</v>
      </c>
      <c r="E4" s="451">
        <f>huishoudens!E8</f>
        <v>45155.539728304582</v>
      </c>
      <c r="F4" s="451">
        <f>huishoudens!F8</f>
        <v>14357.672410894693</v>
      </c>
      <c r="G4" s="451">
        <f>huishoudens!G8</f>
        <v>0</v>
      </c>
      <c r="H4" s="451">
        <f>huishoudens!H8</f>
        <v>0</v>
      </c>
      <c r="I4" s="451">
        <f>huishoudens!I8</f>
        <v>0</v>
      </c>
      <c r="J4" s="451">
        <f>huishoudens!J8</f>
        <v>1846.1050242259412</v>
      </c>
      <c r="K4" s="451">
        <f>huishoudens!K8</f>
        <v>0</v>
      </c>
      <c r="L4" s="451">
        <f>huishoudens!L8</f>
        <v>0</v>
      </c>
      <c r="M4" s="451">
        <f>huishoudens!M8</f>
        <v>0</v>
      </c>
      <c r="N4" s="451">
        <f>huishoudens!N8</f>
        <v>33177.538439075011</v>
      </c>
      <c r="O4" s="451">
        <f>huishoudens!O8</f>
        <v>464.31000000000006</v>
      </c>
      <c r="P4" s="452">
        <f>huishoudens!P8</f>
        <v>1639.7333333333333</v>
      </c>
      <c r="Q4" s="453">
        <f>SUM(B4:P4)</f>
        <v>227057.37849597534</v>
      </c>
    </row>
    <row r="5" spans="1:17">
      <c r="A5" s="450" t="s">
        <v>155</v>
      </c>
      <c r="B5" s="451">
        <f ca="1">tertiair!B16</f>
        <v>21266.943182309999</v>
      </c>
      <c r="C5" s="451">
        <f ca="1">tertiair!C16</f>
        <v>0</v>
      </c>
      <c r="D5" s="451">
        <f ca="1">tertiair!D16</f>
        <v>26099.362605358896</v>
      </c>
      <c r="E5" s="451">
        <f>tertiair!E16</f>
        <v>444.55195316344742</v>
      </c>
      <c r="F5" s="451">
        <f ca="1">tertiair!F16</f>
        <v>5525.4827711510707</v>
      </c>
      <c r="G5" s="451">
        <f>tertiair!G16</f>
        <v>0</v>
      </c>
      <c r="H5" s="451">
        <f>tertiair!H16</f>
        <v>0</v>
      </c>
      <c r="I5" s="451">
        <f>tertiair!I16</f>
        <v>0</v>
      </c>
      <c r="J5" s="451">
        <f>tertiair!J16</f>
        <v>0</v>
      </c>
      <c r="K5" s="451">
        <f>tertiair!K16</f>
        <v>0</v>
      </c>
      <c r="L5" s="451">
        <f ca="1">tertiair!L16</f>
        <v>0</v>
      </c>
      <c r="M5" s="451">
        <f>tertiair!M16</f>
        <v>0</v>
      </c>
      <c r="N5" s="451">
        <f ca="1">tertiair!N16</f>
        <v>2797.9117029409636</v>
      </c>
      <c r="O5" s="451">
        <f>tertiair!O16</f>
        <v>12.506666666666668</v>
      </c>
      <c r="P5" s="452">
        <f>tertiair!P16</f>
        <v>76.266666666666666</v>
      </c>
      <c r="Q5" s="450">
        <f t="shared" ref="Q5:Q14" ca="1" si="0">SUM(B5:P5)</f>
        <v>56223.025548257719</v>
      </c>
    </row>
    <row r="6" spans="1:17">
      <c r="A6" s="450" t="s">
        <v>193</v>
      </c>
      <c r="B6" s="451">
        <f>'openbare verlichting'!B8</f>
        <v>1534.1880000000001</v>
      </c>
      <c r="C6" s="451"/>
      <c r="D6" s="451"/>
      <c r="E6" s="451"/>
      <c r="F6" s="451"/>
      <c r="G6" s="451"/>
      <c r="H6" s="451"/>
      <c r="I6" s="451"/>
      <c r="J6" s="451"/>
      <c r="K6" s="451"/>
      <c r="L6" s="451"/>
      <c r="M6" s="451"/>
      <c r="N6" s="451"/>
      <c r="O6" s="451"/>
      <c r="P6" s="452"/>
      <c r="Q6" s="450">
        <f t="shared" si="0"/>
        <v>1534.1880000000001</v>
      </c>
    </row>
    <row r="7" spans="1:17">
      <c r="A7" s="450" t="s">
        <v>111</v>
      </c>
      <c r="B7" s="451">
        <f>landbouw!B8</f>
        <v>5378.0315780799992</v>
      </c>
      <c r="C7" s="451">
        <f>landbouw!C8</f>
        <v>62.357142857142847</v>
      </c>
      <c r="D7" s="451">
        <f>landbouw!D8</f>
        <v>333.70106967098002</v>
      </c>
      <c r="E7" s="451">
        <f>landbouw!E8</f>
        <v>138.67878514478181</v>
      </c>
      <c r="F7" s="451">
        <f>landbouw!F8</f>
        <v>19657.729614243912</v>
      </c>
      <c r="G7" s="451">
        <f>landbouw!G8</f>
        <v>0</v>
      </c>
      <c r="H7" s="451">
        <f>landbouw!H8</f>
        <v>0</v>
      </c>
      <c r="I7" s="451">
        <f>landbouw!I8</f>
        <v>0</v>
      </c>
      <c r="J7" s="451">
        <f>landbouw!J8</f>
        <v>774.23870744012345</v>
      </c>
      <c r="K7" s="451">
        <f>landbouw!K8</f>
        <v>0</v>
      </c>
      <c r="L7" s="451">
        <f>landbouw!L8</f>
        <v>0</v>
      </c>
      <c r="M7" s="451">
        <f>landbouw!M8</f>
        <v>0</v>
      </c>
      <c r="N7" s="451">
        <f>landbouw!N8</f>
        <v>0</v>
      </c>
      <c r="O7" s="451">
        <f>landbouw!O8</f>
        <v>0</v>
      </c>
      <c r="P7" s="452">
        <f>landbouw!P8</f>
        <v>0</v>
      </c>
      <c r="Q7" s="450">
        <f t="shared" si="0"/>
        <v>26344.736897436938</v>
      </c>
    </row>
    <row r="8" spans="1:17">
      <c r="A8" s="450" t="s">
        <v>637</v>
      </c>
      <c r="B8" s="451">
        <f>industrie!B18</f>
        <v>36553.97959984</v>
      </c>
      <c r="C8" s="451">
        <f>industrie!C18</f>
        <v>0</v>
      </c>
      <c r="D8" s="451">
        <f>industrie!D18</f>
        <v>14749.481576685899</v>
      </c>
      <c r="E8" s="451">
        <f>industrie!E18</f>
        <v>2577.2032220968686</v>
      </c>
      <c r="F8" s="451">
        <f>industrie!F18</f>
        <v>10644.823051462128</v>
      </c>
      <c r="G8" s="451">
        <f>industrie!G18</f>
        <v>0</v>
      </c>
      <c r="H8" s="451">
        <f>industrie!H18</f>
        <v>0</v>
      </c>
      <c r="I8" s="451">
        <f>industrie!I18</f>
        <v>0</v>
      </c>
      <c r="J8" s="451">
        <f>industrie!J18</f>
        <v>284.99535684463774</v>
      </c>
      <c r="K8" s="451">
        <f>industrie!K18</f>
        <v>0</v>
      </c>
      <c r="L8" s="451">
        <f>industrie!L18</f>
        <v>0</v>
      </c>
      <c r="M8" s="451">
        <f>industrie!M18</f>
        <v>0</v>
      </c>
      <c r="N8" s="451">
        <f>industrie!N18</f>
        <v>4305.1233806208411</v>
      </c>
      <c r="O8" s="451">
        <f>industrie!O18</f>
        <v>0</v>
      </c>
      <c r="P8" s="452">
        <f>industrie!P18</f>
        <v>0</v>
      </c>
      <c r="Q8" s="450">
        <f t="shared" si="0"/>
        <v>69115.60618755038</v>
      </c>
    </row>
    <row r="9" spans="1:17" s="456" customFormat="1">
      <c r="A9" s="454" t="s">
        <v>563</v>
      </c>
      <c r="B9" s="455">
        <f>transport!B14</f>
        <v>48.150259444032827</v>
      </c>
      <c r="C9" s="455">
        <f>transport!C14</f>
        <v>0</v>
      </c>
      <c r="D9" s="455">
        <f>transport!D14</f>
        <v>98.650776179552835</v>
      </c>
      <c r="E9" s="455">
        <f>transport!E14</f>
        <v>443.78725663503565</v>
      </c>
      <c r="F9" s="455">
        <f>transport!F14</f>
        <v>0</v>
      </c>
      <c r="G9" s="455">
        <f>transport!G14</f>
        <v>184105.76363906718</v>
      </c>
      <c r="H9" s="455">
        <f>transport!H14</f>
        <v>33660.981770560051</v>
      </c>
      <c r="I9" s="455">
        <f>transport!I14</f>
        <v>0</v>
      </c>
      <c r="J9" s="455">
        <f>transport!J14</f>
        <v>0</v>
      </c>
      <c r="K9" s="455">
        <f>transport!K14</f>
        <v>0</v>
      </c>
      <c r="L9" s="455">
        <f>transport!L14</f>
        <v>0</v>
      </c>
      <c r="M9" s="455">
        <f>transport!M14</f>
        <v>6800.7714386815505</v>
      </c>
      <c r="N9" s="455">
        <f>transport!N14</f>
        <v>0</v>
      </c>
      <c r="O9" s="455">
        <f>transport!O14</f>
        <v>0</v>
      </c>
      <c r="P9" s="455">
        <f>transport!P14</f>
        <v>0</v>
      </c>
      <c r="Q9" s="454">
        <f>SUM(B9:P9)</f>
        <v>225158.10514056741</v>
      </c>
    </row>
    <row r="10" spans="1:17">
      <c r="A10" s="450" t="s">
        <v>553</v>
      </c>
      <c r="B10" s="451">
        <f>transport!B54</f>
        <v>0</v>
      </c>
      <c r="C10" s="451">
        <f>transport!C54</f>
        <v>0</v>
      </c>
      <c r="D10" s="451">
        <f>transport!D54</f>
        <v>0</v>
      </c>
      <c r="E10" s="451">
        <f>transport!E54</f>
        <v>0</v>
      </c>
      <c r="F10" s="451">
        <f>transport!F54</f>
        <v>0</v>
      </c>
      <c r="G10" s="451">
        <f>transport!G54</f>
        <v>1440.1502708819353</v>
      </c>
      <c r="H10" s="451">
        <f>transport!H54</f>
        <v>0</v>
      </c>
      <c r="I10" s="451">
        <f>transport!I54</f>
        <v>0</v>
      </c>
      <c r="J10" s="451">
        <f>transport!J54</f>
        <v>0</v>
      </c>
      <c r="K10" s="451">
        <f>transport!K54</f>
        <v>0</v>
      </c>
      <c r="L10" s="451">
        <f>transport!L54</f>
        <v>0</v>
      </c>
      <c r="M10" s="451">
        <f>transport!M54</f>
        <v>44.613849298667951</v>
      </c>
      <c r="N10" s="451">
        <f>transport!N54</f>
        <v>0</v>
      </c>
      <c r="O10" s="451">
        <f>transport!O54</f>
        <v>0</v>
      </c>
      <c r="P10" s="452">
        <f>transport!P54</f>
        <v>0</v>
      </c>
      <c r="Q10" s="450">
        <f t="shared" si="0"/>
        <v>1484.7641201806032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1390.3788259999999</v>
      </c>
      <c r="C14" s="458"/>
      <c r="D14" s="458">
        <f>'SEAP template'!E25</f>
        <v>2209.6709839</v>
      </c>
      <c r="E14" s="458"/>
      <c r="F14" s="458"/>
      <c r="G14" s="458"/>
      <c r="H14" s="458"/>
      <c r="I14" s="458"/>
      <c r="J14" s="458"/>
      <c r="K14" s="458"/>
      <c r="L14" s="458"/>
      <c r="M14" s="458"/>
      <c r="N14" s="458"/>
      <c r="O14" s="458"/>
      <c r="P14" s="459"/>
      <c r="Q14" s="450">
        <f t="shared" si="0"/>
        <v>3600.0498098999997</v>
      </c>
    </row>
    <row r="15" spans="1:17" s="460" customFormat="1">
      <c r="A15" s="1004" t="s">
        <v>557</v>
      </c>
      <c r="B15" s="944">
        <f ca="1">SUM(B4:B14)</f>
        <v>109969.14132749381</v>
      </c>
      <c r="C15" s="944">
        <f t="shared" ref="C15:Q15" ca="1" si="1">SUM(C4:C14)</f>
        <v>62.357142857142847</v>
      </c>
      <c r="D15" s="944">
        <f t="shared" ca="1" si="1"/>
        <v>130109.87669011731</v>
      </c>
      <c r="E15" s="944">
        <f t="shared" si="1"/>
        <v>48759.760945344715</v>
      </c>
      <c r="F15" s="944">
        <f t="shared" ca="1" si="1"/>
        <v>50185.707847751808</v>
      </c>
      <c r="G15" s="944">
        <f t="shared" si="1"/>
        <v>185545.91390994913</v>
      </c>
      <c r="H15" s="944">
        <f t="shared" si="1"/>
        <v>33660.981770560051</v>
      </c>
      <c r="I15" s="944">
        <f t="shared" si="1"/>
        <v>0</v>
      </c>
      <c r="J15" s="944">
        <f t="shared" si="1"/>
        <v>2905.3390885107024</v>
      </c>
      <c r="K15" s="944">
        <f t="shared" si="1"/>
        <v>0</v>
      </c>
      <c r="L15" s="944">
        <f t="shared" ca="1" si="1"/>
        <v>0</v>
      </c>
      <c r="M15" s="944">
        <f t="shared" si="1"/>
        <v>6845.3852879802189</v>
      </c>
      <c r="N15" s="944">
        <f t="shared" ca="1" si="1"/>
        <v>40280.573522636812</v>
      </c>
      <c r="O15" s="944">
        <f t="shared" si="1"/>
        <v>476.81666666666672</v>
      </c>
      <c r="P15" s="944">
        <f t="shared" si="1"/>
        <v>1716</v>
      </c>
      <c r="Q15" s="944">
        <f t="shared" ca="1" si="1"/>
        <v>610517.85419986839</v>
      </c>
    </row>
    <row r="17" spans="1:17">
      <c r="A17" s="461" t="s">
        <v>558</v>
      </c>
      <c r="B17" s="760">
        <f ca="1">huishoudens!B10</f>
        <v>0.14828948494188238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6494.704250532659</v>
      </c>
      <c r="C22" s="451">
        <f t="shared" ref="C22:C32" ca="1" si="3">C4*$C$17</f>
        <v>0</v>
      </c>
      <c r="D22" s="451">
        <f t="shared" ref="D22:D32" si="4">D4*$D$17</f>
        <v>17497.039955021042</v>
      </c>
      <c r="E22" s="451">
        <f t="shared" ref="E22:E32" si="5">E4*$E$17</f>
        <v>10250.30751832514</v>
      </c>
      <c r="F22" s="451">
        <f t="shared" ref="F22:F32" si="6">F4*$F$17</f>
        <v>3833.4985337088833</v>
      </c>
      <c r="G22" s="451">
        <f t="shared" ref="G22:G32" si="7">G4*$G$17</f>
        <v>0</v>
      </c>
      <c r="H22" s="451">
        <f t="shared" ref="H22:H32" si="8">H4*$H$17</f>
        <v>0</v>
      </c>
      <c r="I22" s="451">
        <f t="shared" ref="I22:I32" si="9">I4*$I$17</f>
        <v>0</v>
      </c>
      <c r="J22" s="451">
        <f t="shared" ref="J22:J32" si="10">J4*$J$17</f>
        <v>653.52117857598319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38729.071436163707</v>
      </c>
    </row>
    <row r="23" spans="1:17">
      <c r="A23" s="450" t="s">
        <v>155</v>
      </c>
      <c r="B23" s="451">
        <f t="shared" ca="1" si="2"/>
        <v>3153.6640507930265</v>
      </c>
      <c r="C23" s="451">
        <f t="shared" ca="1" si="3"/>
        <v>0</v>
      </c>
      <c r="D23" s="451">
        <f t="shared" ca="1" si="4"/>
        <v>5272.0712462824977</v>
      </c>
      <c r="E23" s="451">
        <f t="shared" si="5"/>
        <v>100.91329336810257</v>
      </c>
      <c r="F23" s="451">
        <f t="shared" ca="1" si="6"/>
        <v>1475.3038998973359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10001.952490340962</v>
      </c>
    </row>
    <row r="24" spans="1:17">
      <c r="A24" s="450" t="s">
        <v>193</v>
      </c>
      <c r="B24" s="451">
        <f t="shared" ca="1" si="2"/>
        <v>227.50394832401665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227.50394832401665</v>
      </c>
    </row>
    <row r="25" spans="1:17">
      <c r="A25" s="450" t="s">
        <v>111</v>
      </c>
      <c r="B25" s="451">
        <f t="shared" ca="1" si="2"/>
        <v>797.50553271466197</v>
      </c>
      <c r="C25" s="451">
        <f t="shared" ca="1" si="3"/>
        <v>0</v>
      </c>
      <c r="D25" s="451">
        <f t="shared" si="4"/>
        <v>67.407616073537966</v>
      </c>
      <c r="E25" s="451">
        <f t="shared" si="5"/>
        <v>31.480084227865472</v>
      </c>
      <c r="F25" s="451">
        <f t="shared" si="6"/>
        <v>5248.6138070031247</v>
      </c>
      <c r="G25" s="451">
        <f t="shared" si="7"/>
        <v>0</v>
      </c>
      <c r="H25" s="451">
        <f t="shared" si="8"/>
        <v>0</v>
      </c>
      <c r="I25" s="451">
        <f t="shared" si="9"/>
        <v>0</v>
      </c>
      <c r="J25" s="451">
        <f t="shared" si="10"/>
        <v>274.0805024338037</v>
      </c>
      <c r="K25" s="451">
        <f t="shared" si="11"/>
        <v>0</v>
      </c>
      <c r="L25" s="451">
        <f t="shared" si="12"/>
        <v>0</v>
      </c>
      <c r="M25" s="451">
        <f t="shared" si="13"/>
        <v>0</v>
      </c>
      <c r="N25" s="451">
        <f t="shared" si="14"/>
        <v>0</v>
      </c>
      <c r="O25" s="451">
        <f t="shared" si="15"/>
        <v>0</v>
      </c>
      <c r="P25" s="452">
        <f t="shared" si="16"/>
        <v>0</v>
      </c>
      <c r="Q25" s="450">
        <f t="shared" ca="1" si="17"/>
        <v>6419.0875424529931</v>
      </c>
    </row>
    <row r="26" spans="1:17">
      <c r="A26" s="450" t="s">
        <v>637</v>
      </c>
      <c r="B26" s="451">
        <f t="shared" ca="1" si="2"/>
        <v>5420.5708074363492</v>
      </c>
      <c r="C26" s="451">
        <f t="shared" ca="1" si="3"/>
        <v>0</v>
      </c>
      <c r="D26" s="451">
        <f t="shared" si="4"/>
        <v>2979.3952784905518</v>
      </c>
      <c r="E26" s="451">
        <f t="shared" si="5"/>
        <v>585.02513141598922</v>
      </c>
      <c r="F26" s="451">
        <f t="shared" si="6"/>
        <v>2842.1677547403883</v>
      </c>
      <c r="G26" s="451">
        <f t="shared" si="7"/>
        <v>0</v>
      </c>
      <c r="H26" s="451">
        <f t="shared" si="8"/>
        <v>0</v>
      </c>
      <c r="I26" s="451">
        <f t="shared" si="9"/>
        <v>0</v>
      </c>
      <c r="J26" s="451">
        <f t="shared" si="10"/>
        <v>100.88835632300176</v>
      </c>
      <c r="K26" s="451">
        <f t="shared" si="11"/>
        <v>0</v>
      </c>
      <c r="L26" s="451">
        <f t="shared" si="12"/>
        <v>0</v>
      </c>
      <c r="M26" s="451">
        <f t="shared" si="13"/>
        <v>0</v>
      </c>
      <c r="N26" s="451">
        <f t="shared" si="14"/>
        <v>0</v>
      </c>
      <c r="O26" s="451">
        <f t="shared" si="15"/>
        <v>0</v>
      </c>
      <c r="P26" s="452">
        <f t="shared" si="16"/>
        <v>0</v>
      </c>
      <c r="Q26" s="450">
        <f t="shared" ca="1" si="17"/>
        <v>11928.047328406279</v>
      </c>
    </row>
    <row r="27" spans="1:17" s="456" customFormat="1">
      <c r="A27" s="454" t="s">
        <v>563</v>
      </c>
      <c r="B27" s="754">
        <f t="shared" ca="1" si="2"/>
        <v>7.1401771727736358</v>
      </c>
      <c r="C27" s="455">
        <f t="shared" ca="1" si="3"/>
        <v>0</v>
      </c>
      <c r="D27" s="455">
        <f t="shared" si="4"/>
        <v>19.927456788269673</v>
      </c>
      <c r="E27" s="455">
        <f t="shared" si="5"/>
        <v>100.7397072561531</v>
      </c>
      <c r="F27" s="455">
        <f t="shared" si="6"/>
        <v>0</v>
      </c>
      <c r="G27" s="455">
        <f t="shared" si="7"/>
        <v>49156.238891630943</v>
      </c>
      <c r="H27" s="455">
        <f t="shared" si="8"/>
        <v>8381.5844608694533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57665.63069371759</v>
      </c>
    </row>
    <row r="28" spans="1:17">
      <c r="A28" s="450" t="s">
        <v>553</v>
      </c>
      <c r="B28" s="451">
        <f t="shared" ca="1" si="2"/>
        <v>0</v>
      </c>
      <c r="C28" s="451">
        <f t="shared" ca="1" si="3"/>
        <v>0</v>
      </c>
      <c r="D28" s="451">
        <f t="shared" si="4"/>
        <v>0</v>
      </c>
      <c r="E28" s="451">
        <f t="shared" si="5"/>
        <v>0</v>
      </c>
      <c r="F28" s="451">
        <f t="shared" si="6"/>
        <v>0</v>
      </c>
      <c r="G28" s="451">
        <f t="shared" si="7"/>
        <v>384.52012232547673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384.52012232547673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206.17855998163907</v>
      </c>
      <c r="C32" s="451">
        <f t="shared" ca="1" si="3"/>
        <v>0</v>
      </c>
      <c r="D32" s="451">
        <f t="shared" si="4"/>
        <v>446.35353874780003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652.5320987294391</v>
      </c>
    </row>
    <row r="33" spans="1:17" s="460" customFormat="1">
      <c r="A33" s="1004" t="s">
        <v>557</v>
      </c>
      <c r="B33" s="944">
        <f ca="1">SUM(B22:B32)</f>
        <v>16307.267326955125</v>
      </c>
      <c r="C33" s="944">
        <f t="shared" ref="C33:Q33" ca="1" si="18">SUM(C22:C32)</f>
        <v>0</v>
      </c>
      <c r="D33" s="944">
        <f t="shared" ca="1" si="18"/>
        <v>26282.195091403701</v>
      </c>
      <c r="E33" s="944">
        <f t="shared" si="18"/>
        <v>11068.46573459325</v>
      </c>
      <c r="F33" s="944">
        <f t="shared" ca="1" si="18"/>
        <v>13399.583995349733</v>
      </c>
      <c r="G33" s="944">
        <f t="shared" si="18"/>
        <v>49540.75901395642</v>
      </c>
      <c r="H33" s="944">
        <f t="shared" si="18"/>
        <v>8381.5844608694533</v>
      </c>
      <c r="I33" s="944">
        <f t="shared" si="18"/>
        <v>0</v>
      </c>
      <c r="J33" s="944">
        <f t="shared" si="18"/>
        <v>1028.4900373327887</v>
      </c>
      <c r="K33" s="944">
        <f t="shared" si="18"/>
        <v>0</v>
      </c>
      <c r="L33" s="944">
        <f t="shared" ca="1" si="18"/>
        <v>0</v>
      </c>
      <c r="M33" s="944">
        <f t="shared" si="18"/>
        <v>0</v>
      </c>
      <c r="N33" s="944">
        <f t="shared" ca="1" si="18"/>
        <v>0</v>
      </c>
      <c r="O33" s="944">
        <f t="shared" si="18"/>
        <v>0</v>
      </c>
      <c r="P33" s="944">
        <f t="shared" si="18"/>
        <v>0</v>
      </c>
      <c r="Q33" s="944">
        <f t="shared" ca="1" si="18"/>
        <v>126008.34566046047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28398.00584985939</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7738.9455366609964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36180.601386520386</v>
      </c>
      <c r="C10" s="1025">
        <f>SUM(C4:C9)</f>
        <v>0</v>
      </c>
      <c r="D10" s="1025">
        <f t="shared" ref="D10:H10" si="0">SUM(D8:D9)</f>
        <v>0</v>
      </c>
      <c r="E10" s="1025">
        <f t="shared" si="0"/>
        <v>0</v>
      </c>
      <c r="F10" s="1025">
        <f t="shared" si="0"/>
        <v>0</v>
      </c>
      <c r="G10" s="1025">
        <f t="shared" si="0"/>
        <v>0</v>
      </c>
      <c r="H10" s="1025">
        <f t="shared" si="0"/>
        <v>0</v>
      </c>
      <c r="I10" s="1025">
        <f>SUM(I8:I9)</f>
        <v>0</v>
      </c>
      <c r="J10" s="1025">
        <f>SUM(J8:J9)</f>
        <v>51.35294117647058</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0.14828948494188238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62.357142857142847</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62.357142857142847</v>
      </c>
      <c r="C20" s="1025">
        <f>SUM(C17:C19)</f>
        <v>0</v>
      </c>
      <c r="D20" s="1025">
        <f t="shared" ref="D20:H20" si="2">SUM(D17:D19)</f>
        <v>0</v>
      </c>
      <c r="E20" s="1025">
        <f t="shared" si="2"/>
        <v>0</v>
      </c>
      <c r="F20" s="1025">
        <f t="shared" si="2"/>
        <v>0</v>
      </c>
      <c r="G20" s="1025">
        <f t="shared" si="2"/>
        <v>0</v>
      </c>
      <c r="H20" s="1025">
        <f t="shared" si="2"/>
        <v>0</v>
      </c>
      <c r="I20" s="1025">
        <f>SUM(I17:I19)</f>
        <v>0</v>
      </c>
      <c r="J20" s="1025">
        <f>SUM(J17:J19)</f>
        <v>73.361344537815114</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0.14828948494188238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0.14828948494188238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0.14828948494188238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9860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6482.83</v>
      </c>
      <c r="C14" s="330"/>
      <c r="D14" s="330"/>
      <c r="E14" s="330"/>
      <c r="F14" s="330"/>
    </row>
    <row r="15" spans="1:6">
      <c r="A15" s="1291" t="s">
        <v>183</v>
      </c>
      <c r="B15" s="1292">
        <v>401</v>
      </c>
      <c r="C15" s="330"/>
      <c r="D15" s="330"/>
      <c r="E15" s="330"/>
      <c r="F15" s="330"/>
    </row>
    <row r="16" spans="1:6">
      <c r="A16" s="1291" t="s">
        <v>6</v>
      </c>
      <c r="B16" s="1292">
        <v>4089</v>
      </c>
      <c r="C16" s="330"/>
      <c r="D16" s="330"/>
      <c r="E16" s="330"/>
      <c r="F16" s="330"/>
    </row>
    <row r="17" spans="1:6">
      <c r="A17" s="1291" t="s">
        <v>7</v>
      </c>
      <c r="B17" s="1292">
        <v>2326</v>
      </c>
      <c r="C17" s="330"/>
      <c r="D17" s="330"/>
      <c r="E17" s="330"/>
      <c r="F17" s="330"/>
    </row>
    <row r="18" spans="1:6">
      <c r="A18" s="1291" t="s">
        <v>8</v>
      </c>
      <c r="B18" s="1292">
        <v>4213</v>
      </c>
      <c r="C18" s="330"/>
      <c r="D18" s="330"/>
      <c r="E18" s="330"/>
      <c r="F18" s="330"/>
    </row>
    <row r="19" spans="1:6">
      <c r="A19" s="1291" t="s">
        <v>9</v>
      </c>
      <c r="B19" s="1292">
        <v>3855</v>
      </c>
      <c r="C19" s="330"/>
      <c r="D19" s="330"/>
      <c r="E19" s="330"/>
      <c r="F19" s="330"/>
    </row>
    <row r="20" spans="1:6">
      <c r="A20" s="1291" t="s">
        <v>10</v>
      </c>
      <c r="B20" s="1292">
        <v>2363</v>
      </c>
      <c r="C20" s="330"/>
      <c r="D20" s="330"/>
      <c r="E20" s="330"/>
      <c r="F20" s="330"/>
    </row>
    <row r="21" spans="1:6">
      <c r="A21" s="1291" t="s">
        <v>11</v>
      </c>
      <c r="B21" s="1292">
        <v>13352</v>
      </c>
      <c r="C21" s="330"/>
      <c r="D21" s="330"/>
      <c r="E21" s="330"/>
      <c r="F21" s="330"/>
    </row>
    <row r="22" spans="1:6">
      <c r="A22" s="1291" t="s">
        <v>12</v>
      </c>
      <c r="B22" s="1292">
        <v>28576</v>
      </c>
      <c r="C22" s="330"/>
      <c r="D22" s="330"/>
      <c r="E22" s="330"/>
      <c r="F22" s="330"/>
    </row>
    <row r="23" spans="1:6">
      <c r="A23" s="1291" t="s">
        <v>13</v>
      </c>
      <c r="B23" s="1292">
        <v>828</v>
      </c>
      <c r="C23" s="330"/>
      <c r="D23" s="330"/>
      <c r="E23" s="330"/>
      <c r="F23" s="330"/>
    </row>
    <row r="24" spans="1:6">
      <c r="A24" s="1291" t="s">
        <v>14</v>
      </c>
      <c r="B24" s="1292">
        <v>30</v>
      </c>
      <c r="C24" s="330"/>
      <c r="D24" s="330"/>
      <c r="E24" s="330"/>
      <c r="F24" s="330"/>
    </row>
    <row r="25" spans="1:6">
      <c r="A25" s="1291" t="s">
        <v>15</v>
      </c>
      <c r="B25" s="1292">
        <v>3860</v>
      </c>
      <c r="C25" s="330"/>
      <c r="D25" s="330"/>
      <c r="E25" s="330"/>
      <c r="F25" s="330"/>
    </row>
    <row r="26" spans="1:6">
      <c r="A26" s="1291" t="s">
        <v>16</v>
      </c>
      <c r="B26" s="1292">
        <v>572</v>
      </c>
      <c r="C26" s="330"/>
      <c r="D26" s="330"/>
      <c r="E26" s="330"/>
      <c r="F26" s="330"/>
    </row>
    <row r="27" spans="1:6">
      <c r="A27" s="1291" t="s">
        <v>17</v>
      </c>
      <c r="B27" s="1292">
        <v>606</v>
      </c>
      <c r="C27" s="330"/>
      <c r="D27" s="330"/>
      <c r="E27" s="330"/>
      <c r="F27" s="330"/>
    </row>
    <row r="28" spans="1:6" s="43" customFormat="1">
      <c r="A28" s="1293" t="s">
        <v>18</v>
      </c>
      <c r="B28" s="1294">
        <v>70318</v>
      </c>
      <c r="C28" s="336"/>
      <c r="D28" s="336"/>
      <c r="E28" s="336"/>
      <c r="F28" s="336"/>
    </row>
    <row r="29" spans="1:6">
      <c r="A29" s="1293" t="s">
        <v>892</v>
      </c>
      <c r="B29" s="1294">
        <v>480</v>
      </c>
      <c r="C29" s="336"/>
      <c r="D29" s="336"/>
      <c r="E29" s="336"/>
      <c r="F29" s="336"/>
    </row>
    <row r="30" spans="1:6">
      <c r="A30" s="1286" t="s">
        <v>893</v>
      </c>
      <c r="B30" s="1295">
        <v>205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3</v>
      </c>
      <c r="F35" s="1292">
        <v>2742.5780479</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4371079.2211999996</v>
      </c>
      <c r="E38" s="1292">
        <v>8</v>
      </c>
      <c r="F38" s="1292">
        <v>461093.85850999999</v>
      </c>
    </row>
    <row r="39" spans="1:6">
      <c r="A39" s="1291" t="s">
        <v>29</v>
      </c>
      <c r="B39" s="1291" t="s">
        <v>30</v>
      </c>
      <c r="C39" s="1292">
        <v>6167</v>
      </c>
      <c r="D39" s="1292">
        <v>96029944.210999995</v>
      </c>
      <c r="E39" s="1292">
        <v>9275</v>
      </c>
      <c r="F39" s="1292">
        <v>39487757.475000001</v>
      </c>
    </row>
    <row r="40" spans="1:6">
      <c r="A40" s="1291" t="s">
        <v>29</v>
      </c>
      <c r="B40" s="1291" t="s">
        <v>28</v>
      </c>
      <c r="C40" s="1292">
        <v>0</v>
      </c>
      <c r="D40" s="1292">
        <v>0</v>
      </c>
      <c r="E40" s="1292">
        <v>0</v>
      </c>
      <c r="F40" s="1292">
        <v>0</v>
      </c>
    </row>
    <row r="41" spans="1:6">
      <c r="A41" s="1291" t="s">
        <v>31</v>
      </c>
      <c r="B41" s="1291" t="s">
        <v>32</v>
      </c>
      <c r="C41" s="1292">
        <v>133</v>
      </c>
      <c r="D41" s="1292">
        <v>4446035.4632999999</v>
      </c>
      <c r="E41" s="1292">
        <v>304</v>
      </c>
      <c r="F41" s="1292">
        <v>4216091.0944999997</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121276.04042</v>
      </c>
      <c r="E44" s="1292">
        <v>36</v>
      </c>
      <c r="F44" s="1292">
        <v>786895.49913999997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388690.15392999997</v>
      </c>
      <c r="E47" s="1292">
        <v>4</v>
      </c>
      <c r="F47" s="1292">
        <v>1323458.0469</v>
      </c>
    </row>
    <row r="48" spans="1:6">
      <c r="A48" s="1291" t="s">
        <v>31</v>
      </c>
      <c r="B48" s="1291" t="s">
        <v>28</v>
      </c>
      <c r="C48" s="1292">
        <v>56</v>
      </c>
      <c r="D48" s="1292">
        <v>3931772.0537</v>
      </c>
      <c r="E48" s="1292">
        <v>89</v>
      </c>
      <c r="F48" s="1292">
        <v>24225274.480999999</v>
      </c>
    </row>
    <row r="49" spans="1:6">
      <c r="A49" s="1291" t="s">
        <v>31</v>
      </c>
      <c r="B49" s="1291" t="s">
        <v>39</v>
      </c>
      <c r="C49" s="1292">
        <v>0</v>
      </c>
      <c r="D49" s="1292">
        <v>0</v>
      </c>
      <c r="E49" s="1292">
        <v>0</v>
      </c>
      <c r="F49" s="1292">
        <v>0</v>
      </c>
    </row>
    <row r="50" spans="1:6">
      <c r="A50" s="1291" t="s">
        <v>31</v>
      </c>
      <c r="B50" s="1291" t="s">
        <v>40</v>
      </c>
      <c r="C50" s="1292">
        <v>20</v>
      </c>
      <c r="D50" s="1292">
        <v>7464201.4291000003</v>
      </c>
      <c r="E50" s="1292">
        <v>39</v>
      </c>
      <c r="F50" s="1292">
        <v>6002260.4782999996</v>
      </c>
    </row>
    <row r="51" spans="1:6">
      <c r="A51" s="1291" t="s">
        <v>41</v>
      </c>
      <c r="B51" s="1291" t="s">
        <v>42</v>
      </c>
      <c r="C51" s="1292">
        <v>17</v>
      </c>
      <c r="D51" s="1292">
        <v>206785.8695</v>
      </c>
      <c r="E51" s="1292">
        <v>252</v>
      </c>
      <c r="F51" s="1292">
        <v>4528469.6623999998</v>
      </c>
    </row>
    <row r="52" spans="1:6">
      <c r="A52" s="1291" t="s">
        <v>41</v>
      </c>
      <c r="B52" s="1291" t="s">
        <v>28</v>
      </c>
      <c r="C52" s="1292">
        <v>8</v>
      </c>
      <c r="D52" s="1292">
        <v>163170.97049000001</v>
      </c>
      <c r="E52" s="1292">
        <v>17</v>
      </c>
      <c r="F52" s="1292">
        <v>849561.91567999998</v>
      </c>
    </row>
    <row r="53" spans="1:6">
      <c r="A53" s="1291" t="s">
        <v>43</v>
      </c>
      <c r="B53" s="1291" t="s">
        <v>44</v>
      </c>
      <c r="C53" s="1292">
        <v>153</v>
      </c>
      <c r="D53" s="1292">
        <v>2209670.9838999999</v>
      </c>
      <c r="E53" s="1292">
        <v>344</v>
      </c>
      <c r="F53" s="1292">
        <v>1390378.8259999999</v>
      </c>
    </row>
    <row r="54" spans="1:6">
      <c r="A54" s="1291" t="s">
        <v>45</v>
      </c>
      <c r="B54" s="1291" t="s">
        <v>46</v>
      </c>
      <c r="C54" s="1292">
        <v>0</v>
      </c>
      <c r="D54" s="1292">
        <v>0</v>
      </c>
      <c r="E54" s="1292">
        <v>3</v>
      </c>
      <c r="F54" s="1292">
        <v>1534188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59</v>
      </c>
      <c r="D57" s="1292">
        <v>2779278.3535000002</v>
      </c>
      <c r="E57" s="1292">
        <v>107</v>
      </c>
      <c r="F57" s="1292">
        <v>3188887.7947</v>
      </c>
    </row>
    <row r="58" spans="1:6">
      <c r="A58" s="1291" t="s">
        <v>48</v>
      </c>
      <c r="B58" s="1291" t="s">
        <v>50</v>
      </c>
      <c r="C58" s="1292">
        <v>11</v>
      </c>
      <c r="D58" s="1292">
        <v>380727.95192999998</v>
      </c>
      <c r="E58" s="1292">
        <v>54</v>
      </c>
      <c r="F58" s="1292">
        <v>974341.80338000006</v>
      </c>
    </row>
    <row r="59" spans="1:6">
      <c r="A59" s="1291" t="s">
        <v>48</v>
      </c>
      <c r="B59" s="1291" t="s">
        <v>51</v>
      </c>
      <c r="C59" s="1292">
        <v>161</v>
      </c>
      <c r="D59" s="1292">
        <v>6602123.2112999996</v>
      </c>
      <c r="E59" s="1292">
        <v>360</v>
      </c>
      <c r="F59" s="1292">
        <v>7369833.3075000001</v>
      </c>
    </row>
    <row r="60" spans="1:6">
      <c r="A60" s="1291" t="s">
        <v>48</v>
      </c>
      <c r="B60" s="1291" t="s">
        <v>52</v>
      </c>
      <c r="C60" s="1292">
        <v>89</v>
      </c>
      <c r="D60" s="1292">
        <v>5250714.3351999996</v>
      </c>
      <c r="E60" s="1292">
        <v>137</v>
      </c>
      <c r="F60" s="1292">
        <v>3505191.4731000001</v>
      </c>
    </row>
    <row r="61" spans="1:6">
      <c r="A61" s="1291" t="s">
        <v>48</v>
      </c>
      <c r="B61" s="1291" t="s">
        <v>53</v>
      </c>
      <c r="C61" s="1292">
        <v>125</v>
      </c>
      <c r="D61" s="1292">
        <v>3097912.7409999999</v>
      </c>
      <c r="E61" s="1292">
        <v>303</v>
      </c>
      <c r="F61" s="1292">
        <v>2941577.7760000001</v>
      </c>
    </row>
    <row r="62" spans="1:6">
      <c r="A62" s="1291" t="s">
        <v>48</v>
      </c>
      <c r="B62" s="1291" t="s">
        <v>54</v>
      </c>
      <c r="C62" s="1292">
        <v>5</v>
      </c>
      <c r="D62" s="1292">
        <v>455784.68602000002</v>
      </c>
      <c r="E62" s="1292">
        <v>18</v>
      </c>
      <c r="F62" s="1292">
        <v>337970.03672999999</v>
      </c>
    </row>
    <row r="63" spans="1:6">
      <c r="A63" s="1291" t="s">
        <v>48</v>
      </c>
      <c r="B63" s="1291" t="s">
        <v>28</v>
      </c>
      <c r="C63" s="1292">
        <v>182</v>
      </c>
      <c r="D63" s="1292">
        <v>10368450.523</v>
      </c>
      <c r="E63" s="1292">
        <v>212</v>
      </c>
      <c r="F63" s="1292">
        <v>2949140.9909000001</v>
      </c>
    </row>
    <row r="64" spans="1:6">
      <c r="A64" s="1291" t="s">
        <v>55</v>
      </c>
      <c r="B64" s="1291" t="s">
        <v>56</v>
      </c>
      <c r="C64" s="1292">
        <v>0</v>
      </c>
      <c r="D64" s="1292">
        <v>0</v>
      </c>
      <c r="E64" s="1292">
        <v>0</v>
      </c>
      <c r="F64" s="1292">
        <v>0</v>
      </c>
    </row>
    <row r="65" spans="1:6">
      <c r="A65" s="1291" t="s">
        <v>55</v>
      </c>
      <c r="B65" s="1291" t="s">
        <v>28</v>
      </c>
      <c r="C65" s="1292">
        <v>4</v>
      </c>
      <c r="D65" s="1292">
        <v>127113.82417000001</v>
      </c>
      <c r="E65" s="1292">
        <v>5</v>
      </c>
      <c r="F65" s="1292">
        <v>98157.540147000007</v>
      </c>
    </row>
    <row r="66" spans="1:6">
      <c r="A66" s="1291" t="s">
        <v>55</v>
      </c>
      <c r="B66" s="1291" t="s">
        <v>57</v>
      </c>
      <c r="C66" s="1292">
        <v>0</v>
      </c>
      <c r="D66" s="1292">
        <v>0</v>
      </c>
      <c r="E66" s="1292">
        <v>22</v>
      </c>
      <c r="F66" s="1292">
        <v>1114259.3755000001</v>
      </c>
    </row>
    <row r="67" spans="1:6">
      <c r="A67" s="1293" t="s">
        <v>55</v>
      </c>
      <c r="B67" s="1293" t="s">
        <v>58</v>
      </c>
      <c r="C67" s="1292">
        <v>24</v>
      </c>
      <c r="D67" s="1292">
        <v>2162192.9238999998</v>
      </c>
      <c r="E67" s="1292">
        <v>72</v>
      </c>
      <c r="F67" s="1292">
        <v>819179.16027999995</v>
      </c>
    </row>
    <row r="68" spans="1:6">
      <c r="A68" s="1286" t="s">
        <v>55</v>
      </c>
      <c r="B68" s="1286" t="s">
        <v>59</v>
      </c>
      <c r="C68" s="1295">
        <v>7</v>
      </c>
      <c r="D68" s="1295">
        <v>279376.92222000001</v>
      </c>
      <c r="E68" s="1295">
        <v>18</v>
      </c>
      <c r="F68" s="1295">
        <v>147349.29526000001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177005028</v>
      </c>
      <c r="E73" s="449"/>
      <c r="F73" s="330"/>
    </row>
    <row r="74" spans="1:6">
      <c r="A74" s="1291" t="s">
        <v>63</v>
      </c>
      <c r="B74" s="1291" t="s">
        <v>664</v>
      </c>
      <c r="C74" s="1305" t="s">
        <v>666</v>
      </c>
      <c r="D74" s="1306">
        <v>19615905.751091491</v>
      </c>
      <c r="E74" s="449"/>
      <c r="F74" s="330"/>
    </row>
    <row r="75" spans="1:6">
      <c r="A75" s="1291" t="s">
        <v>64</v>
      </c>
      <c r="B75" s="1291" t="s">
        <v>663</v>
      </c>
      <c r="C75" s="1305" t="s">
        <v>667</v>
      </c>
      <c r="D75" s="1306">
        <v>45571133</v>
      </c>
      <c r="E75" s="449"/>
      <c r="F75" s="330"/>
    </row>
    <row r="76" spans="1:6">
      <c r="A76" s="1291" t="s">
        <v>64</v>
      </c>
      <c r="B76" s="1291" t="s">
        <v>664</v>
      </c>
      <c r="C76" s="1305" t="s">
        <v>668</v>
      </c>
      <c r="D76" s="1306">
        <v>2359448.75109149</v>
      </c>
      <c r="E76" s="449"/>
      <c r="F76" s="330"/>
    </row>
    <row r="77" spans="1:6">
      <c r="A77" s="1291" t="s">
        <v>65</v>
      </c>
      <c r="B77" s="1291" t="s">
        <v>663</v>
      </c>
      <c r="C77" s="1305" t="s">
        <v>669</v>
      </c>
      <c r="D77" s="1306">
        <v>11444491</v>
      </c>
      <c r="E77" s="449"/>
      <c r="F77" s="330"/>
    </row>
    <row r="78" spans="1:6">
      <c r="A78" s="1286" t="s">
        <v>65</v>
      </c>
      <c r="B78" s="1286" t="s">
        <v>664</v>
      </c>
      <c r="C78" s="1286" t="s">
        <v>670</v>
      </c>
      <c r="D78" s="1307">
        <v>1904370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402866.49781702034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28398.00584985939</v>
      </c>
      <c r="C90" s="330"/>
      <c r="D90" s="330"/>
      <c r="E90" s="330"/>
      <c r="F90" s="330"/>
    </row>
    <row r="91" spans="1:6">
      <c r="A91" s="1291" t="s">
        <v>67</v>
      </c>
      <c r="B91" s="1292">
        <v>4309.7124068197663</v>
      </c>
      <c r="C91" s="330"/>
      <c r="D91" s="330"/>
      <c r="E91" s="330"/>
      <c r="F91" s="330"/>
    </row>
    <row r="92" spans="1:6">
      <c r="A92" s="1286" t="s">
        <v>68</v>
      </c>
      <c r="B92" s="1287">
        <v>3429.2331298412296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3634</v>
      </c>
      <c r="C97" s="330"/>
      <c r="D97" s="330"/>
      <c r="E97" s="330"/>
      <c r="F97" s="330"/>
    </row>
    <row r="98" spans="1:6">
      <c r="A98" s="1291" t="s">
        <v>71</v>
      </c>
      <c r="B98" s="1292">
        <v>2</v>
      </c>
      <c r="C98" s="330"/>
      <c r="D98" s="330"/>
      <c r="E98" s="330"/>
      <c r="F98" s="330"/>
    </row>
    <row r="99" spans="1:6">
      <c r="A99" s="1291" t="s">
        <v>72</v>
      </c>
      <c r="B99" s="1292">
        <v>273</v>
      </c>
      <c r="C99" s="330"/>
      <c r="D99" s="330"/>
      <c r="E99" s="330"/>
      <c r="F99" s="330"/>
    </row>
    <row r="100" spans="1:6">
      <c r="A100" s="1291" t="s">
        <v>73</v>
      </c>
      <c r="B100" s="1292">
        <v>857</v>
      </c>
      <c r="C100" s="330"/>
      <c r="D100" s="330"/>
      <c r="E100" s="330"/>
      <c r="F100" s="330"/>
    </row>
    <row r="101" spans="1:6">
      <c r="A101" s="1291" t="s">
        <v>74</v>
      </c>
      <c r="B101" s="1292">
        <v>251</v>
      </c>
      <c r="C101" s="330"/>
      <c r="D101" s="330"/>
      <c r="E101" s="330"/>
      <c r="F101" s="330"/>
    </row>
    <row r="102" spans="1:6">
      <c r="A102" s="1291" t="s">
        <v>75</v>
      </c>
      <c r="B102" s="1292">
        <v>175</v>
      </c>
      <c r="C102" s="330"/>
      <c r="D102" s="330"/>
      <c r="E102" s="330"/>
      <c r="F102" s="330"/>
    </row>
    <row r="103" spans="1:6">
      <c r="A103" s="1291" t="s">
        <v>76</v>
      </c>
      <c r="B103" s="1292">
        <v>357</v>
      </c>
      <c r="C103" s="330"/>
      <c r="D103" s="330"/>
      <c r="E103" s="330"/>
      <c r="F103" s="330"/>
    </row>
    <row r="104" spans="1:6">
      <c r="A104" s="1291" t="s">
        <v>77</v>
      </c>
      <c r="B104" s="1292">
        <v>2984</v>
      </c>
      <c r="C104" s="330"/>
      <c r="D104" s="330"/>
      <c r="E104" s="330"/>
      <c r="F104" s="330"/>
    </row>
    <row r="105" spans="1:6">
      <c r="A105" s="1286" t="s">
        <v>78</v>
      </c>
      <c r="B105" s="1295">
        <v>18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54</v>
      </c>
      <c r="C123" s="1292">
        <v>54</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243</v>
      </c>
      <c r="C129" s="330"/>
      <c r="D129" s="330"/>
      <c r="E129" s="330"/>
      <c r="F129" s="330"/>
    </row>
    <row r="130" spans="1:6">
      <c r="A130" s="1291" t="s">
        <v>294</v>
      </c>
      <c r="B130" s="1292">
        <v>8</v>
      </c>
      <c r="C130" s="330"/>
      <c r="D130" s="330"/>
      <c r="E130" s="330"/>
      <c r="F130" s="330"/>
    </row>
    <row r="131" spans="1:6">
      <c r="A131" s="1291" t="s">
        <v>295</v>
      </c>
      <c r="B131" s="1292">
        <v>4</v>
      </c>
      <c r="C131" s="330"/>
      <c r="D131" s="330"/>
      <c r="E131" s="330"/>
      <c r="F131" s="330"/>
    </row>
    <row r="132" spans="1:6">
      <c r="A132" s="1286" t="s">
        <v>296</v>
      </c>
      <c r="B132" s="1287">
        <v>31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109969.14132749381</v>
      </c>
      <c r="C3" s="43" t="s">
        <v>169</v>
      </c>
      <c r="D3" s="43"/>
      <c r="E3" s="154"/>
      <c r="F3" s="43"/>
      <c r="G3" s="43"/>
      <c r="H3" s="43"/>
      <c r="I3" s="43"/>
      <c r="J3" s="43"/>
      <c r="K3" s="96"/>
    </row>
    <row r="4" spans="1:11">
      <c r="A4" s="358" t="s">
        <v>170</v>
      </c>
      <c r="B4" s="49">
        <f>IF(ISERROR('SEAP template'!B78+'SEAP template'!C78),0,'SEAP template'!B78+'SEAP template'!C78)</f>
        <v>36180.601386520386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0.14828948494188238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1534.1880000000001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1534.1880000000001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0.14828948494188238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227.50394832401665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39487.757474999999</v>
      </c>
      <c r="C5" s="17">
        <f>IF(ISERROR('Eigen informatie GS &amp; warmtenet'!B57),0,'Eigen informatie GS &amp; warmtenet'!B57)</f>
        <v>0</v>
      </c>
      <c r="D5" s="30">
        <f>(SUM(HH_hh_gas_kWh,HH_rest_gas_kWh)/1000)*0.902</f>
        <v>86619.009678321992</v>
      </c>
      <c r="E5" s="17">
        <f>B46*B57</f>
        <v>45155.539728304582</v>
      </c>
      <c r="F5" s="17">
        <f>B51*B62</f>
        <v>14357.672410894693</v>
      </c>
      <c r="G5" s="18"/>
      <c r="H5" s="17"/>
      <c r="I5" s="17"/>
      <c r="J5" s="17">
        <f>B50*B61+C50*C61</f>
        <v>1846.1050242259412</v>
      </c>
      <c r="K5" s="17"/>
      <c r="L5" s="17"/>
      <c r="M5" s="17"/>
      <c r="N5" s="17">
        <f>B48*B59+C48*C59</f>
        <v>33177.538439075011</v>
      </c>
      <c r="O5" s="17">
        <f>B69*B70*B71</f>
        <v>464.31000000000006</v>
      </c>
      <c r="P5" s="17">
        <f>B77*B78*B79/1000-B77*B78*B79/1000/B80</f>
        <v>1639.7333333333333</v>
      </c>
    </row>
    <row r="6" spans="1:16">
      <c r="A6" s="16" t="s">
        <v>623</v>
      </c>
      <c r="B6" s="762">
        <f>kWh_PV_kleiner_dan_10kW</f>
        <v>4309.7124068197663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43797.469881819765</v>
      </c>
      <c r="C8" s="21">
        <f>C5</f>
        <v>0</v>
      </c>
      <c r="D8" s="21">
        <f>D5</f>
        <v>86619.009678321992</v>
      </c>
      <c r="E8" s="21">
        <f>E5</f>
        <v>45155.539728304582</v>
      </c>
      <c r="F8" s="21">
        <f>F5</f>
        <v>14357.672410894693</v>
      </c>
      <c r="G8" s="21"/>
      <c r="H8" s="21"/>
      <c r="I8" s="21"/>
      <c r="J8" s="21">
        <f>J5</f>
        <v>1846.1050242259412</v>
      </c>
      <c r="K8" s="21"/>
      <c r="L8" s="21">
        <f>L5</f>
        <v>0</v>
      </c>
      <c r="M8" s="21">
        <f>M5</f>
        <v>0</v>
      </c>
      <c r="N8" s="21">
        <f>N5</f>
        <v>33177.538439075011</v>
      </c>
      <c r="O8" s="21">
        <f>O5</f>
        <v>464.31000000000006</v>
      </c>
      <c r="P8" s="21">
        <f>P5</f>
        <v>1639.7333333333333</v>
      </c>
    </row>
    <row r="9" spans="1:16">
      <c r="B9" s="19"/>
      <c r="C9" s="19"/>
      <c r="D9" s="258"/>
      <c r="E9" s="19"/>
      <c r="F9" s="19"/>
      <c r="G9" s="19"/>
      <c r="H9" s="19"/>
      <c r="I9" s="19"/>
      <c r="J9" s="19"/>
      <c r="K9" s="19"/>
      <c r="L9" s="19"/>
      <c r="M9" s="19"/>
      <c r="N9" s="19"/>
      <c r="O9" s="19"/>
      <c r="P9" s="19"/>
    </row>
    <row r="10" spans="1:16">
      <c r="A10" s="24" t="s">
        <v>213</v>
      </c>
      <c r="B10" s="25">
        <f ca="1">'EF ele_warmte'!B12</f>
        <v>0.14828948494188238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6494.704250532659</v>
      </c>
      <c r="C12" s="23">
        <f ca="1">C10*C8</f>
        <v>0</v>
      </c>
      <c r="D12" s="23">
        <f>D8*D10</f>
        <v>17497.039955021042</v>
      </c>
      <c r="E12" s="23">
        <f>E10*E8</f>
        <v>10250.30751832514</v>
      </c>
      <c r="F12" s="23">
        <f>F10*F8</f>
        <v>3833.4985337088833</v>
      </c>
      <c r="G12" s="23"/>
      <c r="H12" s="23"/>
      <c r="I12" s="23"/>
      <c r="J12" s="23">
        <f>J10*J8</f>
        <v>653.52117857598319</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3634</v>
      </c>
      <c r="C18" s="166" t="s">
        <v>110</v>
      </c>
      <c r="D18" s="228"/>
      <c r="E18" s="15"/>
    </row>
    <row r="19" spans="1:7">
      <c r="A19" s="171" t="s">
        <v>71</v>
      </c>
      <c r="B19" s="37">
        <f>aantalw2001_ander</f>
        <v>2</v>
      </c>
      <c r="C19" s="166" t="s">
        <v>110</v>
      </c>
      <c r="D19" s="229"/>
      <c r="E19" s="15"/>
    </row>
    <row r="20" spans="1:7">
      <c r="A20" s="171" t="s">
        <v>72</v>
      </c>
      <c r="B20" s="37">
        <f>aantalw2001_propaan</f>
        <v>273</v>
      </c>
      <c r="C20" s="167">
        <f>IF(ISERROR(B20/SUM($B$20,$B$21,$B$22)*100),0,B20/SUM($B$20,$B$21,$B$22)*100)</f>
        <v>19.768283852280955</v>
      </c>
      <c r="D20" s="229"/>
      <c r="E20" s="15"/>
    </row>
    <row r="21" spans="1:7">
      <c r="A21" s="171" t="s">
        <v>73</v>
      </c>
      <c r="B21" s="37">
        <f>aantalw2001_elektriciteit</f>
        <v>857</v>
      </c>
      <c r="C21" s="167">
        <f>IF(ISERROR(B21/SUM($B$20,$B$21,$B$22)*100),0,B21/SUM($B$20,$B$21,$B$22)*100)</f>
        <v>62.056480811006523</v>
      </c>
      <c r="D21" s="229"/>
      <c r="E21" s="15"/>
    </row>
    <row r="22" spans="1:7">
      <c r="A22" s="171" t="s">
        <v>74</v>
      </c>
      <c r="B22" s="37">
        <f>aantalw2001_hout</f>
        <v>251</v>
      </c>
      <c r="C22" s="167">
        <f>IF(ISERROR(B22/SUM($B$20,$B$21,$B$22)*100),0,B22/SUM($B$20,$B$21,$B$22)*100)</f>
        <v>18.175235336712529</v>
      </c>
      <c r="D22" s="229"/>
      <c r="E22" s="15"/>
    </row>
    <row r="23" spans="1:7">
      <c r="A23" s="171" t="s">
        <v>75</v>
      </c>
      <c r="B23" s="37">
        <f>aantalw2001_niet_gespec</f>
        <v>175</v>
      </c>
      <c r="C23" s="166" t="s">
        <v>110</v>
      </c>
      <c r="D23" s="228"/>
      <c r="E23" s="15"/>
    </row>
    <row r="24" spans="1:7">
      <c r="A24" s="171" t="s">
        <v>76</v>
      </c>
      <c r="B24" s="37">
        <f>aantalw2001_steenkool</f>
        <v>357</v>
      </c>
      <c r="C24" s="166" t="s">
        <v>110</v>
      </c>
      <c r="D24" s="229"/>
      <c r="E24" s="15"/>
    </row>
    <row r="25" spans="1:7">
      <c r="A25" s="171" t="s">
        <v>77</v>
      </c>
      <c r="B25" s="37">
        <f>aantalw2001_stookolie</f>
        <v>2984</v>
      </c>
      <c r="C25" s="166" t="s">
        <v>110</v>
      </c>
      <c r="D25" s="228"/>
      <c r="E25" s="52"/>
    </row>
    <row r="26" spans="1:7">
      <c r="A26" s="171" t="s">
        <v>78</v>
      </c>
      <c r="B26" s="37">
        <f>aantalw2001_WP</f>
        <v>18</v>
      </c>
      <c r="C26" s="166" t="s">
        <v>110</v>
      </c>
      <c r="D26" s="228"/>
      <c r="E26" s="15"/>
    </row>
    <row r="27" spans="1:7" s="15" customFormat="1">
      <c r="A27" s="171"/>
      <c r="B27" s="29"/>
      <c r="C27" s="36"/>
      <c r="D27" s="228"/>
    </row>
    <row r="28" spans="1:7" s="15" customFormat="1">
      <c r="A28" s="230" t="s">
        <v>695</v>
      </c>
      <c r="B28" s="37">
        <f>aantalHuishoudens</f>
        <v>9860</v>
      </c>
      <c r="C28" s="36"/>
      <c r="D28" s="228"/>
    </row>
    <row r="29" spans="1:7" s="15" customFormat="1">
      <c r="A29" s="230" t="s">
        <v>696</v>
      </c>
      <c r="B29" s="37">
        <f>SUM(HH_hh_gas_aantal,HH_rest_gas_aantal)</f>
        <v>6167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6167</v>
      </c>
      <c r="C32" s="167">
        <f>IF(ISERROR(B32/SUM($B$32,$B$34,$B$35,$B$36,$B$38,$B$39)*100),0,B32/SUM($B$32,$B$34,$B$35,$B$36,$B$38,$B$39)*100)</f>
        <v>63.095968897073874</v>
      </c>
      <c r="D32" s="233"/>
      <c r="G32" s="15"/>
    </row>
    <row r="33" spans="1:7">
      <c r="A33" s="171" t="s">
        <v>71</v>
      </c>
      <c r="B33" s="34" t="s">
        <v>110</v>
      </c>
      <c r="C33" s="167"/>
      <c r="D33" s="233"/>
      <c r="G33" s="15"/>
    </row>
    <row r="34" spans="1:7">
      <c r="A34" s="171" t="s">
        <v>72</v>
      </c>
      <c r="B34" s="33">
        <f>IF((($B$28-$B$32-$B$39-$B$77-$B$38)*C20/100)&lt;0,0,($B$28-$B$32-$B$39-$B$77-$B$38)*C20/100)</f>
        <v>553.31426502534407</v>
      </c>
      <c r="C34" s="167">
        <f>IF(ISERROR(B34/SUM($B$32,$B$34,$B$35,$B$36,$B$38,$B$39)*100),0,B34/SUM($B$32,$B$34,$B$35,$B$36,$B$38,$B$39)*100)</f>
        <v>5.6610831289681203</v>
      </c>
      <c r="D34" s="233"/>
      <c r="G34" s="15"/>
    </row>
    <row r="35" spans="1:7">
      <c r="A35" s="171" t="s">
        <v>73</v>
      </c>
      <c r="B35" s="33">
        <f>IF((($B$28-$B$32-$B$39-$B$77-$B$38)*C21/100)&lt;0,0,($B$28-$B$32-$B$39-$B$77-$B$38)*C21/100)</f>
        <v>1736.9608979000727</v>
      </c>
      <c r="C35" s="167">
        <f>IF(ISERROR(B35/SUM($B$32,$B$34,$B$35,$B$36,$B$38,$B$39)*100),0,B35/SUM($B$32,$B$34,$B$35,$B$36,$B$38,$B$39)*100)</f>
        <v>17.771238979947544</v>
      </c>
      <c r="D35" s="233"/>
      <c r="G35" s="15"/>
    </row>
    <row r="36" spans="1:7">
      <c r="A36" s="171" t="s">
        <v>74</v>
      </c>
      <c r="B36" s="33">
        <f>IF((($B$28-$B$32-$B$39-$B$77-$B$38)*C22/100)&lt;0,0,($B$28-$B$32-$B$39-$B$77-$B$38)*C22/100)</f>
        <v>508.72483707458377</v>
      </c>
      <c r="C36" s="167">
        <f>IF(ISERROR(B36/SUM($B$32,$B$34,$B$35,$B$36,$B$38,$B$39)*100),0,B36/SUM($B$32,$B$34,$B$35,$B$36,$B$38,$B$39)*100)</f>
        <v>5.2048786277325947</v>
      </c>
      <c r="D36" s="233"/>
      <c r="G36" s="15"/>
    </row>
    <row r="37" spans="1:7">
      <c r="A37" s="171" t="s">
        <v>75</v>
      </c>
      <c r="B37" s="34" t="s">
        <v>110</v>
      </c>
      <c r="C37" s="167"/>
      <c r="D37" s="173"/>
      <c r="G37" s="15"/>
    </row>
    <row r="38" spans="1:7">
      <c r="A38" s="171" t="s">
        <v>76</v>
      </c>
      <c r="B38" s="33">
        <f>IF((B24-(B29-B18)*0.1)&lt;0,0,B24-(B29-B18)*0.1)</f>
        <v>103.69999999999999</v>
      </c>
      <c r="C38" s="167">
        <f>IF(ISERROR(B38/SUM($B$32,$B$34,$B$35,$B$36,$B$38,$B$39)*100),0,B38/SUM($B$32,$B$34,$B$35,$B$36,$B$38,$B$39)*100)</f>
        <v>1.060978105177</v>
      </c>
      <c r="D38" s="234"/>
      <c r="G38" s="15"/>
    </row>
    <row r="39" spans="1:7">
      <c r="A39" s="171" t="s">
        <v>77</v>
      </c>
      <c r="B39" s="33">
        <f>IF((B25-(B29-B18))&lt;0,0,B25-(B29-B18)*0.9)</f>
        <v>704.29999999999973</v>
      </c>
      <c r="C39" s="167">
        <f>IF(ISERROR(B39/SUM($B$32,$B$34,$B$35,$B$36,$B$38,$B$39)*100),0,B39/SUM($B$32,$B$34,$B$35,$B$36,$B$38,$B$39)*100)</f>
        <v>7.2058522611008771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6167</v>
      </c>
      <c r="C44" s="34" t="s">
        <v>110</v>
      </c>
      <c r="D44" s="174"/>
    </row>
    <row r="45" spans="1:7">
      <c r="A45" s="171" t="s">
        <v>71</v>
      </c>
      <c r="B45" s="33" t="str">
        <f t="shared" si="0"/>
        <v>-</v>
      </c>
      <c r="C45" s="34" t="s">
        <v>110</v>
      </c>
      <c r="D45" s="174"/>
    </row>
    <row r="46" spans="1:7">
      <c r="A46" s="171" t="s">
        <v>72</v>
      </c>
      <c r="B46" s="33">
        <f t="shared" si="0"/>
        <v>553.31426502534407</v>
      </c>
      <c r="C46" s="34" t="s">
        <v>110</v>
      </c>
      <c r="D46" s="174"/>
    </row>
    <row r="47" spans="1:7">
      <c r="A47" s="171" t="s">
        <v>73</v>
      </c>
      <c r="B47" s="33">
        <f t="shared" si="0"/>
        <v>1736.9608979000727</v>
      </c>
      <c r="C47" s="34" t="s">
        <v>110</v>
      </c>
      <c r="D47" s="174"/>
    </row>
    <row r="48" spans="1:7">
      <c r="A48" s="171" t="s">
        <v>74</v>
      </c>
      <c r="B48" s="33">
        <f t="shared" si="0"/>
        <v>508.72483707458377</v>
      </c>
      <c r="C48" s="33">
        <f>B48*10</f>
        <v>5087.2483707458377</v>
      </c>
      <c r="D48" s="234"/>
    </row>
    <row r="49" spans="1:6">
      <c r="A49" s="171" t="s">
        <v>75</v>
      </c>
      <c r="B49" s="33" t="str">
        <f t="shared" si="0"/>
        <v>-</v>
      </c>
      <c r="C49" s="34" t="s">
        <v>110</v>
      </c>
      <c r="D49" s="234"/>
    </row>
    <row r="50" spans="1:6">
      <c r="A50" s="171" t="s">
        <v>76</v>
      </c>
      <c r="B50" s="33">
        <f t="shared" si="0"/>
        <v>103.69999999999999</v>
      </c>
      <c r="C50" s="33">
        <f>B50*2</f>
        <v>207.39999999999998</v>
      </c>
      <c r="D50" s="234"/>
    </row>
    <row r="51" spans="1:6">
      <c r="A51" s="171" t="s">
        <v>77</v>
      </c>
      <c r="B51" s="33">
        <f t="shared" si="0"/>
        <v>704.29999999999973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297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21266.943182309999</v>
      </c>
      <c r="C5" s="17">
        <f>IF(ISERROR('Eigen informatie GS &amp; warmtenet'!B58),0,'Eigen informatie GS &amp; warmtenet'!B58)</f>
        <v>0</v>
      </c>
      <c r="D5" s="30">
        <f>SUM(D6:D12)</f>
        <v>26099.362605358896</v>
      </c>
      <c r="E5" s="17">
        <f>SUM(E6:E12)</f>
        <v>444.55195316344742</v>
      </c>
      <c r="F5" s="17">
        <f>SUM(F6:F12)</f>
        <v>5525.4827711510707</v>
      </c>
      <c r="G5" s="18"/>
      <c r="H5" s="17"/>
      <c r="I5" s="17"/>
      <c r="J5" s="17">
        <f>SUM(J6:J12)</f>
        <v>0</v>
      </c>
      <c r="K5" s="17"/>
      <c r="L5" s="17"/>
      <c r="M5" s="17"/>
      <c r="N5" s="17">
        <f>SUM(N6:N12)</f>
        <v>2797.9117029409636</v>
      </c>
      <c r="O5" s="17">
        <f>B38*B39*B40</f>
        <v>12.506666666666668</v>
      </c>
      <c r="P5" s="17">
        <f>B46*B47*B48/1000-B46*B47*B48/1000/B49</f>
        <v>76.266666666666666</v>
      </c>
      <c r="R5" s="32"/>
    </row>
    <row r="6" spans="1:18">
      <c r="A6" s="32" t="s">
        <v>53</v>
      </c>
      <c r="B6" s="37">
        <f>B26</f>
        <v>2941.5777760000001</v>
      </c>
      <c r="C6" s="33"/>
      <c r="D6" s="37">
        <f>IF(ISERROR(TER_kantoor_gas_kWh/1000),0,TER_kantoor_gas_kWh/1000)*0.902</f>
        <v>2794.3172923820002</v>
      </c>
      <c r="E6" s="33">
        <f>$C$26*'E Balans VL '!I12/100/3.6*1000000</f>
        <v>38.508876586238181</v>
      </c>
      <c r="F6" s="33">
        <f>$C$26*('E Balans VL '!L12+'E Balans VL '!N12)/100/3.6*1000000</f>
        <v>750.0719357507445</v>
      </c>
      <c r="G6" s="34"/>
      <c r="H6" s="33"/>
      <c r="I6" s="33"/>
      <c r="J6" s="33">
        <f>$C$26*('E Balans VL '!D12+'E Balans VL '!E12)/100/3.6*1000000</f>
        <v>0</v>
      </c>
      <c r="K6" s="33"/>
      <c r="L6" s="33"/>
      <c r="M6" s="33"/>
      <c r="N6" s="33">
        <f>$C$26*'E Balans VL '!Y12/100/3.6*1000000</f>
        <v>2.95148338160151</v>
      </c>
      <c r="O6" s="33"/>
      <c r="P6" s="33"/>
      <c r="R6" s="32"/>
    </row>
    <row r="7" spans="1:18">
      <c r="A7" s="32" t="s">
        <v>52</v>
      </c>
      <c r="B7" s="37">
        <f t="shared" ref="B7:B12" si="0">B27</f>
        <v>3505.1914731000002</v>
      </c>
      <c r="C7" s="33"/>
      <c r="D7" s="37">
        <f>IF(ISERROR(TER_horeca_gas_kWh/1000),0,TER_horeca_gas_kWh/1000)*0.902</f>
        <v>4736.1443303503993</v>
      </c>
      <c r="E7" s="33">
        <f>$C$27*'E Balans VL '!I9/100/3.6*1000000</f>
        <v>116.00051639512436</v>
      </c>
      <c r="F7" s="33">
        <f>$C$27*('E Balans VL '!L9+'E Balans VL '!N9)/100/3.6*1000000</f>
        <v>1507.2188999120963</v>
      </c>
      <c r="G7" s="34"/>
      <c r="H7" s="33"/>
      <c r="I7" s="33"/>
      <c r="J7" s="33">
        <f>$C$27*('E Balans VL '!D9+'E Balans VL '!E9)/100/3.6*1000000</f>
        <v>0</v>
      </c>
      <c r="K7" s="33"/>
      <c r="L7" s="33"/>
      <c r="M7" s="33"/>
      <c r="N7" s="33">
        <f>$C$27*'E Balans VL '!Y9/100/3.6*1000000</f>
        <v>0.84375048854127621</v>
      </c>
      <c r="O7" s="33"/>
      <c r="P7" s="33"/>
      <c r="R7" s="32"/>
    </row>
    <row r="8" spans="1:18">
      <c r="A8" s="6" t="s">
        <v>51</v>
      </c>
      <c r="B8" s="37">
        <f t="shared" si="0"/>
        <v>7369.8333075</v>
      </c>
      <c r="C8" s="33"/>
      <c r="D8" s="37">
        <f>IF(ISERROR(TER_handel_gas_kWh/1000),0,TER_handel_gas_kWh/1000)*0.902</f>
        <v>5955.1151365925998</v>
      </c>
      <c r="E8" s="33">
        <f>$C$28*'E Balans VL '!I13/100/3.6*1000000</f>
        <v>232.60319995479924</v>
      </c>
      <c r="F8" s="33">
        <f>$C$28*('E Balans VL '!L13+'E Balans VL '!N13)/100/3.6*1000000</f>
        <v>1445.3540863081669</v>
      </c>
      <c r="G8" s="34"/>
      <c r="H8" s="33"/>
      <c r="I8" s="33"/>
      <c r="J8" s="33">
        <f>$C$28*('E Balans VL '!D13+'E Balans VL '!E13)/100/3.6*1000000</f>
        <v>0</v>
      </c>
      <c r="K8" s="33"/>
      <c r="L8" s="33"/>
      <c r="M8" s="33"/>
      <c r="N8" s="33">
        <f>$C$28*'E Balans VL '!Y13/100/3.6*1000000</f>
        <v>8.7465613004314537</v>
      </c>
      <c r="O8" s="33"/>
      <c r="P8" s="33"/>
      <c r="R8" s="32"/>
    </row>
    <row r="9" spans="1:18">
      <c r="A9" s="32" t="s">
        <v>50</v>
      </c>
      <c r="B9" s="37">
        <f t="shared" si="0"/>
        <v>974.3418033800001</v>
      </c>
      <c r="C9" s="33"/>
      <c r="D9" s="37">
        <f>IF(ISERROR(TER_gezond_gas_kWh/1000),0,TER_gezond_gas_kWh/1000)*0.902</f>
        <v>343.41661264085997</v>
      </c>
      <c r="E9" s="33">
        <f>$C$29*'E Balans VL '!I10/100/3.6*1000000</f>
        <v>0.12474425456965339</v>
      </c>
      <c r="F9" s="33">
        <f>$C$29*('E Balans VL '!L10+'E Balans VL '!N10)/100/3.6*1000000</f>
        <v>202.99623605160343</v>
      </c>
      <c r="G9" s="34"/>
      <c r="H9" s="33"/>
      <c r="I9" s="33"/>
      <c r="J9" s="33">
        <f>$C$29*('E Balans VL '!D10+'E Balans VL '!E10)/100/3.6*1000000</f>
        <v>0</v>
      </c>
      <c r="K9" s="33"/>
      <c r="L9" s="33"/>
      <c r="M9" s="33"/>
      <c r="N9" s="33">
        <f>$C$29*'E Balans VL '!Y10/100/3.6*1000000</f>
        <v>11.444105015178923</v>
      </c>
      <c r="O9" s="33"/>
      <c r="P9" s="33"/>
      <c r="R9" s="32"/>
    </row>
    <row r="10" spans="1:18">
      <c r="A10" s="32" t="s">
        <v>49</v>
      </c>
      <c r="B10" s="37">
        <f t="shared" si="0"/>
        <v>3188.8877947000001</v>
      </c>
      <c r="C10" s="33"/>
      <c r="D10" s="37">
        <f>IF(ISERROR(TER_ander_gas_kWh/1000),0,TER_ander_gas_kWh/1000)*0.902</f>
        <v>2506.9090748570002</v>
      </c>
      <c r="E10" s="33">
        <f>$C$30*'E Balans VL '!I14/100/3.6*1000000</f>
        <v>4.7953373265557477</v>
      </c>
      <c r="F10" s="33">
        <f>$C$30*('E Balans VL '!L14+'E Balans VL '!N14)/100/3.6*1000000</f>
        <v>704.00363255685943</v>
      </c>
      <c r="G10" s="34"/>
      <c r="H10" s="33"/>
      <c r="I10" s="33"/>
      <c r="J10" s="33">
        <f>$C$30*('E Balans VL '!D14+'E Balans VL '!E14)/100/3.6*1000000</f>
        <v>0</v>
      </c>
      <c r="K10" s="33"/>
      <c r="L10" s="33"/>
      <c r="M10" s="33"/>
      <c r="N10" s="33">
        <f>$C$30*'E Balans VL '!Y14/100/3.6*1000000</f>
        <v>2513.0581862808053</v>
      </c>
      <c r="O10" s="33"/>
      <c r="P10" s="33"/>
      <c r="R10" s="32"/>
    </row>
    <row r="11" spans="1:18">
      <c r="A11" s="32" t="s">
        <v>54</v>
      </c>
      <c r="B11" s="37">
        <f t="shared" si="0"/>
        <v>337.97003673</v>
      </c>
      <c r="C11" s="33"/>
      <c r="D11" s="37">
        <f>IF(ISERROR(TER_onderwijs_gas_kWh/1000),0,TER_onderwijs_gas_kWh/1000)*0.902</f>
        <v>411.11778679004004</v>
      </c>
      <c r="E11" s="33">
        <f>$C$31*'E Balans VL '!I11/100/3.6*1000000</f>
        <v>0.59519355647270966</v>
      </c>
      <c r="F11" s="33">
        <f>$C$31*('E Balans VL '!L11+'E Balans VL '!N11)/100/3.6*1000000</f>
        <v>156.04688151594092</v>
      </c>
      <c r="G11" s="34"/>
      <c r="H11" s="33"/>
      <c r="I11" s="33"/>
      <c r="J11" s="33">
        <f>$C$31*('E Balans VL '!D11+'E Balans VL '!E11)/100/3.6*1000000</f>
        <v>0</v>
      </c>
      <c r="K11" s="33"/>
      <c r="L11" s="33"/>
      <c r="M11" s="33"/>
      <c r="N11" s="33">
        <f>$C$31*'E Balans VL '!Y11/100/3.6*1000000</f>
        <v>0.62964285214083882</v>
      </c>
      <c r="O11" s="33"/>
      <c r="P11" s="33"/>
      <c r="R11" s="32"/>
    </row>
    <row r="12" spans="1:18">
      <c r="A12" s="32" t="s">
        <v>259</v>
      </c>
      <c r="B12" s="37">
        <f t="shared" si="0"/>
        <v>2949.1409908999999</v>
      </c>
      <c r="C12" s="33"/>
      <c r="D12" s="37">
        <f>IF(ISERROR(TER_rest_gas_kWh/1000),0,TER_rest_gas_kWh/1000)*0.902</f>
        <v>9352.3423717459991</v>
      </c>
      <c r="E12" s="33">
        <f>$C$32*'E Balans VL '!I8/100/3.6*1000000</f>
        <v>51.924085089687537</v>
      </c>
      <c r="F12" s="33">
        <f>$C$32*('E Balans VL '!L8+'E Balans VL '!N8)/100/3.6*1000000</f>
        <v>759.79109905565895</v>
      </c>
      <c r="G12" s="34"/>
      <c r="H12" s="33"/>
      <c r="I12" s="33"/>
      <c r="J12" s="33">
        <f>$C$32*('E Balans VL '!D8+'E Balans VL '!E8)/100/3.6*1000000</f>
        <v>0</v>
      </c>
      <c r="K12" s="33"/>
      <c r="L12" s="33"/>
      <c r="M12" s="33"/>
      <c r="N12" s="33">
        <f>$C$32*'E Balans VL '!Y8/100/3.6*1000000</f>
        <v>260.23797362226406</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21266.943182309999</v>
      </c>
      <c r="C16" s="21">
        <f t="shared" ca="1" si="1"/>
        <v>0</v>
      </c>
      <c r="D16" s="21">
        <f t="shared" ca="1" si="1"/>
        <v>26099.362605358896</v>
      </c>
      <c r="E16" s="21">
        <f t="shared" si="1"/>
        <v>444.55195316344742</v>
      </c>
      <c r="F16" s="21">
        <f t="shared" ca="1" si="1"/>
        <v>5525.4827711510707</v>
      </c>
      <c r="G16" s="21">
        <f t="shared" si="1"/>
        <v>0</v>
      </c>
      <c r="H16" s="21">
        <f t="shared" si="1"/>
        <v>0</v>
      </c>
      <c r="I16" s="21">
        <f t="shared" si="1"/>
        <v>0</v>
      </c>
      <c r="J16" s="21">
        <f t="shared" si="1"/>
        <v>0</v>
      </c>
      <c r="K16" s="21">
        <f t="shared" si="1"/>
        <v>0</v>
      </c>
      <c r="L16" s="21">
        <f t="shared" ca="1" si="1"/>
        <v>0</v>
      </c>
      <c r="M16" s="21">
        <f t="shared" si="1"/>
        <v>0</v>
      </c>
      <c r="N16" s="21">
        <f t="shared" ca="1" si="1"/>
        <v>2797.9117029409636</v>
      </c>
      <c r="O16" s="21">
        <f>O5</f>
        <v>12.506666666666668</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0.14828948494188238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3153.6640507930265</v>
      </c>
      <c r="C20" s="23">
        <f t="shared" ref="C20:P20" ca="1" si="2">C16*C18</f>
        <v>0</v>
      </c>
      <c r="D20" s="23">
        <f t="shared" ca="1" si="2"/>
        <v>5272.0712462824977</v>
      </c>
      <c r="E20" s="23">
        <f t="shared" si="2"/>
        <v>100.91329336810257</v>
      </c>
      <c r="F20" s="23">
        <f t="shared" ca="1" si="2"/>
        <v>1475.3038998973359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2941.5777760000001</v>
      </c>
      <c r="C26" s="39">
        <f>IF(ISERROR(B26*3.6/1000000/'E Balans VL '!Z12*100),0,B26*3.6/1000000/'E Balans VL '!Z12*100)</f>
        <v>6.301088118470867E-2</v>
      </c>
      <c r="D26" s="237" t="s">
        <v>659</v>
      </c>
      <c r="F26" s="6"/>
    </row>
    <row r="27" spans="1:18">
      <c r="A27" s="231" t="s">
        <v>52</v>
      </c>
      <c r="B27" s="33">
        <f>IF(ISERROR(TER_horeca_ele_kWh/1000),0,TER_horeca_ele_kWh/1000)</f>
        <v>3505.1914731000002</v>
      </c>
      <c r="C27" s="39">
        <f>IF(ISERROR(B27*3.6/1000000/'E Balans VL '!Z9*100),0,B27*3.6/1000000/'E Balans VL '!Z9*100)</f>
        <v>0.28127943179507781</v>
      </c>
      <c r="D27" s="237" t="s">
        <v>659</v>
      </c>
      <c r="F27" s="6"/>
    </row>
    <row r="28" spans="1:18">
      <c r="A28" s="171" t="s">
        <v>51</v>
      </c>
      <c r="B28" s="33">
        <f>IF(ISERROR(TER_handel_ele_kWh/1000),0,TER_handel_ele_kWh/1000)</f>
        <v>7369.8333075</v>
      </c>
      <c r="C28" s="39">
        <f>IF(ISERROR(B28*3.6/1000000/'E Balans VL '!Z13*100),0,B28*3.6/1000000/'E Balans VL '!Z13*100)</f>
        <v>0.21736781089347845</v>
      </c>
      <c r="D28" s="237" t="s">
        <v>659</v>
      </c>
      <c r="F28" s="6"/>
    </row>
    <row r="29" spans="1:18">
      <c r="A29" s="231" t="s">
        <v>50</v>
      </c>
      <c r="B29" s="33">
        <f>IF(ISERROR(TER_gezond_ele_kWh/1000),0,TER_gezond_ele_kWh/1000)</f>
        <v>974.3418033800001</v>
      </c>
      <c r="C29" s="39">
        <f>IF(ISERROR(B29*3.6/1000000/'E Balans VL '!Z10*100),0,B29*3.6/1000000/'E Balans VL '!Z10*100)</f>
        <v>0.10403358151762783</v>
      </c>
      <c r="D29" s="237" t="s">
        <v>659</v>
      </c>
      <c r="F29" s="6"/>
    </row>
    <row r="30" spans="1:18">
      <c r="A30" s="231" t="s">
        <v>49</v>
      </c>
      <c r="B30" s="33">
        <f>IF(ISERROR(TER_ander_ele_kWh/1000),0,TER_ander_ele_kWh/1000)</f>
        <v>3188.8877947000001</v>
      </c>
      <c r="C30" s="39">
        <f>IF(ISERROR(B30*3.6/1000000/'E Balans VL '!Z14*100),0,B30*3.6/1000000/'E Balans VL '!Z14*100)</f>
        <v>0.2408692173909546</v>
      </c>
      <c r="D30" s="237" t="s">
        <v>659</v>
      </c>
      <c r="F30" s="6"/>
    </row>
    <row r="31" spans="1:18">
      <c r="A31" s="231" t="s">
        <v>54</v>
      </c>
      <c r="B31" s="33">
        <f>IF(ISERROR(TER_onderwijs_ele_kWh/1000),0,TER_onderwijs_ele_kWh/1000)</f>
        <v>337.97003673</v>
      </c>
      <c r="C31" s="39">
        <f>IF(ISERROR(B31*3.6/1000000/'E Balans VL '!Z11*100),0,B31*3.6/1000000/'E Balans VL '!Z11*100)</f>
        <v>6.8247432727219115E-2</v>
      </c>
      <c r="D31" s="237" t="s">
        <v>659</v>
      </c>
    </row>
    <row r="32" spans="1:18">
      <c r="A32" s="231" t="s">
        <v>259</v>
      </c>
      <c r="B32" s="33">
        <f>IF(ISERROR(TER_rest_ele_kWh/1000),0,TER_rest_ele_kWh/1000)</f>
        <v>2949.1409908999999</v>
      </c>
      <c r="C32" s="39">
        <f>IF(ISERROR(B32*3.6/1000000/'E Balans VL '!Z8*100),0,B32*3.6/1000000/'E Balans VL '!Z8*100)</f>
        <v>2.445248546376497E-2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8</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36553.97959984</v>
      </c>
      <c r="C5" s="17">
        <f>IF(ISERROR('Eigen informatie GS &amp; warmtenet'!B59),0,'Eigen informatie GS &amp; warmtenet'!B59)</f>
        <v>0</v>
      </c>
      <c r="D5" s="30">
        <f>SUM(D6:D15)</f>
        <v>14749.481576685899</v>
      </c>
      <c r="E5" s="17">
        <f>SUM(E6:E15)</f>
        <v>2577.2032220968686</v>
      </c>
      <c r="F5" s="17">
        <f>SUM(F6:F15)</f>
        <v>10644.823051462128</v>
      </c>
      <c r="G5" s="18"/>
      <c r="H5" s="17"/>
      <c r="I5" s="17"/>
      <c r="J5" s="17">
        <f>SUM(J6:J15)</f>
        <v>284.99535684463774</v>
      </c>
      <c r="K5" s="17"/>
      <c r="L5" s="17"/>
      <c r="M5" s="17"/>
      <c r="N5" s="17">
        <f>SUM(N6:N15)</f>
        <v>4305.1233806208411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786.89549913999997</v>
      </c>
      <c r="C8" s="33"/>
      <c r="D8" s="37">
        <f>IF( ISERROR(IND_metaal_Gas_kWH/1000),0,IND_metaal_Gas_kWH/1000)*0.902</f>
        <v>109.39098845884</v>
      </c>
      <c r="E8" s="33">
        <f>C30*'E Balans VL '!I18/100/3.6*1000000</f>
        <v>28.31488057931282</v>
      </c>
      <c r="F8" s="33">
        <f>C30*'E Balans VL '!L18/100/3.6*1000000+C30*'E Balans VL '!N18/100/3.6*1000000</f>
        <v>343.61175606680217</v>
      </c>
      <c r="G8" s="34"/>
      <c r="H8" s="33"/>
      <c r="I8" s="33"/>
      <c r="J8" s="40">
        <f>C30*'E Balans VL '!D18/100/3.6*1000000+C30*'E Balans VL '!E18/100/3.6*1000000</f>
        <v>0</v>
      </c>
      <c r="K8" s="33"/>
      <c r="L8" s="33"/>
      <c r="M8" s="33"/>
      <c r="N8" s="33">
        <f>C30*'E Balans VL '!Y18/100/3.6*1000000</f>
        <v>39.438667664743008</v>
      </c>
      <c r="O8" s="33"/>
      <c r="P8" s="33"/>
      <c r="R8" s="32"/>
    </row>
    <row r="9" spans="1:18">
      <c r="A9" s="6" t="s">
        <v>32</v>
      </c>
      <c r="B9" s="37">
        <f t="shared" si="0"/>
        <v>4216.0910944999996</v>
      </c>
      <c r="C9" s="33"/>
      <c r="D9" s="37">
        <f>IF( ISERROR(IND_andere_gas_kWh/1000),0,IND_andere_gas_kWh/1000)*0.902</f>
        <v>4010.3239878965996</v>
      </c>
      <c r="E9" s="33">
        <f>C31*'E Balans VL '!I19/100/3.6*1000000</f>
        <v>1075.8510555835637</v>
      </c>
      <c r="F9" s="33">
        <f>C31*'E Balans VL '!L19/100/3.6*1000000+C31*'E Balans VL '!N19/100/3.6*1000000</f>
        <v>3629.7375386380672</v>
      </c>
      <c r="G9" s="34"/>
      <c r="H9" s="33"/>
      <c r="I9" s="33"/>
      <c r="J9" s="40">
        <f>C31*'E Balans VL '!D19/100/3.6*1000000+C31*'E Balans VL '!E19/100/3.6*1000000</f>
        <v>0</v>
      </c>
      <c r="K9" s="33"/>
      <c r="L9" s="33"/>
      <c r="M9" s="33"/>
      <c r="N9" s="33">
        <f>C31*'E Balans VL '!Y19/100/3.6*1000000</f>
        <v>332.60025185416652</v>
      </c>
      <c r="O9" s="33"/>
      <c r="P9" s="33"/>
      <c r="R9" s="32"/>
    </row>
    <row r="10" spans="1:18">
      <c r="A10" s="6" t="s">
        <v>40</v>
      </c>
      <c r="B10" s="37">
        <f t="shared" si="0"/>
        <v>6002.2604782999997</v>
      </c>
      <c r="C10" s="33"/>
      <c r="D10" s="37">
        <f>IF( ISERROR(IND_voed_gas_kWh/1000),0,IND_voed_gas_kWh/1000)*0.902</f>
        <v>6732.7096890482007</v>
      </c>
      <c r="E10" s="33">
        <f>C32*'E Balans VL '!I20/100/3.6*1000000</f>
        <v>152.58570313742257</v>
      </c>
      <c r="F10" s="33">
        <f>C32*'E Balans VL '!L20/100/3.6*1000000+C32*'E Balans VL '!N20/100/3.6*1000000</f>
        <v>1358.2214445391351</v>
      </c>
      <c r="G10" s="34"/>
      <c r="H10" s="33"/>
      <c r="I10" s="33"/>
      <c r="J10" s="40">
        <f>C32*'E Balans VL '!D20/100/3.6*1000000+C32*'E Balans VL '!E20/100/3.6*1000000</f>
        <v>0</v>
      </c>
      <c r="K10" s="33"/>
      <c r="L10" s="33"/>
      <c r="M10" s="33"/>
      <c r="N10" s="33">
        <f>C32*'E Balans VL '!Y20/100/3.6*1000000</f>
        <v>2251.0103770322585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1323.4580469</v>
      </c>
      <c r="C13" s="33"/>
      <c r="D13" s="37">
        <f>IF( ISERROR(IND_papier_gas_kWh/1000),0,IND_papier_gas_kWh/1000)*0.902</f>
        <v>350.59851884485994</v>
      </c>
      <c r="E13" s="33">
        <f>C35*'E Balans VL '!I23/100/3.6*1000000</f>
        <v>5.6759265456724473</v>
      </c>
      <c r="F13" s="33">
        <f>C35*'E Balans VL '!L23/100/3.6*1000000+C35*'E Balans VL '!N23/100/3.6*1000000</f>
        <v>33.262608470874881</v>
      </c>
      <c r="G13" s="34"/>
      <c r="H13" s="33"/>
      <c r="I13" s="33"/>
      <c r="J13" s="40">
        <f>C35*'E Balans VL '!D23/100/3.6*1000000+C35*'E Balans VL '!E23/100/3.6*1000000</f>
        <v>88.598257371168273</v>
      </c>
      <c r="K13" s="33"/>
      <c r="L13" s="33"/>
      <c r="M13" s="33"/>
      <c r="N13" s="33">
        <f>C35*'E Balans VL '!Y23/100/3.6*1000000</f>
        <v>322.74331106568178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24225.274481</v>
      </c>
      <c r="C15" s="33"/>
      <c r="D15" s="37">
        <f>IF( ISERROR(IND_rest_gas_kWh/1000),0,IND_rest_gas_kWh/1000)*0.902</f>
        <v>3546.4583924374001</v>
      </c>
      <c r="E15" s="33">
        <f>C37*'E Balans VL '!I15/100/3.6*1000000</f>
        <v>1314.7756562508969</v>
      </c>
      <c r="F15" s="33">
        <f>C37*'E Balans VL '!L15/100/3.6*1000000+C37*'E Balans VL '!N15/100/3.6*1000000</f>
        <v>5279.9897037472483</v>
      </c>
      <c r="G15" s="34"/>
      <c r="H15" s="33"/>
      <c r="I15" s="33"/>
      <c r="J15" s="40">
        <f>C37*'E Balans VL '!D15/100/3.6*1000000+C37*'E Balans VL '!E15/100/3.6*1000000</f>
        <v>196.39709947346944</v>
      </c>
      <c r="K15" s="33"/>
      <c r="L15" s="33"/>
      <c r="M15" s="33"/>
      <c r="N15" s="33">
        <f>C37*'E Balans VL '!Y15/100/3.6*1000000</f>
        <v>1359.3307730039915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36553.97959984</v>
      </c>
      <c r="C18" s="21">
        <f>C5+C16</f>
        <v>0</v>
      </c>
      <c r="D18" s="21">
        <f>MAX((D5+D16),0)</f>
        <v>14749.481576685899</v>
      </c>
      <c r="E18" s="21">
        <f>MAX((E5+E16),0)</f>
        <v>2577.2032220968686</v>
      </c>
      <c r="F18" s="21">
        <f>MAX((F5+F16),0)</f>
        <v>10644.823051462128</v>
      </c>
      <c r="G18" s="21"/>
      <c r="H18" s="21"/>
      <c r="I18" s="21"/>
      <c r="J18" s="21">
        <f>MAX((J5+J16),0)</f>
        <v>284.99535684463774</v>
      </c>
      <c r="K18" s="21"/>
      <c r="L18" s="21">
        <f>MAX((L5+L16),0)</f>
        <v>0</v>
      </c>
      <c r="M18" s="21"/>
      <c r="N18" s="21">
        <f>MAX((N5+N16),0)</f>
        <v>4305.1233806208411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0.14828948494188238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5420.5708074363492</v>
      </c>
      <c r="C22" s="23">
        <f ca="1">C18*C20</f>
        <v>0</v>
      </c>
      <c r="D22" s="23">
        <f>D18*D20</f>
        <v>2979.3952784905518</v>
      </c>
      <c r="E22" s="23">
        <f>E18*E20</f>
        <v>585.02513141598922</v>
      </c>
      <c r="F22" s="23">
        <f>F18*F20</f>
        <v>2842.1677547403883</v>
      </c>
      <c r="G22" s="23"/>
      <c r="H22" s="23"/>
      <c r="I22" s="23"/>
      <c r="J22" s="23">
        <f>J18*J20</f>
        <v>100.88835632300176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786.89549913999997</v>
      </c>
      <c r="C30" s="39">
        <f>IF(ISERROR(B30*3.6/1000000/'E Balans VL '!Z18*100),0,B30*3.6/1000000/'E Balans VL '!Z18*100)</f>
        <v>0.16672628567289813</v>
      </c>
      <c r="D30" s="237" t="s">
        <v>659</v>
      </c>
    </row>
    <row r="31" spans="1:18">
      <c r="A31" s="6" t="s">
        <v>32</v>
      </c>
      <c r="B31" s="37">
        <f>IF( ISERROR(IND_ander_ele_kWh/1000),0,IND_ander_ele_kWh/1000)</f>
        <v>4216.0910944999996</v>
      </c>
      <c r="C31" s="39">
        <f>IF(ISERROR(B31*3.6/1000000/'E Balans VL '!Z19*100),0,B31*3.6/1000000/'E Balans VL '!Z19*100)</f>
        <v>0.17746484749856431</v>
      </c>
      <c r="D31" s="237" t="s">
        <v>659</v>
      </c>
    </row>
    <row r="32" spans="1:18">
      <c r="A32" s="171" t="s">
        <v>40</v>
      </c>
      <c r="B32" s="37">
        <f>IF( ISERROR(IND_voed_ele_kWh/1000),0,IND_voed_ele_kWh/1000)</f>
        <v>6002.2604782999997</v>
      </c>
      <c r="C32" s="39">
        <f>IF(ISERROR(B32*3.6/1000000/'E Balans VL '!Z20*100),0,B32*3.6/1000000/'E Balans VL '!Z20*100)</f>
        <v>1.0027455238066407</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1323.4580469</v>
      </c>
      <c r="C35" s="39">
        <f>IF(ISERROR(B35*3.6/1000000/'E Balans VL '!Z22*100),0,B35*3.6/1000000/'E Balans VL '!Z22*100)</f>
        <v>0.16775544483274191</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24225.274481</v>
      </c>
      <c r="C37" s="39">
        <f>IF(ISERROR(B37*3.6/1000000/'E Balans VL '!Z15*100),0,B37*3.6/1000000/'E Balans VL '!Z15*100)</f>
        <v>0.19558002134133348</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5378.0315780799992</v>
      </c>
      <c r="C5" s="17">
        <f>'Eigen informatie GS &amp; warmtenet'!B60</f>
        <v>0</v>
      </c>
      <c r="D5" s="30">
        <f>IF(ISERROR(SUM(LB_lb_gas_kWh,LB_rest_gas_kWh)/1000),0,SUM(LB_lb_gas_kWh,LB_rest_gas_kWh)/1000)*0.902</f>
        <v>333.70106967098002</v>
      </c>
      <c r="E5" s="17">
        <f>B17*'E Balans VL '!I25/3.6*1000000/100</f>
        <v>138.67878514478181</v>
      </c>
      <c r="F5" s="17">
        <f>B17*('E Balans VL '!L25/3.6*1000000+'E Balans VL '!N25/3.6*1000000)/100</f>
        <v>19657.729614243912</v>
      </c>
      <c r="G5" s="18"/>
      <c r="H5" s="17"/>
      <c r="I5" s="17"/>
      <c r="J5" s="17">
        <f>('E Balans VL '!D25+'E Balans VL '!E25)/3.6*1000000*landbouw!B17/100</f>
        <v>774.23870744012345</v>
      </c>
      <c r="K5" s="17"/>
      <c r="L5" s="17">
        <f>L6*(-1)</f>
        <v>0</v>
      </c>
      <c r="M5" s="17"/>
      <c r="N5" s="17">
        <f>N6*(-1)</f>
        <v>124.71428571428569</v>
      </c>
      <c r="O5" s="17"/>
      <c r="P5" s="17"/>
      <c r="R5" s="32"/>
    </row>
    <row r="6" spans="1:18">
      <c r="A6" s="16" t="s">
        <v>490</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5378.0315780799992</v>
      </c>
      <c r="C8" s="21">
        <f>C5+C6</f>
        <v>62.357142857142847</v>
      </c>
      <c r="D8" s="21">
        <f>MAX((D5+D6),0)</f>
        <v>333.70106967098002</v>
      </c>
      <c r="E8" s="21">
        <f>MAX((E5+E6),0)</f>
        <v>138.67878514478181</v>
      </c>
      <c r="F8" s="21">
        <f>MAX((F5+F6),0)</f>
        <v>19657.729614243912</v>
      </c>
      <c r="G8" s="21"/>
      <c r="H8" s="21"/>
      <c r="I8" s="21"/>
      <c r="J8" s="21">
        <f>MAX((J5+J6),0)</f>
        <v>774.23870744012345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0.14828948494188238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797.50553271466197</v>
      </c>
      <c r="C12" s="23">
        <f ca="1">C8*C10</f>
        <v>0</v>
      </c>
      <c r="D12" s="23">
        <f>D8*D10</f>
        <v>67.407616073537966</v>
      </c>
      <c r="E12" s="23">
        <f>E8*E10</f>
        <v>31.480084227865472</v>
      </c>
      <c r="F12" s="23">
        <f>F8*F10</f>
        <v>5248.6138070031247</v>
      </c>
      <c r="G12" s="23"/>
      <c r="H12" s="23"/>
      <c r="I12" s="23"/>
      <c r="J12" s="23">
        <f>J8*J10</f>
        <v>274.0805024338037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0.75833807579167678</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1350.5548801412849</v>
      </c>
      <c r="C26" s="247">
        <f>B26*'GWP N2O_CH4'!B5</f>
        <v>28361.652482966983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408.00431552772955</v>
      </c>
      <c r="C27" s="247">
        <f>B27*'GWP N2O_CH4'!B5</f>
        <v>8568.0906260823213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17.194423219316999</v>
      </c>
      <c r="C28" s="247">
        <f>B28*'GWP N2O_CH4'!B4</f>
        <v>5330.2711979882697</v>
      </c>
      <c r="D28" s="50"/>
    </row>
    <row r="29" spans="1:4">
      <c r="A29" s="41" t="s">
        <v>276</v>
      </c>
      <c r="B29" s="247">
        <f>B34*'ha_N2O bodem landbouw'!B4</f>
        <v>42.767752128972361</v>
      </c>
      <c r="C29" s="247">
        <f>B29*'GWP N2O_CH4'!B4</f>
        <v>13258.003159981432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9.6250682962751802E-3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1.7334093399851819E-4</v>
      </c>
      <c r="C5" s="437" t="s">
        <v>210</v>
      </c>
      <c r="D5" s="422">
        <f>SUM(D6:D11)</f>
        <v>3.5514279424639025E-4</v>
      </c>
      <c r="E5" s="422">
        <f>SUM(E6:E11)</f>
        <v>1.5976341238861285E-3</v>
      </c>
      <c r="F5" s="435" t="s">
        <v>210</v>
      </c>
      <c r="G5" s="422">
        <f>SUM(G6:G11)</f>
        <v>0.66278074910064189</v>
      </c>
      <c r="H5" s="422">
        <f>SUM(H6:H11)</f>
        <v>0.1211795343740162</v>
      </c>
      <c r="I5" s="437" t="s">
        <v>210</v>
      </c>
      <c r="J5" s="437" t="s">
        <v>210</v>
      </c>
      <c r="K5" s="437" t="s">
        <v>210</v>
      </c>
      <c r="L5" s="437" t="s">
        <v>210</v>
      </c>
      <c r="M5" s="422">
        <f>SUM(M6:M11)</f>
        <v>2.4482777179253581E-2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1.311090137290698E-4</v>
      </c>
      <c r="C6" s="423"/>
      <c r="D6" s="865">
        <f>vkm_GW_PW*SUMIFS(TableVerdeelsleutelVkm[CNG],TableVerdeelsleutelVkm[Voertuigtype],"Lichte voertuigen")*SUMIFS(TableECFTransport[EnergieConsumptieFactor (PJ per km)],TableECFTransport[Index],CONCATENATE($A6,"_CNG_CNG"))</f>
        <v>2.3634716047404763E-4</v>
      </c>
      <c r="E6" s="865">
        <f>vkm_GW_PW*SUMIFS(TableVerdeelsleutelVkm[LPG],TableVerdeelsleutelVkm[Voertuigtype],"Lichte voertuigen")*SUMIFS(TableECFTransport[EnergieConsumptieFactor (PJ per km)],TableECFTransport[Index],CONCATENATE($A6,"_LPG_LPG"))</f>
        <v>1.0676808743267526E-3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0.29168895755402235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8.1150935399968524E-2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1.1608664513352429E-2</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0.18932942996415211</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3.4164145771174749E-6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5.9563144798498516E-3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3.3754895946494054E-5</v>
      </c>
      <c r="C8" s="423"/>
      <c r="D8" s="425">
        <f>vkm_NGW_PW*SUMIFS(TableVerdeelsleutelVkm[CNG],TableVerdeelsleutelVkm[Voertuigtype],"Lichte voertuigen")*SUMIFS(TableECFTransport[EnergieConsumptieFactor (PJ per km)],TableECFTransport[Index],CONCATENATE($A8,"_CNG_CNG"))</f>
        <v>1.0342607107924287E-4</v>
      </c>
      <c r="E8" s="425">
        <f>vkm_NGW_PW*SUMIFS(TableVerdeelsleutelVkm[LPG],TableVerdeelsleutelVkm[Voertuigtype],"Lichte voertuigen")*SUMIFS(TableECFTransport[EnergieConsumptieFactor (PJ per km)],TableECFTransport[Index],CONCATENATE($A8,"_LPG_LPG"))</f>
        <v>4.4349136608163908E-4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0.11376559171100102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3.4509286785295551E-2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4.613329289469773E-3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2.9319167466778529E-2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6.5310183601528601E-7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9.2238636987655828E-4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8.4770243229543497E-6</v>
      </c>
      <c r="C10" s="423"/>
      <c r="D10" s="425">
        <f>vkm_SW_PW*SUMIFS(TableVerdeelsleutelVkm[CNG],TableVerdeelsleutelVkm[Voertuigtype],"Lichte voertuigen")*SUMIFS(TableECFTransport[EnergieConsumptieFactor (PJ per km)],TableECFTransport[Index],CONCATENATE($A10,"_CNG_CNG"))</f>
        <v>1.5369562693099758E-5</v>
      </c>
      <c r="E10" s="425">
        <f>vkm_SW_PW*SUMIFS(TableVerdeelsleutelVkm[LPG],TableVerdeelsleutelVkm[Voertuigtype],"Lichte voertuigen")*SUMIFS(TableECFTransport[EnergieConsumptieFactor (PJ per km)],TableECFTransport[Index],CONCATENATE($A10,"_LPG_LPG"))</f>
        <v>8.6461883477736835E-5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2.119963251034556E-2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5.5149057751975863E-3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8.3222396935820036E-4</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1.7477969894342318E-2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3.3689714140792282E-7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5.4985855734676853E-4</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48.150259444032827</v>
      </c>
      <c r="C14" s="21"/>
      <c r="D14" s="21">
        <f t="shared" ref="D14:M14" si="0">((D5)*10^9/3600)+D12</f>
        <v>98.650776179552835</v>
      </c>
      <c r="E14" s="21">
        <f t="shared" si="0"/>
        <v>443.78725663503565</v>
      </c>
      <c r="F14" s="21"/>
      <c r="G14" s="21">
        <f t="shared" si="0"/>
        <v>184105.76363906718</v>
      </c>
      <c r="H14" s="21">
        <f t="shared" si="0"/>
        <v>33660.981770560051</v>
      </c>
      <c r="I14" s="21"/>
      <c r="J14" s="21"/>
      <c r="K14" s="21"/>
      <c r="L14" s="21"/>
      <c r="M14" s="21">
        <f t="shared" si="0"/>
        <v>6800.7714386815505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0.14828948494188238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7.1401771727736358</v>
      </c>
      <c r="C18" s="23"/>
      <c r="D18" s="23">
        <f t="shared" ref="D18:M18" si="1">D14*D16</f>
        <v>19.927456788269673</v>
      </c>
      <c r="E18" s="23">
        <f t="shared" si="1"/>
        <v>100.7397072561531</v>
      </c>
      <c r="F18" s="23"/>
      <c r="G18" s="23">
        <f t="shared" si="1"/>
        <v>49156.238891630943</v>
      </c>
      <c r="H18" s="23">
        <f t="shared" si="1"/>
        <v>8381.5844608694533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5.1845409751749673E-3</v>
      </c>
      <c r="H50" s="319">
        <f t="shared" si="2"/>
        <v>0</v>
      </c>
      <c r="I50" s="319">
        <f t="shared" si="2"/>
        <v>0</v>
      </c>
      <c r="J50" s="319">
        <f t="shared" si="2"/>
        <v>0</v>
      </c>
      <c r="K50" s="319">
        <f t="shared" si="2"/>
        <v>0</v>
      </c>
      <c r="L50" s="319">
        <f t="shared" si="2"/>
        <v>0</v>
      </c>
      <c r="M50" s="319">
        <f t="shared" si="2"/>
        <v>1.6060985747520462E-4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5.1845409751749673E-3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1.6060985747520462E-4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1440.1502708819353</v>
      </c>
      <c r="H54" s="21">
        <f t="shared" si="3"/>
        <v>0</v>
      </c>
      <c r="I54" s="21">
        <f t="shared" si="3"/>
        <v>0</v>
      </c>
      <c r="J54" s="21">
        <f t="shared" si="3"/>
        <v>0</v>
      </c>
      <c r="K54" s="21">
        <f t="shared" si="3"/>
        <v>0</v>
      </c>
      <c r="L54" s="21">
        <f t="shared" si="3"/>
        <v>0</v>
      </c>
      <c r="M54" s="21">
        <f t="shared" si="3"/>
        <v>44.613849298667951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0.14828948494188238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384.52012232547673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28398.00584985939</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7738.9455366609964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43.649999999999991</v>
      </c>
      <c r="C8" s="544">
        <f>B48</f>
        <v>0</v>
      </c>
      <c r="D8" s="1009"/>
      <c r="E8" s="1009">
        <f>E48</f>
        <v>0</v>
      </c>
      <c r="F8" s="1010"/>
      <c r="G8" s="545"/>
      <c r="H8" s="1009">
        <f>I48</f>
        <v>0</v>
      </c>
      <c r="I8" s="1009">
        <f>G48+F48</f>
        <v>0</v>
      </c>
      <c r="J8" s="1009">
        <f>H48+D48+C48</f>
        <v>51.35294117647058</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36180.601386520386</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62.357142857142847</v>
      </c>
      <c r="C17" s="569">
        <f>B49</f>
        <v>0</v>
      </c>
      <c r="D17" s="570"/>
      <c r="E17" s="570">
        <f>E49</f>
        <v>0</v>
      </c>
      <c r="F17" s="1015"/>
      <c r="G17" s="571"/>
      <c r="H17" s="569">
        <f>I49</f>
        <v>0</v>
      </c>
      <c r="I17" s="570">
        <f>G49+F49</f>
        <v>0</v>
      </c>
      <c r="J17" s="570">
        <f>H49+D49+C49</f>
        <v>73.361344537815114</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43010</v>
      </c>
      <c r="C28" s="770">
        <v>9991</v>
      </c>
      <c r="D28" s="627" t="s">
        <v>896</v>
      </c>
      <c r="E28" s="626" t="s">
        <v>897</v>
      </c>
      <c r="F28" s="626" t="s">
        <v>898</v>
      </c>
      <c r="G28" s="626" t="s">
        <v>899</v>
      </c>
      <c r="H28" s="626" t="s">
        <v>900</v>
      </c>
      <c r="I28" s="626" t="s">
        <v>897</v>
      </c>
      <c r="J28" s="769">
        <v>41174</v>
      </c>
      <c r="K28" s="769">
        <v>41275</v>
      </c>
      <c r="L28" s="626" t="s">
        <v>901</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2020-06-20T15:57:45Z</dcterms:modified>
</cp:coreProperties>
</file>