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F20" i="18" s="1"/>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N6" i="17"/>
  <c r="B45" i="18"/>
  <c r="G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D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8" i="18" l="1"/>
  <c r="C8" i="18" s="1"/>
  <c r="C49" i="18"/>
  <c r="B49" i="18"/>
  <c r="C17" i="18" s="1"/>
  <c r="F49" i="18"/>
  <c r="D48" i="18"/>
  <c r="J8" i="18"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17" i="18"/>
  <c r="F87" i="14"/>
  <c r="E20" i="18"/>
  <c r="E10" i="18"/>
  <c r="I17"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Q11" i="14"/>
  <c r="P4" i="48"/>
  <c r="P22" i="48" s="1"/>
  <c r="J15" i="16"/>
  <c r="B7" i="48"/>
  <c r="C24" i="14"/>
  <c r="C26" i="14" s="1"/>
  <c r="C11" i="14"/>
  <c r="B4" i="48"/>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P13" i="14"/>
  <c r="O8" i="48"/>
  <c r="O26" i="48"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F10" i="14"/>
  <c r="E5" i="48"/>
  <c r="N63" i="14"/>
  <c r="O15" i="48"/>
  <c r="J20" i="15"/>
  <c r="K40" i="14" s="1"/>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E8" i="48" l="1"/>
  <c r="E26" i="48" s="1"/>
  <c r="E33" i="48" s="1"/>
  <c r="F13" i="14"/>
  <c r="F16" i="14" s="1"/>
  <c r="F27" i="14" s="1"/>
  <c r="J22" i="16"/>
  <c r="K43" i="14" s="1"/>
  <c r="K46" i="14" s="1"/>
  <c r="K61" i="14" s="1"/>
  <c r="K63" i="14" s="1"/>
  <c r="J8" i="48"/>
  <c r="K13" i="14"/>
  <c r="K16" i="14" s="1"/>
  <c r="K27" i="14" s="1"/>
  <c r="E23" i="48"/>
  <c r="E22" i="16"/>
  <c r="F43" i="14" s="1"/>
  <c r="F46" i="14" s="1"/>
  <c r="F61" i="14" s="1"/>
  <c r="F63" i="14" s="1"/>
  <c r="G33" i="48"/>
  <c r="N8" i="48"/>
  <c r="N26" i="48" s="1"/>
  <c r="O13" i="14"/>
  <c r="N22" i="16"/>
  <c r="O43" i="14" s="1"/>
  <c r="G13" i="14"/>
  <c r="F8" i="48"/>
  <c r="J26" i="48" l="1"/>
  <c r="J33" i="48" s="1"/>
  <c r="J15" i="48"/>
  <c r="E15" i="48"/>
  <c r="R1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<sst xmlns="http://schemas.openxmlformats.org/spreadsheetml/2006/main" count="2414" uniqueCount="901">
  <si>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</si>
  <si>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</si>
  <si>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</si>
  <si>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</si>
  <si>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</si>
  <si>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</si>
  <si>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</si>
  <si>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</si>
  <si>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</si>
  <si>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</si>
  <si>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</si>
  <si>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</si>
  <si>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</si>
  <si>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</si>
  <si>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</si>
  <si>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</si>
  <si>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</si>
  <si>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</si>
  <si>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</si>
  <si>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</si>
  <si>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</si>
  <si>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</si>
  <si>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</si>
  <si>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</si>
  <si>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</si>
  <si>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</si>
  <si>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</si>
  <si>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</si>
  <si>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</si>
  <si>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</si>
  <si>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</si>
  <si>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</si>
  <si>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</si>
  <si>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</si>
  <si>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</si>
  <si>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</si>
  <si>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</si>
  <si>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</si>
  <si>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</si>
  <si>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</si>
  <si>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</si>
  <si>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</si>
  <si>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</si>
  <si>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</si>
  <si>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</si>
  <si>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</si>
  <si>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</si>
  <si>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</si>
  <si>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</si>
  <si>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</si>
  <si>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</si>
  <si>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</si>
  <si>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</si>
  <si>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</si>
  <si>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</si>
  <si>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</si>
  <si>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</si>
  <si>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</si>
  <si>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</si>
  <si>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</si>
  <si>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</si>
  <si>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</si>
  <si>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</si>
  <si>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</si>
  <si>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</si>
  <si>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</si>
  <si>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</si>
  <si>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</si>
  <si>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</si>
  <si>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</si>
  <si>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</si>
  <si>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</si>
  <si>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</si>
  <si>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</si>
  <si>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</si>
  <si>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</si>
  <si>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</si>
  <si>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</si>
  <si>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</si>
  <si>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</si>
  <si>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</si>
  <si>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</si>
  <si>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</si>
  <si>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</si>
  <si>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</si>
  <si>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</si>
  <si>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</si>
  <si>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</si>
  <si>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</si>
  <si>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</si>
  <si>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</si>
  <si>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</si>
  <si>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</si>
  <si>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</si>
  <si>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</si>
  <si>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</si>
  <si>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</si>
  <si>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</si>
  <si>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</si>
  <si>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</si>
  <si>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</si>
  <si>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</si>
  <si>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</si>
  <si>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</si>
  <si>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</si>
  <si>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</si>
  <si>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</si>
  <si>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</si>
  <si>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</si>
  <si>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</si>
  <si>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</si>
  <si>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</si>
  <si>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</si>
  <si>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</si>
  <si>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</si>
  <si>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</si>
  <si>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</si>
  <si>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</si>
  <si>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</si>
  <si>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</si>
  <si>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</si>
  <si>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</si>
  <si>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</si>
  <si>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</si>
  <si>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</si>
  <si>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</si>
  <si>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</si>
  <si>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</si>
  <si>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</si>
  <si>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</si>
  <si>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</si>
  <si>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</si>
  <si>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</si>
  <si>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</si>
  <si>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</si>
  <si>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</si>
  <si>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</si>
  <si>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</si>
  <si>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</si>
  <si>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</si>
  <si>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</si>
  <si>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</si>
  <si>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</si>
  <si>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</si>
  <si>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</si>
  <si>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</si>
  <si>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</si>
  <si>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</si>
  <si>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</si>
  <si>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</si>
  <si>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</si>
  <si>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</si>
  <si>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</si>
  <si>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</si>
  <si>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</si>
  <si>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</si>
  <si>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</si>
  <si>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</si>
  <si>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</si>
  <si>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</si>
  <si>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</si>
  <si>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</si>
  <si>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</si>
  <si>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</si>
  <si>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</si>
  <si>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</si>
  <si>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</si>
  <si>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</si>
  <si>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</si>
  <si>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</si>
  <si>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</si>
  <si>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</si>
  <si>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</si>
  <si>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</si>
  <si>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</si>
  <si>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</si>
  <si>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</si>
  <si>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</si>
  <si>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</si>
  <si>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</si>
  <si>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</si>
  <si>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</si>
  <si>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</si>
  <si>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</si>
  <si>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</si>
  <si>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</si>
  <si>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</si>
  <si>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</si>
  <si>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</si>
  <si>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</si>
  <si>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</si>
  <si>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</si>
  <si>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</si>
  <si>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</si>
  <si>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</si>
  <si>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</si>
  <si>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</si>
  <si>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</si>
  <si>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</si>
  <si>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</si>
  <si>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</si>
  <si>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</si>
  <si>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</si>
  <si>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</si>
  <si>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</si>
  <si>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</si>
  <si>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</si>
  <si>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</si>
  <si>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</si>
  <si>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</si>
  <si>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</si>
  <si>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</si>
  <si>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</si>
  <si>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</si>
  <si>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</si>
  <si>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</si>
  <si>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</si>
  <si>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</si>
  <si>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</si>
  <si>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</si>
  <si>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</si>
  <si>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</si>
  <si>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</si>
  <si>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</si>
  <si>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</si>
  <si>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</si>
  <si>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</si>
  <si>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</si>
  <si>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</si>
  <si>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</si>
  <si>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</si>
  <si>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</si>
  <si>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</si>
  <si>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</si>
  <si>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</si>
  <si>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</si>
  <si>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</si>
  <si>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</si>
  <si>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</si>
  <si>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</si>
  <si>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</si>
  <si>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</si>
  <si>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</si>
  <si>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</si>
  <si>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</si>
  <si>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</si>
  <si>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</si>
  <si>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</si>
  <si>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</si>
  <si>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</si>
  <si>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</si>
  <si>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</si>
  <si>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</si>
  <si>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</si>
  <si>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</si>
  <si>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</si>
  <si>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</si>
  <si>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</si>
  <si>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</si>
  <si>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</si>
  <si>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</si>
  <si>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</si>
  <si>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</si>
  <si>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</si>
  <si>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</si>
  <si>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</si>
  <si>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</si>
  <si>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</si>
  <si>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</si>
  <si>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</si>
  <si>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</si>
  <si>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</si>
  <si>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</si>
  <si>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</si>
  <si>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</si>
  <si>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</si>
  <si>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</si>
  <si>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</si>
  <si>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</si>
  <si>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</si>
  <si>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</si>
  <si>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</si>
  <si>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</si>
  <si>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</si>
  <si>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</si>
  <si>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</si>
  <si>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</si>
  <si>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</si>
  <si>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</si>
  <si>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</si>
  <si>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</si>
  <si>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</si>
  <si>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</si>
  <si>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</si>
  <si>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</si>
  <si>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</si>
  <si>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</si>
  <si>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</si>
  <si>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</si>
  <si>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</si>
  <si>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</si>
  <si>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</si>
  <si>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</si>
  <si>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</si>
  <si>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</si>
  <si>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</si>
  <si>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</si>
  <si>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</si>
  <si>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</si>
  <si>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</si>
  <si>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</si>
  <si>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</si>
  <si>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</si>
  <si>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</si>
  <si>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</si>
  <si>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</si>
  <si>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</si>
  <si>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</si>
  <si>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</si>
  <si>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</si>
  <si>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</si>
  <si>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</si>
  <si>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</si>
  <si>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</si>
  <si>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</si>
  <si>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</si>
  <si>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</si>
  <si>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</si>
  <si>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</si>
  <si>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</si>
  <si>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</si>
  <si>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</si>
  <si>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</si>
  <si>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</si>
  <si>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</si>
  <si>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</si>
  <si>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</si>
  <si>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</si>
  <si>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</si>
  <si>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</si>
  <si>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</si>
  <si>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</si>
  <si>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</si>
  <si>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</si>
  <si>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</si>
  <si>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</si>
  <si>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</si>
  <si>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</si>
  <si>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</si>
  <si>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</si>
  <si>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</si>
  <si>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</si>
  <si>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</si>
  <si>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</si>
  <si>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</si>
  <si>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</si>
  <si>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</si>
  <si>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</si>
  <si>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</si>
  <si>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</si>
  <si>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</si>
  <si>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</si>
  <si>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</si>
  <si>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</si>
  <si>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</si>
  <si>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</si>
  <si>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</si>
  <si>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</si>
  <si>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</si>
  <si>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</si>
  <si>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</si>
  <si>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</si>
  <si>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</si>
  <si>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</si>
  <si>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</si>
  <si>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</si>
  <si>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</si>
  <si>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</si>
  <si>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</si>
  <si>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</si>
  <si>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</si>
  <si>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</si>
  <si>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</si>
  <si>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</si>
  <si>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</si>
  <si>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</si>
  <si>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</si>
  <si>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</si>
  <si>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</si>
  <si>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</si>
  <si>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</si>
  <si>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</si>
  <si>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</si>
  <si>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</si>
  <si>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</si>
  <si>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</si>
  <si>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</si>
  <si>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</si>
  <si>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</si>
  <si>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</si>
  <si>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</si>
  <si>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</si>
  <si>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</si>
  <si>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</si>
  <si>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</si>
  <si>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</si>
  <si>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</si>
  <si>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</si>
  <si>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</si>
  <si>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</si>
  <si>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</si>
  <si>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</si>
  <si>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</si>
  <si>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</si>
  <si>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</si>
  <si>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</si>
  <si>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</si>
  <si>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</si>
  <si>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</si>
  <si>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</si>
  <si>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</si>
  <si>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</si>
  <si>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</si>
  <si>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</si>
  <si>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</si>
  <si>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</si>
  <si>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</si>
  <si>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</si>
  <si>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</si>
  <si>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</si>
  <si>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</si>
  <si>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</si>
  <si>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</si>
  <si>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</si>
  <si>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</si>
  <si>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</si>
  <si>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</si>
  <si>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</si>
  <si>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</si>
  <si>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</si>
  <si>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</si>
  <si>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</si>
  <si>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</si>
  <si>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</si>
  <si>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</si>
  <si>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</si>
  <si>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</si>
  <si>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</si>
  <si>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</si>
  <si>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</si>
  <si>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</si>
  <si>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</si>
  <si>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</si>
  <si>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</si>
  <si>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</si>
  <si>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</si>
  <si>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</si>
  <si>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</si>
  <si>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</si>
  <si>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</si>
  <si>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</si>
  <si>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</si>
  <si>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</si>
  <si>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</si>
  <si>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</si>
  <si>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</si>
  <si>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</si>
  <si>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</si>
  <si>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</si>
  <si>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</si>
  <si>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</si>
  <si>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</si>
  <si>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</si>
  <si>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</si>
  <si>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</si>
  <si>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</si>
  <si>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</si>
  <si>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</si>
  <si>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</si>
  <si>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</si>
  <si>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</si>
  <si>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</si>
  <si>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</si>
  <si>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</si>
  <si>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</si>
  <si>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</si>
  <si>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</si>
  <si>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</si>
  <si>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</si>
  <si>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</si>
  <si>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</si>
  <si>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</si>
  <si>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</si>
  <si>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</si>
  <si>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</si>
  <si>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</si>
  <si>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</si>
  <si>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</si>
  <si>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</si>
  <si>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</si>
  <si>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</si>
  <si>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</si>
  <si>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</si>
  <si>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</si>
  <si>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</si>
  <si>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</si>
  <si>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</si>
  <si>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</si>
  <si>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</si>
  <si>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</si>
  <si>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</si>
  <si>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</si>
  <si>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</si>
  <si>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</si>
  <si>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</si>
  <si>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</si>
  <si>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</si>
  <si>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</si>
  <si>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</si>
  <si>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</si>
  <si>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</si>
  <si>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</si>
  <si>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</si>
  <si>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</si>
  <si>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</si>
  <si>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</si>
  <si>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</si>
  <si>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</si>
  <si>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</si>
  <si>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</si>
  <si>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</si>
  <si>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</si>
  <si>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</si>
  <si>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</si>
  <si>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</si>
  <si>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</si>
  <si>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</si>
  <si>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</si>
  <si>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</si>
  <si>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</si>
  <si>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</si>
  <si>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</si>
  <si>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</si>
  <si>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</si>
  <si>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</si>
  <si>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</si>
  <si>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</si>
  <si>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</si>
  <si>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</si>
  <si>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</si>
  <si>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</si>
  <si>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</si>
  <si>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</si>
  <si>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</si>
  <si>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</si>
  <si>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</si>
  <si>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</si>
  <si>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</si>
  <si>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</si>
  <si>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</si>
  <si>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</si>
  <si>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</si>
  <si>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</si>
  <si>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</si>
  <si>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</si>
  <si>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</si>
  <si>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</si>
  <si>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</si>
  <si>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</si>
  <si>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</si>
  <si>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</si>
  <si>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</si>
  <si>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</si>
  <si>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</si>
  <si>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</si>
  <si>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</si>
  <si>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</si>
  <si>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</si>
  <si>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</si>
  <si>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</si>
  <si>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</si>
  <si>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</si>
  <si>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</si>
  <si>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</si>
  <si>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</si>
  <si>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</si>
  <si>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</si>
  <si>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</si>
  <si>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</si>
  <si>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</si>
  <si>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</si>
  <si>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</si>
  <si>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</si>
  <si>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</si>
  <si>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</si>
  <si>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</si>
  <si>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</si>
  <si>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</si>
  <si>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</si>
  <si>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</si>
  <si>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</si>
  <si>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</si>
  <si>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</si>
  <si>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</si>
  <si>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</si>
  <si>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</si>
  <si>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</si>
  <si>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</si>
  <si>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</si>
  <si>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</si>
  <si>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</si>
  <si>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</si>
  <si>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</si>
  <si>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</si>
  <si>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</si>
  <si>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</si>
  <si>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</si>
  <si>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</si>
  <si>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</si>
  <si>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</si>
  <si>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</si>
  <si>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</si>
  <si>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</si>
  <si>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</si>
  <si>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</si>
  <si>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</si>
  <si>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</si>
  <si>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</si>
  <si>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</si>
  <si>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</si>
  <si>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</si>
  <si>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</si>
  <si>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</si>
  <si>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</si>
  <si>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</si>
  <si>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</si>
  <si>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</si>
  <si>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</si>
  <si>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</si>
  <si>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</si>
  <si>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</si>
  <si>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</si>
  <si>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</si>
  <si>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</si>
  <si>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</si>
  <si>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</si>
  <si>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</si>
  <si>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</si>
  <si>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</si>
  <si>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</si>
  <si>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</si>
  <si>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</si>
  <si>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</si>
  <si>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</si>
  <si>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</si>
  <si>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</si>
  <si>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</si>
  <si>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</si>
  <si>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</si>
  <si>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</si>
  <si>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</si>
  <si>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</si>
  <si>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</si>
  <si>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</si>
  <si>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</si>
  <si>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</si>
  <si>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</si>
  <si>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</si>
  <si>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</si>
  <si>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</si>
  <si>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</si>
  <si>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</si>
  <si>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</si>
  <si>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</si>
  <si>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</si>
  <si>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</si>
  <si>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</si>
  <si>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</si>
  <si>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</si>
  <si>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</si>
  <si>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</si>
  <si>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</si>
  <si>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</si>
  <si>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</si>
  <si>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</si>
  <si>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</si>
  <si>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</si>
  <si>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</si>
  <si>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</si>
  <si>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</si>
  <si>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</si>
  <si>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</si>
  <si>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</si>
  <si>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</si>
  <si>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</si>
  <si>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</si>
  <si>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</si>
  <si>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</si>
  <si>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</si>
  <si>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</si>
  <si>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</si>
  <si>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</si>
  <si>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</si>
  <si>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</si>
  <si>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</si>
  <si>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</si>
  <si>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</si>
  <si>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</si>
  <si>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</si>
  <si>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</si>
  <si>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</si>
  <si>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</si>
  <si>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</si>
  <si>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</si>
  <si>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</si>
  <si>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</si>
  <si>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</si>
  <si>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</si>
  <si>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</si>
  <si>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</si>
  <si>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</si>
  <si>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</si>
  <si>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</si>
  <si>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</si>
  <si>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</si>
  <si>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</si>
  <si>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</si>
  <si>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</si>
  <si>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</si>
  <si>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</si>
  <si>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</si>
  <si>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</si>
  <si>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</si>
  <si>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</si>
  <si>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</si>
  <si>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</si>
  <si>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</si>
  <si>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</si>
  <si>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</si>
  <si>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</si>
  <si>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</si>
  <si>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</si>
  <si>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</si>
  <si>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</si>
  <si>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</si>
  <si>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</si>
  <si>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</si>
  <si>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</si>
  <si>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</si>
  <si>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</si>
  <si>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</si>
  <si>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</si>
  <si>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</si>
  <si>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</si>
  <si>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</si>
  <si>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</si>
  <si>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</si>
  <si>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</si>
  <si>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</si>
  <si>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</si>
  <si>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</si>
  <si>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</si>
  <si>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</si>
  <si>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</si>
  <si>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</si>
  <si>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</si>
  <si>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</si>
  <si>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</si>
  <si>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</si>
  <si>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</si>
  <si>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</si>
  <si>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</si>
  <si>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</si>
  <si>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</si>
  <si>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</si>
  <si>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</si>
  <si>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</si>
  <si>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</si>
  <si>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</si>
  <si>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</si>
  <si>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</si>
  <si>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</si>
  <si>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</si>
  <si>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</si>
  <si>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</si>
  <si>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</si>
  <si>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</si>
  <si>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</si>
  <si>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</si>
  <si>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</si>
  <si>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</si>
  <si>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</si>
  <si>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</si>
  <si>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</si>
  <si>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</si>
  <si>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</si>
  <si>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</si>
  <si>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</si>
  <si>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</si>
  <si>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</si>
  <si>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</si>
  <si>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</si>
  <si>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</si>
  <si>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</si>
  <si>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</si>
  <si>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</si>
  <si>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</si>
  <si>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</si>
  <si>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</si>
  <si>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</si>
  <si>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</si>
  <si>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</si>
  <si>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</si>
  <si>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</si>
  <si>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</si>
  <si>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</si>
  <si>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</si>
  <si>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</si>
  <si>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</si>
  <si>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</si>
  <si>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</si>
  <si>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</si>
  <si>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</si>
  <si>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</si>
  <si>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</si>
  <si>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</si>
  <si>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</si>
  <si>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</si>
  <si>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</si>
  <si>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</si>
  <si>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</si>
  <si>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</si>
  <si>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</si>
  <si>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</si>
  <si>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</si>
  <si>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</si>
  <si>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</si>
  <si>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</si>
  <si>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</si>
  <si>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</si>
  <si>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</si>
  <si>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</si>
  <si>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</si>
  <si>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</si>
  <si>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</si>
  <si>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</si>
  <si>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</si>
  <si>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</si>
  <si>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</si>
  <si>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</si>
  <si>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</si>
  <si>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</si>
  <si>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</si>
  <si>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</si>
  <si>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</si>
  <si>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</si>
  <si>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</si>
  <si>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</si>
  <si>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</si>
  <si>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</si>
  <si>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</si>
  <si>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</si>
  <si>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</si>
  <si>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</si>
  <si>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</si>
  <si>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</si>
  <si>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</si>
  <si>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</si>
  <si>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</si>
  <si>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</si>
  <si>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</si>
  <si>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</si>
  <si>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</si>
  <si>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</si>
  <si>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</si>
  <si>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</si>
  <si>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</si>
  <si>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</si>
  <si>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</si>
  <si>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</si>
  <si>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</si>
  <si>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</si>
  <si>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</si>
  <si>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</si>
  <si>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</si>
  <si>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</si>
  <si>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</si>
  <si>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</si>
  <si>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</si>
  <si>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</si>
  <si>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41002</t>
  </si>
  <si>
    <t>AALST</t>
  </si>
  <si>
    <t>Paarden&amp;pony's 200 - 600 kg</t>
  </si>
  <si>
    <t>Paarden&amp;pony's &lt; 200 kg</t>
  </si>
  <si>
    <t>Fluvius</t>
  </si>
  <si>
    <t>referentietaak LNE (2017); Jaarverslag De Lijn</t>
  </si>
  <si>
    <t>WKK-0486 Onze Lieve Vrouwziekenhuis</t>
  </si>
  <si>
    <t>interne verbrandingsmotor</t>
  </si>
  <si>
    <t>WKK interne verbrandinsgmotor (gas)</t>
  </si>
  <si>
    <t>Moorselbaan 164 , 9300 Aalst</t>
  </si>
  <si>
    <t>INTERGEM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</si>
</sst>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646694.39255903452</c:v>
                </c:pt>
                <c:pt idx="1">
                  <c:v>334299.74174819764</c:v>
                </c:pt>
                <c:pt idx="2">
                  <c:v>4239.7610000000004</c:v>
                </c:pt>
                <c:pt idx="3">
                  <c:v>9422.1598805682879</c:v>
                </c:pt>
                <c:pt idx="4">
                  <c:v>268968.698002333</c:v>
                </c:pt>
                <c:pt idx="5">
                  <c:v>647954.96187843883</c:v>
                </c:pt>
                <c:pt idx="6">
                  <c:v>11244.554711132241</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646694.39255903452</c:v>
                </c:pt>
                <c:pt idx="1">
                  <c:v>334299.74174819764</c:v>
                </c:pt>
                <c:pt idx="2">
                  <c:v>4239.7610000000004</c:v>
                </c:pt>
                <c:pt idx="3">
                  <c:v>9422.1598805682879</c:v>
                </c:pt>
                <c:pt idx="4">
                  <c:v>268968.698002333</c:v>
                </c:pt>
                <c:pt idx="5">
                  <c:v>647954.96187843883</c:v>
                </c:pt>
                <c:pt idx="6">
                  <c:v>11244.554711132241</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126017.48762793474</c:v>
                </c:pt>
                <c:pt idx="2">
                  <c:v>68250.066707794307</c:v>
                </c:pt>
                <c:pt idx="3">
                  <c:v>881.26708313822451</c:v>
                </c:pt>
                <c:pt idx="4">
                  <c:v>2368.9547069853884</c:v>
                </c:pt>
                <c:pt idx="5">
                  <c:v>55758.261029716639</c:v>
                </c:pt>
                <c:pt idx="6">
                  <c:v>165975.49168186061</c:v>
                </c:pt>
                <c:pt idx="7">
                  <c:v>2912.083807961465</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126017.48762793474</c:v>
                </c:pt>
                <c:pt idx="2">
                  <c:v>68250.066707794307</c:v>
                </c:pt>
                <c:pt idx="3">
                  <c:v>881.26708313822451</c:v>
                </c:pt>
                <c:pt idx="4">
                  <c:v>2368.9547069853884</c:v>
                </c:pt>
                <c:pt idx="5">
                  <c:v>55758.261029716639</c:v>
                </c:pt>
                <c:pt idx="6">
                  <c:v>165975.49168186061</c:v>
                </c:pt>
                <c:pt idx="7">
                  <c:v>2912.083807961465</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41002</v>
      </c>
      <c r="B6" s="390"/>
      <c r="C6" s="391"/>
    </row>
    <row r="7" spans="1:7" s="388" customFormat="1" ht="15.75" customHeight="1">
      <c r="A7" s="392" t="str">
        <f>txtMunicipality</f>
        <v>AALST</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0.20785772668275981</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0.20785772668275981</v>
      </c>
      <c r="C29" s="499">
        <f ca="1">'EF ele_warmte'!B22</f>
        <v>0.23764705882352943</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37193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2561.6999999999998</v>
      </c>
      <c r="C14" s="330"/>
      <c r="D14" s="330"/>
      <c r="E14" s="330"/>
      <c r="F14" s="330"/>
    </row>
    <row r="15" spans="1:6">
      <c r="A15" s="1291" t="s">
        <v>183</v>
      </c>
      <c r="B15" s="1292">
        <v>11</v>
      </c>
      <c r="C15" s="330"/>
      <c r="D15" s="330"/>
      <c r="E15" s="330"/>
      <c r="F15" s="330"/>
    </row>
    <row r="16" spans="1:6">
      <c r="A16" s="1291" t="s">
        <v>6</v>
      </c>
      <c r="B16" s="1292">
        <v>527</v>
      </c>
      <c r="C16" s="330"/>
      <c r="D16" s="330"/>
      <c r="E16" s="330"/>
      <c r="F16" s="330"/>
    </row>
    <row r="17" spans="1:6">
      <c r="A17" s="1291" t="s">
        <v>7</v>
      </c>
      <c r="B17" s="1292">
        <v>285</v>
      </c>
      <c r="C17" s="330"/>
      <c r="D17" s="330"/>
      <c r="E17" s="330"/>
      <c r="F17" s="330"/>
    </row>
    <row r="18" spans="1:6">
      <c r="A18" s="1291" t="s">
        <v>8</v>
      </c>
      <c r="B18" s="1292">
        <v>500</v>
      </c>
      <c r="C18" s="330"/>
      <c r="D18" s="330"/>
      <c r="E18" s="330"/>
      <c r="F18" s="330"/>
    </row>
    <row r="19" spans="1:6">
      <c r="A19" s="1291" t="s">
        <v>9</v>
      </c>
      <c r="B19" s="1292">
        <v>417</v>
      </c>
      <c r="C19" s="330"/>
      <c r="D19" s="330"/>
      <c r="E19" s="330"/>
      <c r="F19" s="330"/>
    </row>
    <row r="20" spans="1:6">
      <c r="A20" s="1291" t="s">
        <v>10</v>
      </c>
      <c r="B20" s="1292">
        <v>271</v>
      </c>
      <c r="C20" s="330"/>
      <c r="D20" s="330"/>
      <c r="E20" s="330"/>
      <c r="F20" s="330"/>
    </row>
    <row r="21" spans="1:6">
      <c r="A21" s="1291" t="s">
        <v>11</v>
      </c>
      <c r="B21" s="1292">
        <v>1192</v>
      </c>
      <c r="C21" s="330"/>
      <c r="D21" s="330"/>
      <c r="E21" s="330"/>
      <c r="F21" s="330"/>
    </row>
    <row r="22" spans="1:6">
      <c r="A22" s="1291" t="s">
        <v>12</v>
      </c>
      <c r="B22" s="1292">
        <v>2809</v>
      </c>
      <c r="C22" s="330"/>
      <c r="D22" s="330"/>
      <c r="E22" s="330"/>
      <c r="F22" s="330"/>
    </row>
    <row r="23" spans="1:6">
      <c r="A23" s="1291" t="s">
        <v>13</v>
      </c>
      <c r="B23" s="1292">
        <v>51</v>
      </c>
      <c r="C23" s="330"/>
      <c r="D23" s="330"/>
      <c r="E23" s="330"/>
      <c r="F23" s="330"/>
    </row>
    <row r="24" spans="1:6">
      <c r="A24" s="1291" t="s">
        <v>14</v>
      </c>
      <c r="B24" s="1292">
        <v>1</v>
      </c>
      <c r="C24" s="330"/>
      <c r="D24" s="330"/>
      <c r="E24" s="330"/>
      <c r="F24" s="330"/>
    </row>
    <row r="25" spans="1:6">
      <c r="A25" s="1291" t="s">
        <v>15</v>
      </c>
      <c r="B25" s="1292">
        <v>213</v>
      </c>
      <c r="C25" s="330"/>
      <c r="D25" s="330"/>
      <c r="E25" s="330"/>
      <c r="F25" s="330"/>
    </row>
    <row r="26" spans="1:6">
      <c r="A26" s="1291" t="s">
        <v>16</v>
      </c>
      <c r="B26" s="1292">
        <v>177</v>
      </c>
      <c r="C26" s="330"/>
      <c r="D26" s="330"/>
      <c r="E26" s="330"/>
      <c r="F26" s="330"/>
    </row>
    <row r="27" spans="1:6">
      <c r="A27" s="1291" t="s">
        <v>17</v>
      </c>
      <c r="B27" s="1292">
        <v>24</v>
      </c>
      <c r="C27" s="330"/>
      <c r="D27" s="330"/>
      <c r="E27" s="330"/>
      <c r="F27" s="330"/>
    </row>
    <row r="28" spans="1:6" s="43" customFormat="1">
      <c r="A28" s="1293" t="s">
        <v>18</v>
      </c>
      <c r="B28" s="1294">
        <v>91395</v>
      </c>
      <c r="C28" s="336"/>
      <c r="D28" s="336"/>
      <c r="E28" s="336"/>
      <c r="F28" s="336"/>
    </row>
    <row r="29" spans="1:6">
      <c r="A29" s="1293" t="s">
        <v>892</v>
      </c>
      <c r="B29" s="1294">
        <v>241</v>
      </c>
      <c r="C29" s="336"/>
      <c r="D29" s="336"/>
      <c r="E29" s="336"/>
      <c r="F29" s="336"/>
    </row>
    <row r="30" spans="1:6">
      <c r="A30" s="1286" t="s">
        <v>893</v>
      </c>
      <c r="B30" s="1295">
        <v>44</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14</v>
      </c>
      <c r="D36" s="1292">
        <v>3233274.2431000001</v>
      </c>
      <c r="E36" s="1292">
        <v>12</v>
      </c>
      <c r="F36" s="1292">
        <v>1708991.7346000001</v>
      </c>
    </row>
    <row r="37" spans="1:6">
      <c r="A37" s="1291" t="s">
        <v>24</v>
      </c>
      <c r="B37" s="1291" t="s">
        <v>27</v>
      </c>
      <c r="C37" s="1292">
        <v>0</v>
      </c>
      <c r="D37" s="1292">
        <v>0</v>
      </c>
      <c r="E37" s="1292">
        <v>0</v>
      </c>
      <c r="F37" s="1292">
        <v>0</v>
      </c>
    </row>
    <row r="38" spans="1:6">
      <c r="A38" s="1291" t="s">
        <v>24</v>
      </c>
      <c r="B38" s="1291" t="s">
        <v>28</v>
      </c>
      <c r="C38" s="1292">
        <v>2</v>
      </c>
      <c r="D38" s="1292">
        <v>441059.53425000003</v>
      </c>
      <c r="E38" s="1292">
        <v>6</v>
      </c>
      <c r="F38" s="1292">
        <v>32293.239082</v>
      </c>
    </row>
    <row r="39" spans="1:6">
      <c r="A39" s="1291" t="s">
        <v>29</v>
      </c>
      <c r="B39" s="1291" t="s">
        <v>30</v>
      </c>
      <c r="C39" s="1292">
        <v>25313</v>
      </c>
      <c r="D39" s="1292">
        <v>370152531.25999999</v>
      </c>
      <c r="E39" s="1292">
        <v>37152</v>
      </c>
      <c r="F39" s="1292">
        <v>131590435.65000001</v>
      </c>
    </row>
    <row r="40" spans="1:6">
      <c r="A40" s="1291" t="s">
        <v>29</v>
      </c>
      <c r="B40" s="1291" t="s">
        <v>28</v>
      </c>
      <c r="C40" s="1292">
        <v>1</v>
      </c>
      <c r="D40" s="1292">
        <v>35864.912003999998</v>
      </c>
      <c r="E40" s="1292">
        <v>1</v>
      </c>
      <c r="F40" s="1292">
        <v>5592</v>
      </c>
    </row>
    <row r="41" spans="1:6">
      <c r="A41" s="1291" t="s">
        <v>31</v>
      </c>
      <c r="B41" s="1291" t="s">
        <v>32</v>
      </c>
      <c r="C41" s="1292">
        <v>256</v>
      </c>
      <c r="D41" s="1292">
        <v>11950530.405999999</v>
      </c>
      <c r="E41" s="1292">
        <v>611</v>
      </c>
      <c r="F41" s="1292">
        <v>21087605.686999999</v>
      </c>
    </row>
    <row r="42" spans="1:6">
      <c r="A42" s="1291" t="s">
        <v>31</v>
      </c>
      <c r="B42" s="1291" t="s">
        <v>33</v>
      </c>
      <c r="C42" s="1292">
        <v>0</v>
      </c>
      <c r="D42" s="1292">
        <v>0</v>
      </c>
      <c r="E42" s="1292">
        <v>0</v>
      </c>
      <c r="F42" s="1292">
        <v>0</v>
      </c>
    </row>
    <row r="43" spans="1:6">
      <c r="A43" s="1291" t="s">
        <v>31</v>
      </c>
      <c r="B43" s="1291" t="s">
        <v>34</v>
      </c>
      <c r="C43" s="1292">
        <v>0</v>
      </c>
      <c r="D43" s="1292">
        <v>0</v>
      </c>
      <c r="E43" s="1292">
        <v>3</v>
      </c>
      <c r="F43" s="1292">
        <v>39928.29178</v>
      </c>
    </row>
    <row r="44" spans="1:6">
      <c r="A44" s="1291" t="s">
        <v>31</v>
      </c>
      <c r="B44" s="1291" t="s">
        <v>35</v>
      </c>
      <c r="C44" s="1292">
        <v>6</v>
      </c>
      <c r="D44" s="1292">
        <v>3168091.6721999999</v>
      </c>
      <c r="E44" s="1292">
        <v>45</v>
      </c>
      <c r="F44" s="1292">
        <v>9895492.1327999998</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14</v>
      </c>
      <c r="D47" s="1292">
        <v>149562.82500000001</v>
      </c>
      <c r="E47" s="1292">
        <v>15</v>
      </c>
      <c r="F47" s="1292">
        <v>89258.707706000001</v>
      </c>
    </row>
    <row r="48" spans="1:6">
      <c r="A48" s="1291" t="s">
        <v>31</v>
      </c>
      <c r="B48" s="1291" t="s">
        <v>28</v>
      </c>
      <c r="C48" s="1292">
        <v>111</v>
      </c>
      <c r="D48" s="1292">
        <v>114128708.48</v>
      </c>
      <c r="E48" s="1292">
        <v>139</v>
      </c>
      <c r="F48" s="1292">
        <v>52518408.678999998</v>
      </c>
    </row>
    <row r="49" spans="1:6">
      <c r="A49" s="1291" t="s">
        <v>31</v>
      </c>
      <c r="B49" s="1291" t="s">
        <v>39</v>
      </c>
      <c r="C49" s="1292">
        <v>4</v>
      </c>
      <c r="D49" s="1292">
        <v>53041.759083999998</v>
      </c>
      <c r="E49" s="1292">
        <v>7</v>
      </c>
      <c r="F49" s="1292">
        <v>63398.230972999998</v>
      </c>
    </row>
    <row r="50" spans="1:6">
      <c r="A50" s="1291" t="s">
        <v>31</v>
      </c>
      <c r="B50" s="1291" t="s">
        <v>40</v>
      </c>
      <c r="C50" s="1292">
        <v>38</v>
      </c>
      <c r="D50" s="1292">
        <v>5682369.3299000002</v>
      </c>
      <c r="E50" s="1292">
        <v>66</v>
      </c>
      <c r="F50" s="1292">
        <v>9410933.9206000008</v>
      </c>
    </row>
    <row r="51" spans="1:6">
      <c r="A51" s="1291" t="s">
        <v>41</v>
      </c>
      <c r="B51" s="1291" t="s">
        <v>42</v>
      </c>
      <c r="C51" s="1292">
        <v>17</v>
      </c>
      <c r="D51" s="1292">
        <v>513375.87462999998</v>
      </c>
      <c r="E51" s="1292">
        <v>122</v>
      </c>
      <c r="F51" s="1292">
        <v>1170479.2116</v>
      </c>
    </row>
    <row r="52" spans="1:6">
      <c r="A52" s="1291" t="s">
        <v>41</v>
      </c>
      <c r="B52" s="1291" t="s">
        <v>28</v>
      </c>
      <c r="C52" s="1292">
        <v>17</v>
      </c>
      <c r="D52" s="1292">
        <v>566884.78908999998</v>
      </c>
      <c r="E52" s="1292">
        <v>20</v>
      </c>
      <c r="F52" s="1292">
        <v>580374.70297999994</v>
      </c>
    </row>
    <row r="53" spans="1:6">
      <c r="A53" s="1291" t="s">
        <v>43</v>
      </c>
      <c r="B53" s="1291" t="s">
        <v>44</v>
      </c>
      <c r="C53" s="1292">
        <v>748</v>
      </c>
      <c r="D53" s="1292">
        <v>19996482.581</v>
      </c>
      <c r="E53" s="1292">
        <v>1485</v>
      </c>
      <c r="F53" s="1292">
        <v>6215035.7094999999</v>
      </c>
    </row>
    <row r="54" spans="1:6">
      <c r="A54" s="1291" t="s">
        <v>45</v>
      </c>
      <c r="B54" s="1291" t="s">
        <v>46</v>
      </c>
      <c r="C54" s="1292">
        <v>0</v>
      </c>
      <c r="D54" s="1292">
        <v>0</v>
      </c>
      <c r="E54" s="1292">
        <v>1</v>
      </c>
      <c r="F54" s="1292">
        <v>4239761</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271</v>
      </c>
      <c r="D57" s="1292">
        <v>14078689.550000001</v>
      </c>
      <c r="E57" s="1292">
        <v>411</v>
      </c>
      <c r="F57" s="1292">
        <v>10608825.579</v>
      </c>
    </row>
    <row r="58" spans="1:6">
      <c r="A58" s="1291" t="s">
        <v>48</v>
      </c>
      <c r="B58" s="1291" t="s">
        <v>50</v>
      </c>
      <c r="C58" s="1292">
        <v>153</v>
      </c>
      <c r="D58" s="1292">
        <v>24549926.960000001</v>
      </c>
      <c r="E58" s="1292">
        <v>218</v>
      </c>
      <c r="F58" s="1292">
        <v>16406092.145</v>
      </c>
    </row>
    <row r="59" spans="1:6">
      <c r="A59" s="1291" t="s">
        <v>48</v>
      </c>
      <c r="B59" s="1291" t="s">
        <v>51</v>
      </c>
      <c r="C59" s="1292">
        <v>755</v>
      </c>
      <c r="D59" s="1292">
        <v>44132693.012000002</v>
      </c>
      <c r="E59" s="1292">
        <v>1516</v>
      </c>
      <c r="F59" s="1292">
        <v>41964588.583999999</v>
      </c>
    </row>
    <row r="60" spans="1:6">
      <c r="A60" s="1291" t="s">
        <v>48</v>
      </c>
      <c r="B60" s="1291" t="s">
        <v>52</v>
      </c>
      <c r="C60" s="1292">
        <v>358</v>
      </c>
      <c r="D60" s="1292">
        <v>21903528.432</v>
      </c>
      <c r="E60" s="1292">
        <v>426</v>
      </c>
      <c r="F60" s="1292">
        <v>10077467.288000001</v>
      </c>
    </row>
    <row r="61" spans="1:6">
      <c r="A61" s="1291" t="s">
        <v>48</v>
      </c>
      <c r="B61" s="1291" t="s">
        <v>53</v>
      </c>
      <c r="C61" s="1292">
        <v>770</v>
      </c>
      <c r="D61" s="1292">
        <v>36240580.636</v>
      </c>
      <c r="E61" s="1292">
        <v>1711</v>
      </c>
      <c r="F61" s="1292">
        <v>22524839.467</v>
      </c>
    </row>
    <row r="62" spans="1:6">
      <c r="A62" s="1291" t="s">
        <v>48</v>
      </c>
      <c r="B62" s="1291" t="s">
        <v>54</v>
      </c>
      <c r="C62" s="1292">
        <v>56</v>
      </c>
      <c r="D62" s="1292">
        <v>9046678.7480999995</v>
      </c>
      <c r="E62" s="1292">
        <v>79</v>
      </c>
      <c r="F62" s="1292">
        <v>4022851.6952</v>
      </c>
    </row>
    <row r="63" spans="1:6">
      <c r="A63" s="1291" t="s">
        <v>48</v>
      </c>
      <c r="B63" s="1291" t="s">
        <v>28</v>
      </c>
      <c r="C63" s="1292">
        <v>315</v>
      </c>
      <c r="D63" s="1292">
        <v>33944584.082000002</v>
      </c>
      <c r="E63" s="1292">
        <v>337</v>
      </c>
      <c r="F63" s="1292">
        <v>19395266.480999999</v>
      </c>
    </row>
    <row r="64" spans="1:6">
      <c r="A64" s="1291" t="s">
        <v>55</v>
      </c>
      <c r="B64" s="1291" t="s">
        <v>56</v>
      </c>
      <c r="C64" s="1292">
        <v>0</v>
      </c>
      <c r="D64" s="1292">
        <v>0</v>
      </c>
      <c r="E64" s="1292">
        <v>0</v>
      </c>
      <c r="F64" s="1292">
        <v>0</v>
      </c>
    </row>
    <row r="65" spans="1:6">
      <c r="A65" s="1291" t="s">
        <v>55</v>
      </c>
      <c r="B65" s="1291" t="s">
        <v>28</v>
      </c>
      <c r="C65" s="1292">
        <v>8</v>
      </c>
      <c r="D65" s="1292">
        <v>231901.59281999999</v>
      </c>
      <c r="E65" s="1292">
        <v>6</v>
      </c>
      <c r="F65" s="1292">
        <v>163233.10496999999</v>
      </c>
    </row>
    <row r="66" spans="1:6">
      <c r="A66" s="1291" t="s">
        <v>55</v>
      </c>
      <c r="B66" s="1291" t="s">
        <v>57</v>
      </c>
      <c r="C66" s="1292">
        <v>0</v>
      </c>
      <c r="D66" s="1292">
        <v>0</v>
      </c>
      <c r="E66" s="1292">
        <v>33</v>
      </c>
      <c r="F66" s="1292">
        <v>1277955.9147000001</v>
      </c>
    </row>
    <row r="67" spans="1:6">
      <c r="A67" s="1293" t="s">
        <v>55</v>
      </c>
      <c r="B67" s="1293" t="s">
        <v>58</v>
      </c>
      <c r="C67" s="1292">
        <v>0</v>
      </c>
      <c r="D67" s="1292">
        <v>0</v>
      </c>
      <c r="E67" s="1292">
        <v>0</v>
      </c>
      <c r="F67" s="1292">
        <v>0</v>
      </c>
    </row>
    <row r="68" spans="1:6">
      <c r="A68" s="1286" t="s">
        <v>55</v>
      </c>
      <c r="B68" s="1286" t="s">
        <v>59</v>
      </c>
      <c r="C68" s="1295">
        <v>7</v>
      </c>
      <c r="D68" s="1295">
        <v>320321.75553999998</v>
      </c>
      <c r="E68" s="1295">
        <v>31</v>
      </c>
      <c r="F68" s="1295">
        <v>636884.41466000001</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210761271</v>
      </c>
      <c r="E73" s="449"/>
      <c r="F73" s="330"/>
    </row>
    <row r="74" spans="1:6">
      <c r="A74" s="1291" t="s">
        <v>63</v>
      </c>
      <c r="B74" s="1291" t="s">
        <v>664</v>
      </c>
      <c r="C74" s="1305" t="s">
        <v>666</v>
      </c>
      <c r="D74" s="1306">
        <v>22246005.851340838</v>
      </c>
      <c r="E74" s="449"/>
      <c r="F74" s="330"/>
    </row>
    <row r="75" spans="1:6">
      <c r="A75" s="1291" t="s">
        <v>64</v>
      </c>
      <c r="B75" s="1291" t="s">
        <v>663</v>
      </c>
      <c r="C75" s="1305" t="s">
        <v>667</v>
      </c>
      <c r="D75" s="1306">
        <v>148424175</v>
      </c>
      <c r="E75" s="449"/>
      <c r="F75" s="330"/>
    </row>
    <row r="76" spans="1:6">
      <c r="A76" s="1291" t="s">
        <v>64</v>
      </c>
      <c r="B76" s="1291" t="s">
        <v>664</v>
      </c>
      <c r="C76" s="1305" t="s">
        <v>668</v>
      </c>
      <c r="D76" s="1306">
        <v>11092566.851340838</v>
      </c>
      <c r="E76" s="449"/>
      <c r="F76" s="330"/>
    </row>
    <row r="77" spans="1:6">
      <c r="A77" s="1291" t="s">
        <v>65</v>
      </c>
      <c r="B77" s="1291" t="s">
        <v>663</v>
      </c>
      <c r="C77" s="1305" t="s">
        <v>669</v>
      </c>
      <c r="D77" s="1306">
        <v>281493669</v>
      </c>
      <c r="E77" s="449"/>
      <c r="F77" s="330"/>
    </row>
    <row r="78" spans="1:6">
      <c r="A78" s="1286" t="s">
        <v>65</v>
      </c>
      <c r="B78" s="1286" t="s">
        <v>664</v>
      </c>
      <c r="C78" s="1286" t="s">
        <v>670</v>
      </c>
      <c r="D78" s="1307">
        <v>34795597</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3051026.2973183226</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11958.176963769298</v>
      </c>
      <c r="C91" s="330"/>
      <c r="D91" s="330"/>
      <c r="E91" s="330"/>
      <c r="F91" s="330"/>
    </row>
    <row r="92" spans="1:6">
      <c r="A92" s="1286" t="s">
        <v>68</v>
      </c>
      <c r="B92" s="1287">
        <v>10378.989344234817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15443</v>
      </c>
      <c r="C97" s="330"/>
      <c r="D97" s="330"/>
      <c r="E97" s="330"/>
      <c r="F97" s="330"/>
    </row>
    <row r="98" spans="1:6">
      <c r="A98" s="1291" t="s">
        <v>71</v>
      </c>
      <c r="B98" s="1292">
        <v>386</v>
      </c>
      <c r="C98" s="330"/>
      <c r="D98" s="330"/>
      <c r="E98" s="330"/>
      <c r="F98" s="330"/>
    </row>
    <row r="99" spans="1:6">
      <c r="A99" s="1291" t="s">
        <v>72</v>
      </c>
      <c r="B99" s="1292">
        <v>323</v>
      </c>
      <c r="C99" s="330"/>
      <c r="D99" s="330"/>
      <c r="E99" s="330"/>
      <c r="F99" s="330"/>
    </row>
    <row r="100" spans="1:6">
      <c r="A100" s="1291" t="s">
        <v>73</v>
      </c>
      <c r="B100" s="1292">
        <v>2629</v>
      </c>
      <c r="C100" s="330"/>
      <c r="D100" s="330"/>
      <c r="E100" s="330"/>
      <c r="F100" s="330"/>
    </row>
    <row r="101" spans="1:6">
      <c r="A101" s="1291" t="s">
        <v>74</v>
      </c>
      <c r="B101" s="1292">
        <v>231</v>
      </c>
      <c r="C101" s="330"/>
      <c r="D101" s="330"/>
      <c r="E101" s="330"/>
      <c r="F101" s="330"/>
    </row>
    <row r="102" spans="1:6">
      <c r="A102" s="1291" t="s">
        <v>75</v>
      </c>
      <c r="B102" s="1292">
        <v>1339</v>
      </c>
      <c r="C102" s="330"/>
      <c r="D102" s="330"/>
      <c r="E102" s="330"/>
      <c r="F102" s="330"/>
    </row>
    <row r="103" spans="1:6">
      <c r="A103" s="1291" t="s">
        <v>76</v>
      </c>
      <c r="B103" s="1292">
        <v>1079</v>
      </c>
      <c r="C103" s="330"/>
      <c r="D103" s="330"/>
      <c r="E103" s="330"/>
      <c r="F103" s="330"/>
    </row>
    <row r="104" spans="1:6">
      <c r="A104" s="1291" t="s">
        <v>77</v>
      </c>
      <c r="B104" s="1292">
        <v>10625</v>
      </c>
      <c r="C104" s="330"/>
      <c r="D104" s="330"/>
      <c r="E104" s="330"/>
      <c r="F104" s="330"/>
    </row>
    <row r="105" spans="1:6">
      <c r="A105" s="1286" t="s">
        <v>78</v>
      </c>
      <c r="B105" s="1295">
        <v>174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1</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54</v>
      </c>
      <c r="C123" s="1292">
        <v>66</v>
      </c>
      <c r="D123" s="330"/>
      <c r="E123" s="330"/>
      <c r="F123" s="330"/>
    </row>
    <row r="124" spans="1:6" s="43" customFormat="1">
      <c r="A124" s="1293" t="s">
        <v>88</v>
      </c>
      <c r="B124" s="1314">
        <v>1</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365</v>
      </c>
      <c r="C129" s="330"/>
      <c r="D129" s="330"/>
      <c r="E129" s="330"/>
      <c r="F129" s="330"/>
    </row>
    <row r="130" spans="1:6">
      <c r="A130" s="1291" t="s">
        <v>294</v>
      </c>
      <c r="B130" s="1292">
        <v>7</v>
      </c>
      <c r="C130" s="330"/>
      <c r="D130" s="330"/>
      <c r="E130" s="330"/>
      <c r="F130" s="330"/>
    </row>
    <row r="131" spans="1:6">
      <c r="A131" s="1291" t="s">
        <v>295</v>
      </c>
      <c r="B131" s="1292">
        <v>7</v>
      </c>
      <c r="C131" s="330"/>
      <c r="D131" s="330"/>
      <c r="E131" s="330"/>
      <c r="F131" s="330"/>
    </row>
    <row r="132" spans="1:6">
      <c r="A132" s="1286" t="s">
        <v>296</v>
      </c>
      <c r="B132" s="1287">
        <v>58</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374713.25825185591</v>
      </c>
      <c r="C3" s="43" t="s">
        <v>169</v>
      </c>
      <c r="D3" s="43"/>
      <c r="E3" s="154"/>
      <c r="F3" s="43"/>
      <c r="G3" s="43"/>
      <c r="H3" s="43"/>
      <c r="I3" s="43"/>
      <c r="J3" s="43"/>
      <c r="K3" s="96"/>
    </row>
    <row r="4" spans="1:11">
      <c r="A4" s="358" t="s">
        <v>170</v>
      </c>
      <c r="B4" s="49">
        <f>IF(ISERROR('SEAP template'!B78+'SEAP template'!C78),0,'SEAP template'!B78+'SEAP template'!C78)</f>
        <v>23053.791308004114</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170.30382352941177</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0.20785772668275981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243.29117647058825</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1023.75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4239.7610000000004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4239.7610000000004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0.20785772668275981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881.26708313822451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131596.02765</v>
      </c>
      <c r="C5" s="17">
        <f>IF(ISERROR('Eigen informatie GS &amp; warmtenet'!B57),0,'Eigen informatie GS &amp; warmtenet'!B57)</f>
        <v>0</v>
      </c>
      <c r="D5" s="30">
        <f>(SUM(HH_hh_gas_kWh,HH_rest_gas_kWh)/1000)*0.902</f>
        <v>333909.9333471476</v>
      </c>
      <c r="E5" s="17">
        <f>B46*B57</f>
        <v>82259.39098914717</v>
      </c>
      <c r="F5" s="17">
        <f>B51*B62</f>
        <v>35493.601355400773</v>
      </c>
      <c r="G5" s="18"/>
      <c r="H5" s="17"/>
      <c r="I5" s="17"/>
      <c r="J5" s="17">
        <f>B50*B61+C50*C61</f>
        <v>1636.037142973616</v>
      </c>
      <c r="K5" s="17"/>
      <c r="L5" s="17"/>
      <c r="M5" s="17"/>
      <c r="N5" s="17">
        <f>B48*B59+C48*C59</f>
        <v>47012.895110596051</v>
      </c>
      <c r="O5" s="17">
        <f>B69*B70*B71</f>
        <v>673.79666666666674</v>
      </c>
      <c r="P5" s="17">
        <f>B77*B78*B79/1000-B77*B78*B79/1000/B80</f>
        <v>2154.5333333333333</v>
      </c>
    </row>
    <row r="6" spans="1:16">
      <c r="A6" s="16" t="s">
        <v>623</v>
      </c>
      <c r="B6" s="762">
        <f>kWh_PV_kleiner_dan_10kW</f>
        <v>11958.176963769298</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143554.20461376931</v>
      </c>
      <c r="C8" s="21">
        <f>C5</f>
        <v>0</v>
      </c>
      <c r="D8" s="21">
        <f>D5</f>
        <v>333909.9333471476</v>
      </c>
      <c r="E8" s="21">
        <f>E5</f>
        <v>82259.39098914717</v>
      </c>
      <c r="F8" s="21">
        <f>F5</f>
        <v>35493.601355400773</v>
      </c>
      <c r="G8" s="21"/>
      <c r="H8" s="21"/>
      <c r="I8" s="21"/>
      <c r="J8" s="21">
        <f>J5</f>
        <v>1636.037142973616</v>
      </c>
      <c r="K8" s="21"/>
      <c r="L8" s="21">
        <f>L5</f>
        <v>0</v>
      </c>
      <c r="M8" s="21">
        <f>M5</f>
        <v>0</v>
      </c>
      <c r="N8" s="21">
        <f>N5</f>
        <v>47012.895110596051</v>
      </c>
      <c r="O8" s="21">
        <f>O5</f>
        <v>673.79666666666674</v>
      </c>
      <c r="P8" s="21">
        <f>P5</f>
        <v>2154.5333333333333</v>
      </c>
    </row>
    <row r="9" spans="1:16">
      <c r="B9" s="19"/>
      <c r="C9" s="19"/>
      <c r="D9" s="258"/>
      <c r="E9" s="19"/>
      <c r="F9" s="19"/>
      <c r="G9" s="19"/>
      <c r="H9" s="19"/>
      <c r="I9" s="19"/>
      <c r="J9" s="19"/>
      <c r="K9" s="19"/>
      <c r="L9" s="19"/>
      <c r="M9" s="19"/>
      <c r="N9" s="19"/>
      <c r="O9" s="19"/>
      <c r="P9" s="19"/>
    </row>
    <row r="10" spans="1:16">
      <c r="A10" s="24" t="s">
        <v>213</v>
      </c>
      <c r="B10" s="25">
        <f ca="1">'EF ele_warmte'!B12</f>
        <v>0.20785772668275981</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29838.850626769839</v>
      </c>
      <c r="C12" s="23">
        <f ca="1">C10*C8</f>
        <v>0</v>
      </c>
      <c r="D12" s="23">
        <f>D8*D10</f>
        <v>67449.806536123826</v>
      </c>
      <c r="E12" s="23">
        <f>E10*E8</f>
        <v>18672.881754536407</v>
      </c>
      <c r="F12" s="23">
        <f>F10*F8</f>
        <v>9476.7915618920069</v>
      </c>
      <c r="G12" s="23"/>
      <c r="H12" s="23"/>
      <c r="I12" s="23"/>
      <c r="J12" s="23">
        <f>J10*J8</f>
        <v>579.15714861266008</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15443</v>
      </c>
      <c r="C18" s="166" t="s">
        <v>110</v>
      </c>
      <c r="D18" s="228"/>
      <c r="E18" s="15"/>
    </row>
    <row r="19" spans="1:7">
      <c r="A19" s="171" t="s">
        <v>71</v>
      </c>
      <c r="B19" s="37">
        <f>aantalw2001_ander</f>
        <v>386</v>
      </c>
      <c r="C19" s="166" t="s">
        <v>110</v>
      </c>
      <c r="D19" s="229"/>
      <c r="E19" s="15"/>
    </row>
    <row r="20" spans="1:7">
      <c r="A20" s="171" t="s">
        <v>72</v>
      </c>
      <c r="B20" s="37">
        <f>aantalw2001_propaan</f>
        <v>323</v>
      </c>
      <c r="C20" s="167">
        <f>IF(ISERROR(B20/SUM($B$20,$B$21,$B$22)*100),0,B20/SUM($B$20,$B$21,$B$22)*100)</f>
        <v>10.147659440779139</v>
      </c>
      <c r="D20" s="229"/>
      <c r="E20" s="15"/>
    </row>
    <row r="21" spans="1:7">
      <c r="A21" s="171" t="s">
        <v>73</v>
      </c>
      <c r="B21" s="37">
        <f>aantalw2001_elektriciteit</f>
        <v>2629</v>
      </c>
      <c r="C21" s="167">
        <f>IF(ISERROR(B21/SUM($B$20,$B$21,$B$22)*100),0,B21/SUM($B$20,$B$21,$B$22)*100)</f>
        <v>82.595036129437631</v>
      </c>
      <c r="D21" s="229"/>
      <c r="E21" s="15"/>
    </row>
    <row r="22" spans="1:7">
      <c r="A22" s="171" t="s">
        <v>74</v>
      </c>
      <c r="B22" s="37">
        <f>aantalw2001_hout</f>
        <v>231</v>
      </c>
      <c r="C22" s="167">
        <f>IF(ISERROR(B22/SUM($B$20,$B$21,$B$22)*100),0,B22/SUM($B$20,$B$21,$B$22)*100)</f>
        <v>7.2573044297832237</v>
      </c>
      <c r="D22" s="229"/>
      <c r="E22" s="15"/>
    </row>
    <row r="23" spans="1:7">
      <c r="A23" s="171" t="s">
        <v>75</v>
      </c>
      <c r="B23" s="37">
        <f>aantalw2001_niet_gespec</f>
        <v>1339</v>
      </c>
      <c r="C23" s="166" t="s">
        <v>110</v>
      </c>
      <c r="D23" s="228"/>
      <c r="E23" s="15"/>
    </row>
    <row r="24" spans="1:7">
      <c r="A24" s="171" t="s">
        <v>76</v>
      </c>
      <c r="B24" s="37">
        <f>aantalw2001_steenkool</f>
        <v>1079</v>
      </c>
      <c r="C24" s="166" t="s">
        <v>110</v>
      </c>
      <c r="D24" s="229"/>
      <c r="E24" s="15"/>
    </row>
    <row r="25" spans="1:7">
      <c r="A25" s="171" t="s">
        <v>77</v>
      </c>
      <c r="B25" s="37">
        <f>aantalw2001_stookolie</f>
        <v>10625</v>
      </c>
      <c r="C25" s="166" t="s">
        <v>110</v>
      </c>
      <c r="D25" s="228"/>
      <c r="E25" s="52"/>
    </row>
    <row r="26" spans="1:7">
      <c r="A26" s="171" t="s">
        <v>78</v>
      </c>
      <c r="B26" s="37">
        <f>aantalw2001_WP</f>
        <v>174</v>
      </c>
      <c r="C26" s="166" t="s">
        <v>110</v>
      </c>
      <c r="D26" s="228"/>
      <c r="E26" s="15"/>
    </row>
    <row r="27" spans="1:7" s="15" customFormat="1">
      <c r="A27" s="171"/>
      <c r="B27" s="29"/>
      <c r="C27" s="36"/>
      <c r="D27" s="228"/>
    </row>
    <row r="28" spans="1:7" s="15" customFormat="1">
      <c r="A28" s="230" t="s">
        <v>695</v>
      </c>
      <c r="B28" s="37">
        <f>aantalHuishoudens</f>
        <v>37193</v>
      </c>
      <c r="C28" s="36"/>
      <c r="D28" s="228"/>
    </row>
    <row r="29" spans="1:7" s="15" customFormat="1">
      <c r="A29" s="230" t="s">
        <v>696</v>
      </c>
      <c r="B29" s="37">
        <f>SUM(HH_hh_gas_aantal,HH_rest_gas_aantal)</f>
        <v>25314</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25314</v>
      </c>
      <c r="C32" s="167">
        <f>IF(ISERROR(B32/SUM($B$32,$B$34,$B$35,$B$36,$B$38,$B$39)*100),0,B32/SUM($B$32,$B$34,$B$35,$B$36,$B$38,$B$39)*100)</f>
        <v>68.26860841423948</v>
      </c>
      <c r="D32" s="233"/>
      <c r="G32" s="15"/>
    </row>
    <row r="33" spans="1:7">
      <c r="A33" s="171" t="s">
        <v>71</v>
      </c>
      <c r="B33" s="34" t="s">
        <v>110</v>
      </c>
      <c r="C33" s="167"/>
      <c r="D33" s="233"/>
      <c r="G33" s="15"/>
    </row>
    <row r="34" spans="1:7">
      <c r="A34" s="171" t="s">
        <v>72</v>
      </c>
      <c r="B34" s="33">
        <f>IF((($B$28-$B$32-$B$39-$B$77-$B$38)*C20/100)&lt;0,0,($B$28-$B$32-$B$39-$B$77-$B$38)*C20/100)</f>
        <v>1007.9670122525918</v>
      </c>
      <c r="C34" s="167">
        <f>IF(ISERROR(B34/SUM($B$32,$B$34,$B$35,$B$36,$B$38,$B$39)*100),0,B34/SUM($B$32,$B$34,$B$35,$B$36,$B$38,$B$39)*100)</f>
        <v>2.7183576382216605</v>
      </c>
      <c r="D34" s="233"/>
      <c r="G34" s="15"/>
    </row>
    <row r="35" spans="1:7">
      <c r="A35" s="171" t="s">
        <v>73</v>
      </c>
      <c r="B35" s="33">
        <f>IF((($B$28-$B$32-$B$39-$B$77-$B$38)*C21/100)&lt;0,0,($B$28-$B$32-$B$39-$B$77-$B$38)*C21/100)</f>
        <v>8204.1649387370398</v>
      </c>
      <c r="C35" s="167">
        <f>IF(ISERROR(B35/SUM($B$32,$B$34,$B$35,$B$36,$B$38,$B$39)*100),0,B35/SUM($B$32,$B$34,$B$35,$B$36,$B$38,$B$39)*100)</f>
        <v>22.125579662181877</v>
      </c>
      <c r="D35" s="233"/>
      <c r="G35" s="15"/>
    </row>
    <row r="36" spans="1:7">
      <c r="A36" s="171" t="s">
        <v>74</v>
      </c>
      <c r="B36" s="33">
        <f>IF((($B$28-$B$32-$B$39-$B$77-$B$38)*C22/100)&lt;0,0,($B$28-$B$32-$B$39-$B$77-$B$38)*C22/100)</f>
        <v>720.86804901036749</v>
      </c>
      <c r="C36" s="167">
        <f>IF(ISERROR(B36/SUM($B$32,$B$34,$B$35,$B$36,$B$38,$B$39)*100),0,B36/SUM($B$32,$B$34,$B$35,$B$36,$B$38,$B$39)*100)</f>
        <v>1.944088589564098</v>
      </c>
      <c r="D36" s="233"/>
      <c r="G36" s="15"/>
    </row>
    <row r="37" spans="1:7">
      <c r="A37" s="171" t="s">
        <v>75</v>
      </c>
      <c r="B37" s="34" t="s">
        <v>110</v>
      </c>
      <c r="C37" s="167"/>
      <c r="D37" s="173"/>
      <c r="G37" s="15"/>
    </row>
    <row r="38" spans="1:7">
      <c r="A38" s="171" t="s">
        <v>76</v>
      </c>
      <c r="B38" s="33">
        <f>IF((B24-(B29-B18)*0.1)&lt;0,0,B24-(B29-B18)*0.1)</f>
        <v>91.899999999999977</v>
      </c>
      <c r="C38" s="167">
        <f>IF(ISERROR(B38/SUM($B$32,$B$34,$B$35,$B$36,$B$38,$B$39)*100),0,B38/SUM($B$32,$B$34,$B$35,$B$36,$B$38,$B$39)*100)</f>
        <v>0.24784250269687158</v>
      </c>
      <c r="D38" s="234"/>
      <c r="G38" s="15"/>
    </row>
    <row r="39" spans="1:7">
      <c r="A39" s="171" t="s">
        <v>77</v>
      </c>
      <c r="B39" s="33">
        <f>IF((B25-(B29-B18))&lt;0,0,B25-(B29-B18)*0.9)</f>
        <v>1741.1000000000004</v>
      </c>
      <c r="C39" s="167">
        <f>IF(ISERROR(B39/SUM($B$32,$B$34,$B$35,$B$36,$B$38,$B$39)*100),0,B39/SUM($B$32,$B$34,$B$35,$B$36,$B$38,$B$39)*100)</f>
        <v>4.6955231930960091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25314</v>
      </c>
      <c r="C44" s="34" t="s">
        <v>110</v>
      </c>
      <c r="D44" s="174"/>
    </row>
    <row r="45" spans="1:7">
      <c r="A45" s="171" t="s">
        <v>71</v>
      </c>
      <c r="B45" s="33" t="str">
        <f t="shared" si="0"/>
        <v>-</v>
      </c>
      <c r="C45" s="34" t="s">
        <v>110</v>
      </c>
      <c r="D45" s="174"/>
    </row>
    <row r="46" spans="1:7">
      <c r="A46" s="171" t="s">
        <v>72</v>
      </c>
      <c r="B46" s="33">
        <f t="shared" si="0"/>
        <v>1007.9670122525918</v>
      </c>
      <c r="C46" s="34" t="s">
        <v>110</v>
      </c>
      <c r="D46" s="174"/>
    </row>
    <row r="47" spans="1:7">
      <c r="A47" s="171" t="s">
        <v>73</v>
      </c>
      <c r="B47" s="33">
        <f t="shared" si="0"/>
        <v>8204.1649387370398</v>
      </c>
      <c r="C47" s="34" t="s">
        <v>110</v>
      </c>
      <c r="D47" s="174"/>
    </row>
    <row r="48" spans="1:7">
      <c r="A48" s="171" t="s">
        <v>74</v>
      </c>
      <c r="B48" s="33">
        <f t="shared" si="0"/>
        <v>720.86804901036749</v>
      </c>
      <c r="C48" s="33">
        <f>B48*10</f>
        <v>7208.6804901036749</v>
      </c>
      <c r="D48" s="234"/>
    </row>
    <row r="49" spans="1:6">
      <c r="A49" s="171" t="s">
        <v>75</v>
      </c>
      <c r="B49" s="33" t="str">
        <f t="shared" si="0"/>
        <v>-</v>
      </c>
      <c r="C49" s="34" t="s">
        <v>110</v>
      </c>
      <c r="D49" s="234"/>
    </row>
    <row r="50" spans="1:6">
      <c r="A50" s="171" t="s">
        <v>76</v>
      </c>
      <c r="B50" s="33">
        <f t="shared" si="0"/>
        <v>91.899999999999977</v>
      </c>
      <c r="C50" s="33">
        <f>B50*2</f>
        <v>183.79999999999995</v>
      </c>
      <c r="D50" s="234"/>
    </row>
    <row r="51" spans="1:6">
      <c r="A51" s="171" t="s">
        <v>77</v>
      </c>
      <c r="B51" s="33">
        <f t="shared" si="0"/>
        <v>1741.1000000000004</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431</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113</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124999.9312392</v>
      </c>
      <c r="C5" s="17">
        <f>IF(ISERROR('Eigen informatie GS &amp; warmtenet'!B58),0,'Eigen informatie GS &amp; warmtenet'!B58)</f>
        <v>0</v>
      </c>
      <c r="D5" s="30">
        <f>SUM(D6:D12)</f>
        <v>165874.80664093021</v>
      </c>
      <c r="E5" s="17">
        <f>SUM(E6:E12)</f>
        <v>2319.4685009210993</v>
      </c>
      <c r="F5" s="17">
        <f>SUM(F6:F12)</f>
        <v>30921.283347869987</v>
      </c>
      <c r="G5" s="18"/>
      <c r="H5" s="17"/>
      <c r="I5" s="17"/>
      <c r="J5" s="17">
        <f>SUM(J6:J12)</f>
        <v>0</v>
      </c>
      <c r="K5" s="17"/>
      <c r="L5" s="17"/>
      <c r="M5" s="17"/>
      <c r="N5" s="17">
        <f>SUM(N6:N12)</f>
        <v>10346.967019276339</v>
      </c>
      <c r="O5" s="17">
        <f>B38*B39*B40</f>
        <v>10.943333333333335</v>
      </c>
      <c r="P5" s="17">
        <f>B46*B47*B48/1000-B46*B47*B48/1000/B49</f>
        <v>133.46666666666667</v>
      </c>
      <c r="R5" s="32"/>
    </row>
    <row r="6" spans="1:18">
      <c r="A6" s="32" t="s">
        <v>53</v>
      </c>
      <c r="B6" s="37">
        <f>B26</f>
        <v>22524.839467000002</v>
      </c>
      <c r="C6" s="33"/>
      <c r="D6" s="37">
        <f>IF(ISERROR(TER_kantoor_gas_kWh/1000),0,TER_kantoor_gas_kWh/1000)*0.902</f>
        <v>32689.003733672002</v>
      </c>
      <c r="E6" s="33">
        <f>$C$26*'E Balans VL '!I12/100/3.6*1000000</f>
        <v>294.87789520188778</v>
      </c>
      <c r="F6" s="33">
        <f>$C$26*('E Balans VL '!L12+'E Balans VL '!N12)/100/3.6*1000000</f>
        <v>5743.6013010887873</v>
      </c>
      <c r="G6" s="34"/>
      <c r="H6" s="33"/>
      <c r="I6" s="33"/>
      <c r="J6" s="33">
        <f>$C$26*('E Balans VL '!D12+'E Balans VL '!E12)/100/3.6*1000000</f>
        <v>0</v>
      </c>
      <c r="K6" s="33"/>
      <c r="L6" s="33"/>
      <c r="M6" s="33"/>
      <c r="N6" s="33">
        <f>$C$26*'E Balans VL '!Y12/100/3.6*1000000</f>
        <v>22.600690657411445</v>
      </c>
      <c r="O6" s="33"/>
      <c r="P6" s="33"/>
      <c r="R6" s="32"/>
    </row>
    <row r="7" spans="1:18">
      <c r="A7" s="32" t="s">
        <v>52</v>
      </c>
      <c r="B7" s="37">
        <f t="shared" ref="B7:B12" si="0">B27</f>
        <v>10077.467288</v>
      </c>
      <c r="C7" s="33"/>
      <c r="D7" s="37">
        <f>IF(ISERROR(TER_horeca_gas_kWh/1000),0,TER_horeca_gas_kWh/1000)*0.902</f>
        <v>19756.982645664</v>
      </c>
      <c r="E7" s="33">
        <f>$C$27*'E Balans VL '!I9/100/3.6*1000000</f>
        <v>333.5028680556257</v>
      </c>
      <c r="F7" s="33">
        <f>$C$27*('E Balans VL '!L9+'E Balans VL '!N9)/100/3.6*1000000</f>
        <v>4333.2723123071937</v>
      </c>
      <c r="G7" s="34"/>
      <c r="H7" s="33"/>
      <c r="I7" s="33"/>
      <c r="J7" s="33">
        <f>$C$27*('E Balans VL '!D9+'E Balans VL '!E9)/100/3.6*1000000</f>
        <v>0</v>
      </c>
      <c r="K7" s="33"/>
      <c r="L7" s="33"/>
      <c r="M7" s="33"/>
      <c r="N7" s="33">
        <f>$C$27*'E Balans VL '!Y9/100/3.6*1000000</f>
        <v>2.4257927171061997</v>
      </c>
      <c r="O7" s="33"/>
      <c r="P7" s="33"/>
      <c r="R7" s="32"/>
    </row>
    <row r="8" spans="1:18">
      <c r="A8" s="6" t="s">
        <v>51</v>
      </c>
      <c r="B8" s="37">
        <f t="shared" si="0"/>
        <v>41964.588583999997</v>
      </c>
      <c r="C8" s="33"/>
      <c r="D8" s="37">
        <f>IF(ISERROR(TER_handel_gas_kWh/1000),0,TER_handel_gas_kWh/1000)*0.902</f>
        <v>39807.689096824004</v>
      </c>
      <c r="E8" s="33">
        <f>$C$28*'E Balans VL '!I13/100/3.6*1000000</f>
        <v>1324.4665356937633</v>
      </c>
      <c r="F8" s="33">
        <f>$C$28*('E Balans VL '!L13+'E Balans VL '!N13)/100/3.6*1000000</f>
        <v>8229.9947718492458</v>
      </c>
      <c r="G8" s="34"/>
      <c r="H8" s="33"/>
      <c r="I8" s="33"/>
      <c r="J8" s="33">
        <f>$C$28*('E Balans VL '!D13+'E Balans VL '!E13)/100/3.6*1000000</f>
        <v>0</v>
      </c>
      <c r="K8" s="33"/>
      <c r="L8" s="33"/>
      <c r="M8" s="33"/>
      <c r="N8" s="33">
        <f>$C$28*'E Balans VL '!Y13/100/3.6*1000000</f>
        <v>49.803819324354762</v>
      </c>
      <c r="O8" s="33"/>
      <c r="P8" s="33"/>
      <c r="R8" s="32"/>
    </row>
    <row r="9" spans="1:18">
      <c r="A9" s="32" t="s">
        <v>50</v>
      </c>
      <c r="B9" s="37">
        <f t="shared" si="0"/>
        <v>16406.092144999999</v>
      </c>
      <c r="C9" s="33"/>
      <c r="D9" s="37">
        <f>IF(ISERROR(TER_gezond_gas_kWh/1000),0,TER_gezond_gas_kWh/1000)*0.902</f>
        <v>22144.03411792</v>
      </c>
      <c r="E9" s="33">
        <f>$C$29*'E Balans VL '!I10/100/3.6*1000000</f>
        <v>2.1004597441365203</v>
      </c>
      <c r="F9" s="33">
        <f>$C$29*('E Balans VL '!L10+'E Balans VL '!N10)/100/3.6*1000000</f>
        <v>3418.0766361431665</v>
      </c>
      <c r="G9" s="34"/>
      <c r="H9" s="33"/>
      <c r="I9" s="33"/>
      <c r="J9" s="33">
        <f>$C$29*('E Balans VL '!D10+'E Balans VL '!E10)/100/3.6*1000000</f>
        <v>0</v>
      </c>
      <c r="K9" s="33"/>
      <c r="L9" s="33"/>
      <c r="M9" s="33"/>
      <c r="N9" s="33">
        <f>$C$29*'E Balans VL '!Y10/100/3.6*1000000</f>
        <v>192.69730678162949</v>
      </c>
      <c r="O9" s="33"/>
      <c r="P9" s="33"/>
      <c r="R9" s="32"/>
    </row>
    <row r="10" spans="1:18">
      <c r="A10" s="32" t="s">
        <v>49</v>
      </c>
      <c r="B10" s="37">
        <f t="shared" si="0"/>
        <v>10608.825579</v>
      </c>
      <c r="C10" s="33"/>
      <c r="D10" s="37">
        <f>IF(ISERROR(TER_ander_gas_kWh/1000),0,TER_ander_gas_kWh/1000)*0.902</f>
        <v>12698.977974100002</v>
      </c>
      <c r="E10" s="33">
        <f>$C$30*'E Balans VL '!I14/100/3.6*1000000</f>
        <v>15.953178840111567</v>
      </c>
      <c r="F10" s="33">
        <f>$C$30*('E Balans VL '!L14+'E Balans VL '!N14)/100/3.6*1000000</f>
        <v>2342.0867166261496</v>
      </c>
      <c r="G10" s="34"/>
      <c r="H10" s="33"/>
      <c r="I10" s="33"/>
      <c r="J10" s="33">
        <f>$C$30*('E Balans VL '!D14+'E Balans VL '!E14)/100/3.6*1000000</f>
        <v>0</v>
      </c>
      <c r="K10" s="33"/>
      <c r="L10" s="33"/>
      <c r="M10" s="33"/>
      <c r="N10" s="33">
        <f>$C$30*'E Balans VL '!Y14/100/3.6*1000000</f>
        <v>8360.4685032949837</v>
      </c>
      <c r="O10" s="33"/>
      <c r="P10" s="33"/>
      <c r="R10" s="32"/>
    </row>
    <row r="11" spans="1:18">
      <c r="A11" s="32" t="s">
        <v>54</v>
      </c>
      <c r="B11" s="37">
        <f t="shared" si="0"/>
        <v>4022.8516952</v>
      </c>
      <c r="C11" s="33"/>
      <c r="D11" s="37">
        <f>IF(ISERROR(TER_onderwijs_gas_kWh/1000),0,TER_onderwijs_gas_kWh/1000)*0.902</f>
        <v>8160.1042307861999</v>
      </c>
      <c r="E11" s="33">
        <f>$C$31*'E Balans VL '!I11/100/3.6*1000000</f>
        <v>7.0845789490539772</v>
      </c>
      <c r="F11" s="33">
        <f>$C$31*('E Balans VL '!L11+'E Balans VL '!N11)/100/3.6*1000000</f>
        <v>1857.4234210548698</v>
      </c>
      <c r="G11" s="34"/>
      <c r="H11" s="33"/>
      <c r="I11" s="33"/>
      <c r="J11" s="33">
        <f>$C$31*('E Balans VL '!D11+'E Balans VL '!E11)/100/3.6*1000000</f>
        <v>0</v>
      </c>
      <c r="K11" s="33"/>
      <c r="L11" s="33"/>
      <c r="M11" s="33"/>
      <c r="N11" s="33">
        <f>$C$31*'E Balans VL '!Y11/100/3.6*1000000</f>
        <v>7.4946283392834792</v>
      </c>
      <c r="O11" s="33"/>
      <c r="P11" s="33"/>
      <c r="R11" s="32"/>
    </row>
    <row r="12" spans="1:18">
      <c r="A12" s="32" t="s">
        <v>259</v>
      </c>
      <c r="B12" s="37">
        <f t="shared" si="0"/>
        <v>19395.266480999999</v>
      </c>
      <c r="C12" s="33"/>
      <c r="D12" s="37">
        <f>IF(ISERROR(TER_rest_gas_kWh/1000),0,TER_rest_gas_kWh/1000)*0.902</f>
        <v>30618.014841964003</v>
      </c>
      <c r="E12" s="33">
        <f>$C$32*'E Balans VL '!I8/100/3.6*1000000</f>
        <v>341.48298443652021</v>
      </c>
      <c r="F12" s="33">
        <f>$C$32*('E Balans VL '!L8+'E Balans VL '!N8)/100/3.6*1000000</f>
        <v>4996.8281888005722</v>
      </c>
      <c r="G12" s="34"/>
      <c r="H12" s="33"/>
      <c r="I12" s="33"/>
      <c r="J12" s="33">
        <f>$C$32*('E Balans VL '!D8+'E Balans VL '!E8)/100/3.6*1000000</f>
        <v>0</v>
      </c>
      <c r="K12" s="33"/>
      <c r="L12" s="33"/>
      <c r="M12" s="33"/>
      <c r="N12" s="33">
        <f>$C$32*'E Balans VL '!Y8/100/3.6*1000000</f>
        <v>1711.4762781615707</v>
      </c>
      <c r="O12" s="33"/>
      <c r="P12" s="33"/>
      <c r="R12" s="32"/>
    </row>
    <row r="13" spans="1:18">
      <c r="A13" s="16" t="s">
        <v>490</v>
      </c>
      <c r="B13" s="247">
        <f ca="1">'lokale energieproductie'!N38+'lokale energieproductie'!N31</f>
        <v>716.625</v>
      </c>
      <c r="C13" s="247">
        <f ca="1">'lokale energieproductie'!O38+'lokale energieproductie'!O31</f>
        <v>1023.75</v>
      </c>
      <c r="D13" s="308">
        <f ca="1">('lokale energieproductie'!P31+'lokale energieproductie'!P38)*(-1)</f>
        <v>-2047.5000000000002</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125716.5562392</v>
      </c>
      <c r="C16" s="21">
        <f t="shared" ca="1" si="1"/>
        <v>1023.75</v>
      </c>
      <c r="D16" s="21">
        <f t="shared" ca="1" si="1"/>
        <v>163827.30664093021</v>
      </c>
      <c r="E16" s="21">
        <f t="shared" si="1"/>
        <v>2319.4685009210993</v>
      </c>
      <c r="F16" s="21">
        <f t="shared" ca="1" si="1"/>
        <v>30921.283347869987</v>
      </c>
      <c r="G16" s="21">
        <f t="shared" si="1"/>
        <v>0</v>
      </c>
      <c r="H16" s="21">
        <f t="shared" si="1"/>
        <v>0</v>
      </c>
      <c r="I16" s="21">
        <f t="shared" si="1"/>
        <v>0</v>
      </c>
      <c r="J16" s="21">
        <f t="shared" si="1"/>
        <v>0</v>
      </c>
      <c r="K16" s="21">
        <f t="shared" si="1"/>
        <v>0</v>
      </c>
      <c r="L16" s="21">
        <f t="shared" ca="1" si="1"/>
        <v>0</v>
      </c>
      <c r="M16" s="21">
        <f t="shared" si="1"/>
        <v>0</v>
      </c>
      <c r="N16" s="21">
        <f t="shared" ca="1" si="1"/>
        <v>10346.967019276339</v>
      </c>
      <c r="O16" s="21">
        <f>O5</f>
        <v>10.943333333333335</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0.20785772668275981</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26131.157586265435</v>
      </c>
      <c r="C20" s="23">
        <f t="shared" ref="C20:P20" ca="1" si="2">C16*C18</f>
        <v>243.29117647058825</v>
      </c>
      <c r="D20" s="23">
        <f t="shared" ca="1" si="2"/>
        <v>33093.115941467906</v>
      </c>
      <c r="E20" s="23">
        <f t="shared" si="2"/>
        <v>526.51934970908962</v>
      </c>
      <c r="F20" s="23">
        <f t="shared" ca="1" si="2"/>
        <v>8255.9826538812868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22524.839467000002</v>
      </c>
      <c r="C26" s="39">
        <f>IF(ISERROR(B26*3.6/1000000/'E Balans VL '!Z12*100),0,B26*3.6/1000000/'E Balans VL '!Z12*100)</f>
        <v>0.48249956024952434</v>
      </c>
      <c r="D26" s="237" t="s">
        <v>659</v>
      </c>
      <c r="F26" s="6"/>
    </row>
    <row r="27" spans="1:18">
      <c r="A27" s="231" t="s">
        <v>52</v>
      </c>
      <c r="B27" s="33">
        <f>IF(ISERROR(TER_horeca_ele_kWh/1000),0,TER_horeca_ele_kWh/1000)</f>
        <v>10077.467288</v>
      </c>
      <c r="C27" s="39">
        <f>IF(ISERROR(B27*3.6/1000000/'E Balans VL '!Z9*100),0,B27*3.6/1000000/'E Balans VL '!Z9*100)</f>
        <v>0.80868172094325297</v>
      </c>
      <c r="D27" s="237" t="s">
        <v>659</v>
      </c>
      <c r="F27" s="6"/>
    </row>
    <row r="28" spans="1:18">
      <c r="A28" s="171" t="s">
        <v>51</v>
      </c>
      <c r="B28" s="33">
        <f>IF(ISERROR(TER_handel_ele_kWh/1000),0,TER_handel_ele_kWh/1000)</f>
        <v>41964.588583999997</v>
      </c>
      <c r="C28" s="39">
        <f>IF(ISERROR(B28*3.6/1000000/'E Balans VL '!Z13*100),0,B28*3.6/1000000/'E Balans VL '!Z13*100)</f>
        <v>1.2377146639485963</v>
      </c>
      <c r="D28" s="237" t="s">
        <v>659</v>
      </c>
      <c r="F28" s="6"/>
    </row>
    <row r="29" spans="1:18">
      <c r="A29" s="231" t="s">
        <v>50</v>
      </c>
      <c r="B29" s="33">
        <f>IF(ISERROR(TER_gezond_ele_kWh/1000),0,TER_gezond_ele_kWh/1000)</f>
        <v>16406.092144999999</v>
      </c>
      <c r="C29" s="39">
        <f>IF(ISERROR(B29*3.6/1000000/'E Balans VL '!Z10*100),0,B29*3.6/1000000/'E Balans VL '!Z10*100)</f>
        <v>1.7517307772608348</v>
      </c>
      <c r="D29" s="237" t="s">
        <v>659</v>
      </c>
      <c r="F29" s="6"/>
    </row>
    <row r="30" spans="1:18">
      <c r="A30" s="231" t="s">
        <v>49</v>
      </c>
      <c r="B30" s="33">
        <f>IF(ISERROR(TER_ander_ele_kWh/1000),0,TER_ander_ele_kWh/1000)</f>
        <v>10608.825579</v>
      </c>
      <c r="C30" s="39">
        <f>IF(ISERROR(B30*3.6/1000000/'E Balans VL '!Z14*100),0,B30*3.6/1000000/'E Balans VL '!Z14*100)</f>
        <v>0.80132625515952605</v>
      </c>
      <c r="D30" s="237" t="s">
        <v>659</v>
      </c>
      <c r="F30" s="6"/>
    </row>
    <row r="31" spans="1:18">
      <c r="A31" s="231" t="s">
        <v>54</v>
      </c>
      <c r="B31" s="33">
        <f>IF(ISERROR(TER_onderwijs_ele_kWh/1000),0,TER_onderwijs_ele_kWh/1000)</f>
        <v>4022.8516952</v>
      </c>
      <c r="C31" s="39">
        <f>IF(ISERROR(B31*3.6/1000000/'E Balans VL '!Z11*100),0,B31*3.6/1000000/'E Balans VL '!Z11*100)</f>
        <v>0.81234805042517833</v>
      </c>
      <c r="D31" s="237" t="s">
        <v>659</v>
      </c>
    </row>
    <row r="32" spans="1:18">
      <c r="A32" s="231" t="s">
        <v>259</v>
      </c>
      <c r="B32" s="33">
        <f>IF(ISERROR(TER_rest_ele_kWh/1000),0,TER_rest_ele_kWh/1000)</f>
        <v>19395.266480999999</v>
      </c>
      <c r="C32" s="39">
        <f>IF(ISERROR(B32*3.6/1000000/'E Balans VL '!Z8*100),0,B32*3.6/1000000/'E Balans VL '!Z8*100)</f>
        <v>0.16081376684122789</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7</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7</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93105.025649858988</v>
      </c>
      <c r="C5" s="17">
        <f>IF(ISERROR('Eigen informatie GS &amp; warmtenet'!B59),0,'Eigen informatie GS &amp; warmtenet'!B59)</f>
        <v>0</v>
      </c>
      <c r="D5" s="30">
        <f>SUM(D6:D15)</f>
        <v>121889.33863390997</v>
      </c>
      <c r="E5" s="17">
        <f>SUM(E6:E15)</f>
        <v>8827.2711213785988</v>
      </c>
      <c r="F5" s="17">
        <f>SUM(F6:F15)</f>
        <v>36057.626397068525</v>
      </c>
      <c r="G5" s="18"/>
      <c r="H5" s="17"/>
      <c r="I5" s="17"/>
      <c r="J5" s="17">
        <f>SUM(J6:J15)</f>
        <v>431.74818863517976</v>
      </c>
      <c r="K5" s="17"/>
      <c r="L5" s="17"/>
      <c r="M5" s="17"/>
      <c r="N5" s="17">
        <f>SUM(N6:N15)</f>
        <v>8657.6880114817068</v>
      </c>
      <c r="O5" s="17">
        <f>B43*B44*B45</f>
        <v>0</v>
      </c>
      <c r="P5" s="17">
        <f>B51*B52*B53/1000-B51*B52*B53/1000/B54</f>
        <v>0</v>
      </c>
      <c r="R5" s="32"/>
    </row>
    <row r="6" spans="1:18">
      <c r="A6" s="6" t="s">
        <v>34</v>
      </c>
      <c r="B6" s="37">
        <f>IF( ISERROR(IND_ijzer_ele_kWh/1000),0,IND_ijzer_ele_kWh/1000)</f>
        <v>39.928291780000002</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9895.4921328</v>
      </c>
      <c r="C8" s="33"/>
      <c r="D8" s="37">
        <f>IF( ISERROR(IND_metaal_Gas_kWH/1000),0,IND_metaal_Gas_kWH/1000)*0.902</f>
        <v>2857.6186883244</v>
      </c>
      <c r="E8" s="33">
        <f>C30*'E Balans VL '!I18/100/3.6*1000000</f>
        <v>356.06974283114027</v>
      </c>
      <c r="F8" s="33">
        <f>C30*'E Balans VL '!L18/100/3.6*1000000+C30*'E Balans VL '!N18/100/3.6*1000000</f>
        <v>4321.0406370512083</v>
      </c>
      <c r="G8" s="34"/>
      <c r="H8" s="33"/>
      <c r="I8" s="33"/>
      <c r="J8" s="40">
        <f>C30*'E Balans VL '!D18/100/3.6*1000000+C30*'E Balans VL '!E18/100/3.6*1000000</f>
        <v>0</v>
      </c>
      <c r="K8" s="33"/>
      <c r="L8" s="33"/>
      <c r="M8" s="33"/>
      <c r="N8" s="33">
        <f>C30*'E Balans VL '!Y18/100/3.6*1000000</f>
        <v>495.95534099648535</v>
      </c>
      <c r="O8" s="33"/>
      <c r="P8" s="33"/>
      <c r="R8" s="32"/>
    </row>
    <row r="9" spans="1:18">
      <c r="A9" s="6" t="s">
        <v>32</v>
      </c>
      <c r="B9" s="37">
        <f t="shared" si="0"/>
        <v>21087.605686999999</v>
      </c>
      <c r="C9" s="33"/>
      <c r="D9" s="37">
        <f>IF( ISERROR(IND_andere_gas_kWh/1000),0,IND_andere_gas_kWh/1000)*0.902</f>
        <v>10779.378426212001</v>
      </c>
      <c r="E9" s="33">
        <f>C31*'E Balans VL '!I19/100/3.6*1000000</f>
        <v>5381.0798508800845</v>
      </c>
      <c r="F9" s="33">
        <f>C31*'E Balans VL '!L19/100/3.6*1000000+C31*'E Balans VL '!N19/100/3.6*1000000</f>
        <v>18154.843490443825</v>
      </c>
      <c r="G9" s="34"/>
      <c r="H9" s="33"/>
      <c r="I9" s="33"/>
      <c r="J9" s="40">
        <f>C31*'E Balans VL '!D19/100/3.6*1000000+C31*'E Balans VL '!E19/100/3.6*1000000</f>
        <v>0</v>
      </c>
      <c r="K9" s="33"/>
      <c r="L9" s="33"/>
      <c r="M9" s="33"/>
      <c r="N9" s="33">
        <f>C31*'E Balans VL '!Y19/100/3.6*1000000</f>
        <v>1663.5653275251009</v>
      </c>
      <c r="O9" s="33"/>
      <c r="P9" s="33"/>
      <c r="R9" s="32"/>
    </row>
    <row r="10" spans="1:18">
      <c r="A10" s="6" t="s">
        <v>40</v>
      </c>
      <c r="B10" s="37">
        <f t="shared" si="0"/>
        <v>9410.9339206000004</v>
      </c>
      <c r="C10" s="33"/>
      <c r="D10" s="37">
        <f>IF( ISERROR(IND_voed_gas_kWh/1000),0,IND_voed_gas_kWh/1000)*0.902</f>
        <v>5125.4971355698008</v>
      </c>
      <c r="E10" s="33">
        <f>C32*'E Balans VL '!I20/100/3.6*1000000</f>
        <v>239.2388625328833</v>
      </c>
      <c r="F10" s="33">
        <f>C32*'E Balans VL '!L20/100/3.6*1000000+C32*'E Balans VL '!N20/100/3.6*1000000</f>
        <v>2129.5530759304729</v>
      </c>
      <c r="G10" s="34"/>
      <c r="H10" s="33"/>
      <c r="I10" s="33"/>
      <c r="J10" s="40">
        <f>C32*'E Balans VL '!D20/100/3.6*1000000+C32*'E Balans VL '!E20/100/3.6*1000000</f>
        <v>0</v>
      </c>
      <c r="K10" s="33"/>
      <c r="L10" s="33"/>
      <c r="M10" s="33"/>
      <c r="N10" s="33">
        <f>C32*'E Balans VL '!Y20/100/3.6*1000000</f>
        <v>3529.3553136226747</v>
      </c>
      <c r="O10" s="33"/>
      <c r="P10" s="33"/>
      <c r="R10" s="32"/>
    </row>
    <row r="11" spans="1:18">
      <c r="A11" s="6" t="s">
        <v>39</v>
      </c>
      <c r="B11" s="37">
        <f t="shared" si="0"/>
        <v>63.398230972999997</v>
      </c>
      <c r="C11" s="33"/>
      <c r="D11" s="37">
        <f>IF( ISERROR(IND_textiel_gas_kWh/1000),0,IND_textiel_gas_kWh/1000)*0.902</f>
        <v>47.843666693768</v>
      </c>
      <c r="E11" s="33">
        <f>C33*'E Balans VL '!I21/100/3.6*1000000</f>
        <v>0.17404519325385501</v>
      </c>
      <c r="F11" s="33">
        <f>C33*'E Balans VL '!L21/100/3.6*1000000+C33*'E Balans VL '!N21/100/3.6*1000000</f>
        <v>3.3611099917149181</v>
      </c>
      <c r="G11" s="34"/>
      <c r="H11" s="33"/>
      <c r="I11" s="33"/>
      <c r="J11" s="40">
        <f>C33*'E Balans VL '!D21/100/3.6*1000000+C33*'E Balans VL '!E21/100/3.6*1000000</f>
        <v>0</v>
      </c>
      <c r="K11" s="33"/>
      <c r="L11" s="33"/>
      <c r="M11" s="33"/>
      <c r="N11" s="33">
        <f>C33*'E Balans VL '!Y21/100/3.6*1000000</f>
        <v>0.12741995295123651</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89.258707705999996</v>
      </c>
      <c r="C13" s="33"/>
      <c r="D13" s="37">
        <f>IF( ISERROR(IND_papier_gas_kWh/1000),0,IND_papier_gas_kWh/1000)*0.902</f>
        <v>134.90566815</v>
      </c>
      <c r="E13" s="33">
        <f>C35*'E Balans VL '!I23/100/3.6*1000000</f>
        <v>0.38280463040562379</v>
      </c>
      <c r="F13" s="33">
        <f>C35*'E Balans VL '!L23/100/3.6*1000000+C35*'E Balans VL '!N23/100/3.6*1000000</f>
        <v>2.2433483660440321</v>
      </c>
      <c r="G13" s="34"/>
      <c r="H13" s="33"/>
      <c r="I13" s="33"/>
      <c r="J13" s="40">
        <f>C35*'E Balans VL '!D23/100/3.6*1000000+C35*'E Balans VL '!E23/100/3.6*1000000</f>
        <v>5.975380917043613</v>
      </c>
      <c r="K13" s="33"/>
      <c r="L13" s="33"/>
      <c r="M13" s="33"/>
      <c r="N13" s="33">
        <f>C35*'E Balans VL '!Y23/100/3.6*1000000</f>
        <v>21.766954331462106</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52518.408679</v>
      </c>
      <c r="C15" s="33"/>
      <c r="D15" s="37">
        <f>IF( ISERROR(IND_rest_gas_kWh/1000),0,IND_rest_gas_kWh/1000)*0.902</f>
        <v>102944.09504896001</v>
      </c>
      <c r="E15" s="33">
        <f>C37*'E Balans VL '!I15/100/3.6*1000000</f>
        <v>2850.3258153108322</v>
      </c>
      <c r="F15" s="33">
        <f>C37*'E Balans VL '!L15/100/3.6*1000000+C37*'E Balans VL '!N15/100/3.6*1000000</f>
        <v>11446.584735285258</v>
      </c>
      <c r="G15" s="34"/>
      <c r="H15" s="33"/>
      <c r="I15" s="33"/>
      <c r="J15" s="40">
        <f>C37*'E Balans VL '!D15/100/3.6*1000000+C37*'E Balans VL '!E15/100/3.6*1000000</f>
        <v>425.77280771813616</v>
      </c>
      <c r="K15" s="33"/>
      <c r="L15" s="33"/>
      <c r="M15" s="33"/>
      <c r="N15" s="33">
        <f>C37*'E Balans VL '!Y15/100/3.6*1000000</f>
        <v>2946.9176550530328</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93105.025649858988</v>
      </c>
      <c r="C18" s="21">
        <f>C5+C16</f>
        <v>0</v>
      </c>
      <c r="D18" s="21">
        <f>MAX((D5+D16),0)</f>
        <v>121889.33863390997</v>
      </c>
      <c r="E18" s="21">
        <f>MAX((E5+E16),0)</f>
        <v>8827.2711213785988</v>
      </c>
      <c r="F18" s="21">
        <f>MAX((F5+F16),0)</f>
        <v>36057.626397068525</v>
      </c>
      <c r="G18" s="21"/>
      <c r="H18" s="21"/>
      <c r="I18" s="21"/>
      <c r="J18" s="21">
        <f>MAX((J5+J16),0)</f>
        <v>431.74818863517976</v>
      </c>
      <c r="K18" s="21"/>
      <c r="L18" s="21">
        <f>MAX((L5+L16),0)</f>
        <v>0</v>
      </c>
      <c r="M18" s="21"/>
      <c r="N18" s="21">
        <f>MAX((N5+N16),0)</f>
        <v>8657.6880114817068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0.20785772668275981</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19352.598974319731</v>
      </c>
      <c r="C22" s="23">
        <f ca="1">C18*C20</f>
        <v>0</v>
      </c>
      <c r="D22" s="23">
        <f>D18*D20</f>
        <v>24621.646404049814</v>
      </c>
      <c r="E22" s="23">
        <f>E18*E20</f>
        <v>2003.790544552942</v>
      </c>
      <c r="F22" s="23">
        <f>F18*F20</f>
        <v>9627.3862480172975</v>
      </c>
      <c r="G22" s="23"/>
      <c r="H22" s="23"/>
      <c r="I22" s="23"/>
      <c r="J22" s="23">
        <f>J18*J20</f>
        <v>152.83885877685361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9895.4921328</v>
      </c>
      <c r="C30" s="39">
        <f>IF(ISERROR(B30*3.6/1000000/'E Balans VL '!Z18*100),0,B30*3.6/1000000/'E Balans VL '!Z18*100)</f>
        <v>2.0966426291804203</v>
      </c>
      <c r="D30" s="237" t="s">
        <v>659</v>
      </c>
    </row>
    <row r="31" spans="1:18">
      <c r="A31" s="6" t="s">
        <v>32</v>
      </c>
      <c r="B31" s="37">
        <f>IF( ISERROR(IND_ander_ele_kWh/1000),0,IND_ander_ele_kWh/1000)</f>
        <v>21087.605686999999</v>
      </c>
      <c r="C31" s="39">
        <f>IF(ISERROR(B31*3.6/1000000/'E Balans VL '!Z19*100),0,B31*3.6/1000000/'E Balans VL '!Z19*100)</f>
        <v>0.88762520625686947</v>
      </c>
      <c r="D31" s="237" t="s">
        <v>659</v>
      </c>
    </row>
    <row r="32" spans="1:18">
      <c r="A32" s="171" t="s">
        <v>40</v>
      </c>
      <c r="B32" s="37">
        <f>IF( ISERROR(IND_voed_ele_kWh/1000),0,IND_voed_ele_kWh/1000)</f>
        <v>9410.9339206000004</v>
      </c>
      <c r="C32" s="39">
        <f>IF(ISERROR(B32*3.6/1000000/'E Balans VL '!Z20*100),0,B32*3.6/1000000/'E Balans VL '!Z20*100)</f>
        <v>1.5722029888303808</v>
      </c>
      <c r="D32" s="237" t="s">
        <v>659</v>
      </c>
    </row>
    <row r="33" spans="1:5">
      <c r="A33" s="171" t="s">
        <v>39</v>
      </c>
      <c r="B33" s="37">
        <f>IF( ISERROR(IND_textiel_ele_kWh/1000),0,IND_textiel_ele_kWh/1000)</f>
        <v>63.398230972999997</v>
      </c>
      <c r="C33" s="39">
        <f>IF(ISERROR(B33*3.6/1000000/'E Balans VL '!Z21*100),0,B33*3.6/1000000/'E Balans VL '!Z21*100)</f>
        <v>3.7013784444803635E-3</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89.258707705999996</v>
      </c>
      <c r="C35" s="39">
        <f>IF(ISERROR(B35*3.6/1000000/'E Balans VL '!Z22*100),0,B35*3.6/1000000/'E Balans VL '!Z22*100)</f>
        <v>1.1314022572524448E-2</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52518.408679</v>
      </c>
      <c r="C37" s="39">
        <f>IF(ISERROR(B37*3.6/1000000/'E Balans VL '!Z15*100),0,B37*3.6/1000000/'E Balans VL '!Z15*100)</f>
        <v>0.42400144932548528</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1750.85391458</v>
      </c>
      <c r="C5" s="17">
        <f>'Eigen informatie GS &amp; warmtenet'!B60</f>
        <v>0</v>
      </c>
      <c r="D5" s="30">
        <f>IF(ISERROR(SUM(LB_lb_gas_kWh,LB_rest_gas_kWh)/1000),0,SUM(LB_lb_gas_kWh,LB_rest_gas_kWh)/1000)*0.902</f>
        <v>974.39511867544013</v>
      </c>
      <c r="E5" s="17">
        <f>B17*'E Balans VL '!I25/3.6*1000000/100</f>
        <v>45.147799955206636</v>
      </c>
      <c r="F5" s="17">
        <f>B17*('E Balans VL '!L25/3.6*1000000+'E Balans VL '!N25/3.6*1000000)/100</f>
        <v>6399.7044917206649</v>
      </c>
      <c r="G5" s="18"/>
      <c r="H5" s="17"/>
      <c r="I5" s="17"/>
      <c r="J5" s="17">
        <f>('E Balans VL '!D25+'E Balans VL '!E25)/3.6*1000000*landbouw!B17/100</f>
        <v>252.0585556369775</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1750.85391458</v>
      </c>
      <c r="C8" s="21">
        <f>C5+C6</f>
        <v>0</v>
      </c>
      <c r="D8" s="21">
        <f>MAX((D5+D6),0)</f>
        <v>974.39511867544013</v>
      </c>
      <c r="E8" s="21">
        <f>MAX((E5+E6),0)</f>
        <v>45.147799955206636</v>
      </c>
      <c r="F8" s="21">
        <f>MAX((F5+F6),0)</f>
        <v>6399.7044917206649</v>
      </c>
      <c r="G8" s="21"/>
      <c r="H8" s="21"/>
      <c r="I8" s="21"/>
      <c r="J8" s="21">
        <f>MAX((J5+J6),0)</f>
        <v>252.0585556369775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0.20785772668275981</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363.92851443820973</v>
      </c>
      <c r="C12" s="23">
        <f ca="1">C8*C10</f>
        <v>0</v>
      </c>
      <c r="D12" s="23">
        <f>D8*D10</f>
        <v>196.82781397243892</v>
      </c>
      <c r="E12" s="23">
        <f>E8*E10</f>
        <v>10.248550589831908</v>
      </c>
      <c r="F12" s="23">
        <f>F8*F10</f>
        <v>1708.7210992894177</v>
      </c>
      <c r="G12" s="23"/>
      <c r="H12" s="23"/>
      <c r="I12" s="23"/>
      <c r="J12" s="23">
        <f>J8*J10</f>
        <v>89.228728695490034</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0.24688199935206326</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167.0127990804248</v>
      </c>
      <c r="C26" s="247">
        <f>B26*'GWP N2O_CH4'!B5</f>
        <v>3507.2687806889207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45.096538966726804</v>
      </c>
      <c r="C27" s="247">
        <f>B27*'GWP N2O_CH4'!B5</f>
        <v>947.02731830126288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2.0650864460211675</v>
      </c>
      <c r="C28" s="247">
        <f>B28*'GWP N2O_CH4'!B4</f>
        <v>640.17679826656195</v>
      </c>
      <c r="D28" s="50"/>
    </row>
    <row r="29" spans="1:4">
      <c r="A29" s="41" t="s">
        <v>276</v>
      </c>
      <c r="B29" s="247">
        <f>B34*'ha_N2O bodem landbouw'!B4</f>
        <v>16.899741413670956</v>
      </c>
      <c r="C29" s="247">
        <f>B29*'GWP N2O_CH4'!B4</f>
        <v>5238.9198382379964</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3.8033601767388822E-3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4.7455604981155278E-4</v>
      </c>
      <c r="C5" s="437" t="s">
        <v>210</v>
      </c>
      <c r="D5" s="422">
        <f>SUM(D6:D11)</f>
        <v>9.9631328072377493E-4</v>
      </c>
      <c r="E5" s="422">
        <f>SUM(E6:E11)</f>
        <v>4.842391584737293E-3</v>
      </c>
      <c r="F5" s="435" t="s">
        <v>210</v>
      </c>
      <c r="G5" s="422">
        <f>SUM(G6:G11)</f>
        <v>1.9111855647805125</v>
      </c>
      <c r="H5" s="422">
        <f>SUM(H6:H11)</f>
        <v>0.34468315640225833</v>
      </c>
      <c r="I5" s="437" t="s">
        <v>210</v>
      </c>
      <c r="J5" s="437" t="s">
        <v>210</v>
      </c>
      <c r="K5" s="437" t="s">
        <v>210</v>
      </c>
      <c r="L5" s="437" t="s">
        <v>210</v>
      </c>
      <c r="M5" s="422">
        <f>SUM(M6:M11)</f>
        <v>7.0455880664336404E-2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1.5611252790567734E-4</v>
      </c>
      <c r="C6" s="423"/>
      <c r="D6" s="865">
        <f>vkm_GW_PW*SUMIFS(TableVerdeelsleutelVkm[CNG],TableVerdeelsleutelVkm[Voertuigtype],"Lichte voertuigen")*SUMIFS(TableECFTransport[EnergieConsumptieFactor (PJ per km)],TableECFTransport[Index],CONCATENATE($A6,"_CNG_CNG"))</f>
        <v>2.8142041218598174E-4</v>
      </c>
      <c r="E6" s="865">
        <f>vkm_GW_PW*SUMIFS(TableVerdeelsleutelVkm[LPG],TableVerdeelsleutelVkm[Voertuigtype],"Lichte voertuigen")*SUMIFS(TableECFTransport[EnergieConsumptieFactor (PJ per km)],TableECFTransport[Index],CONCATENATE($A6,"_LPG_LPG"))</f>
        <v>1.271295966211184E-3</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0.34731632273604562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9.6627053372383656E-2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1.3822527614564454E-2</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0.21471471469418094</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3.8744873490704101E-6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6.7549369604711224E-3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1.0993895155227375E-4</v>
      </c>
      <c r="C8" s="423"/>
      <c r="D8" s="425">
        <f>vkm_NGW_PW*SUMIFS(TableVerdeelsleutelVkm[CNG],TableVerdeelsleutelVkm[Voertuigtype],"Lichte voertuigen")*SUMIFS(TableECFTransport[EnergieConsumptieFactor (PJ per km)],TableECFTransport[Index],CONCATENATE($A8,"_CNG_CNG"))</f>
        <v>3.3685643219421343E-4</v>
      </c>
      <c r="E8" s="425">
        <f>vkm_NGW_PW*SUMIFS(TableVerdeelsleutelVkm[LPG],TableVerdeelsleutelVkm[Voertuigtype],"Lichte voertuigen")*SUMIFS(TableECFTransport[EnergieConsumptieFactor (PJ per km)],TableECFTransport[Index],CONCATENATE($A8,"_LPG_LPG"))</f>
        <v>1.4444415970586086E-3</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0.37053202282884135</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0.11239598587434491</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1.5025511737724127E-2</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0.13783932581729016</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3.0704526950973754E-6</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4.3364503958342503E-3</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2.0850457035360165E-4</v>
      </c>
      <c r="C10" s="423"/>
      <c r="D10" s="425">
        <f>vkm_SW_PW*SUMIFS(TableVerdeelsleutelVkm[CNG],TableVerdeelsleutelVkm[Voertuigtype],"Lichte voertuigen")*SUMIFS(TableECFTransport[EnergieConsumptieFactor (PJ per km)],TableECFTransport[Index],CONCATENATE($A10,"_CNG_CNG"))</f>
        <v>3.7803643634357981E-4</v>
      </c>
      <c r="E10" s="425">
        <f>vkm_SW_PW*SUMIFS(TableVerdeelsleutelVkm[LPG],TableVerdeelsleutelVkm[Voertuigtype],"Lichte voertuigen")*SUMIFS(TableECFTransport[EnergieConsumptieFactor (PJ per km)],TableECFTransport[Index],CONCATENATE($A10,"_LPG_LPG"))</f>
        <v>2.1266540214675009E-3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0.52143536456001871</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0.13564701661696074</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2.0469742041335295E-2</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0.31934781414413577</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6.1555985249095992E-6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1.0046711914407151E-2</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131.82112494765354</v>
      </c>
      <c r="C14" s="21"/>
      <c r="D14" s="21">
        <f t="shared" ref="D14:M14" si="0">((D5)*10^9/3600)+D12</f>
        <v>276.7536890899375</v>
      </c>
      <c r="E14" s="21">
        <f t="shared" si="0"/>
        <v>1345.108773538137</v>
      </c>
      <c r="F14" s="21"/>
      <c r="G14" s="21">
        <f t="shared" si="0"/>
        <v>530884.87910569797</v>
      </c>
      <c r="H14" s="21">
        <f t="shared" si="0"/>
        <v>95745.321222849539</v>
      </c>
      <c r="I14" s="21"/>
      <c r="J14" s="21"/>
      <c r="K14" s="21"/>
      <c r="L14" s="21"/>
      <c r="M14" s="21">
        <f t="shared" si="0"/>
        <v>19571.077962315667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0.20785772668275981</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27.4000393603833</v>
      </c>
      <c r="C18" s="23"/>
      <c r="D18" s="23">
        <f t="shared" ref="D18:M18" si="1">D14*D16</f>
        <v>55.904245196167381</v>
      </c>
      <c r="E18" s="23">
        <f t="shared" si="1"/>
        <v>305.33969159315711</v>
      </c>
      <c r="F18" s="23"/>
      <c r="G18" s="23">
        <f t="shared" si="1"/>
        <v>141746.26272122137</v>
      </c>
      <c r="H18" s="23">
        <f t="shared" si="1"/>
        <v>23840.584984489535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3.9264051343300646E-2</v>
      </c>
      <c r="H50" s="319">
        <f t="shared" si="2"/>
        <v>0</v>
      </c>
      <c r="I50" s="319">
        <f t="shared" si="2"/>
        <v>0</v>
      </c>
      <c r="J50" s="319">
        <f t="shared" si="2"/>
        <v>0</v>
      </c>
      <c r="K50" s="319">
        <f t="shared" si="2"/>
        <v>0</v>
      </c>
      <c r="L50" s="319">
        <f t="shared" si="2"/>
        <v>0</v>
      </c>
      <c r="M50" s="319">
        <f t="shared" si="2"/>
        <v>1.21634561677542E-3</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3.9264051343300646E-2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1.21634561677542E-3</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10906.680928694625</v>
      </c>
      <c r="H54" s="21">
        <f t="shared" si="3"/>
        <v>0</v>
      </c>
      <c r="I54" s="21">
        <f t="shared" si="3"/>
        <v>0</v>
      </c>
      <c r="J54" s="21">
        <f t="shared" si="3"/>
        <v>0</v>
      </c>
      <c r="K54" s="21">
        <f t="shared" si="3"/>
        <v>0</v>
      </c>
      <c r="L54" s="21">
        <f t="shared" si="3"/>
        <v>0</v>
      </c>
      <c r="M54" s="21">
        <f t="shared" si="3"/>
        <v>337.87378243761668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0.20785772668275981</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2912.083807961465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129956.3172392</v>
      </c>
      <c r="D10" s="978">
        <f ca="1">tertiair!C16</f>
        <v>1023.75</v>
      </c>
      <c r="E10" s="978">
        <f ca="1">tertiair!D16</f>
        <v>163827.30664093021</v>
      </c>
      <c r="F10" s="978">
        <f>tertiair!E16</f>
        <v>2319.4685009210993</v>
      </c>
      <c r="G10" s="978">
        <f ca="1">tertiair!F16</f>
        <v>30921.283347869987</v>
      </c>
      <c r="H10" s="978">
        <f>tertiair!G16</f>
        <v>0</v>
      </c>
      <c r="I10" s="978">
        <f>tertiair!H16</f>
        <v>0</v>
      </c>
      <c r="J10" s="978">
        <f>tertiair!I16</f>
        <v>0</v>
      </c>
      <c r="K10" s="978">
        <f>tertiair!J16</f>
        <v>0</v>
      </c>
      <c r="L10" s="978">
        <f>tertiair!K16</f>
        <v>0</v>
      </c>
      <c r="M10" s="978">
        <f ca="1">tertiair!L16</f>
        <v>0</v>
      </c>
      <c r="N10" s="978">
        <f>tertiair!M16</f>
        <v>0</v>
      </c>
      <c r="O10" s="978">
        <f ca="1">tertiair!N16</f>
        <v>10346.967019276339</v>
      </c>
      <c r="P10" s="978">
        <f>tertiair!O16</f>
        <v>10.943333333333335</v>
      </c>
      <c r="Q10" s="979">
        <f>tertiair!P16</f>
        <v>133.46666666666667</v>
      </c>
      <c r="R10" s="674">
        <f ca="1">SUM(C10:Q10)</f>
        <v>338539.5027481977</v>
      </c>
      <c r="S10" s="67"/>
    </row>
    <row r="11" spans="1:19" s="447" customFormat="1">
      <c r="A11" s="783" t="s">
        <v>224</v>
      </c>
      <c r="B11" s="788"/>
      <c r="C11" s="978">
        <f>huishoudens!B8</f>
        <v>143554.20461376931</v>
      </c>
      <c r="D11" s="978">
        <f>huishoudens!C8</f>
        <v>0</v>
      </c>
      <c r="E11" s="978">
        <f>huishoudens!D8</f>
        <v>333909.9333471476</v>
      </c>
      <c r="F11" s="978">
        <f>huishoudens!E8</f>
        <v>82259.39098914717</v>
      </c>
      <c r="G11" s="978">
        <f>huishoudens!F8</f>
        <v>35493.601355400773</v>
      </c>
      <c r="H11" s="978">
        <f>huishoudens!G8</f>
        <v>0</v>
      </c>
      <c r="I11" s="978">
        <f>huishoudens!H8</f>
        <v>0</v>
      </c>
      <c r="J11" s="978">
        <f>huishoudens!I8</f>
        <v>0</v>
      </c>
      <c r="K11" s="978">
        <f>huishoudens!J8</f>
        <v>1636.037142973616</v>
      </c>
      <c r="L11" s="978">
        <f>huishoudens!K8</f>
        <v>0</v>
      </c>
      <c r="M11" s="978">
        <f>huishoudens!L8</f>
        <v>0</v>
      </c>
      <c r="N11" s="978">
        <f>huishoudens!M8</f>
        <v>0</v>
      </c>
      <c r="O11" s="978">
        <f>huishoudens!N8</f>
        <v>47012.895110596051</v>
      </c>
      <c r="P11" s="978">
        <f>huishoudens!O8</f>
        <v>673.79666666666674</v>
      </c>
      <c r="Q11" s="979">
        <f>huishoudens!P8</f>
        <v>2154.5333333333333</v>
      </c>
      <c r="R11" s="674">
        <f>SUM(C11:Q11)</f>
        <v>646694.39255903452</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93105.025649858988</v>
      </c>
      <c r="D13" s="978">
        <f>industrie!C18</f>
        <v>0</v>
      </c>
      <c r="E13" s="978">
        <f>industrie!D18</f>
        <v>121889.33863390997</v>
      </c>
      <c r="F13" s="978">
        <f>industrie!E18</f>
        <v>8827.2711213785988</v>
      </c>
      <c r="G13" s="978">
        <f>industrie!F18</f>
        <v>36057.626397068525</v>
      </c>
      <c r="H13" s="978">
        <f>industrie!G18</f>
        <v>0</v>
      </c>
      <c r="I13" s="978">
        <f>industrie!H18</f>
        <v>0</v>
      </c>
      <c r="J13" s="978">
        <f>industrie!I18</f>
        <v>0</v>
      </c>
      <c r="K13" s="978">
        <f>industrie!J18</f>
        <v>431.74818863517976</v>
      </c>
      <c r="L13" s="978">
        <f>industrie!K18</f>
        <v>0</v>
      </c>
      <c r="M13" s="978">
        <f>industrie!L18</f>
        <v>0</v>
      </c>
      <c r="N13" s="978">
        <f>industrie!M18</f>
        <v>0</v>
      </c>
      <c r="O13" s="978">
        <f>industrie!N18</f>
        <v>8657.6880114817068</v>
      </c>
      <c r="P13" s="978">
        <f>industrie!O18</f>
        <v>0</v>
      </c>
      <c r="Q13" s="979">
        <f>industrie!P18</f>
        <v>0</v>
      </c>
      <c r="R13" s="674">
        <f>SUM(C13:Q13)</f>
        <v>268968.698002333</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366615.5475028283</v>
      </c>
      <c r="D16" s="706">
        <f t="shared" ref="D16:R16" ca="1" si="0">SUM(D9:D15)</f>
        <v>1023.75</v>
      </c>
      <c r="E16" s="706">
        <f t="shared" ca="1" si="0"/>
        <v>619626.57862198772</v>
      </c>
      <c r="F16" s="706">
        <f t="shared" si="0"/>
        <v>93406.130611446861</v>
      </c>
      <c r="G16" s="706">
        <f t="shared" ca="1" si="0"/>
        <v>102472.51110033928</v>
      </c>
      <c r="H16" s="706">
        <f t="shared" si="0"/>
        <v>0</v>
      </c>
      <c r="I16" s="706">
        <f t="shared" si="0"/>
        <v>0</v>
      </c>
      <c r="J16" s="706">
        <f t="shared" si="0"/>
        <v>0</v>
      </c>
      <c r="K16" s="706">
        <f t="shared" si="0"/>
        <v>2067.7853316087958</v>
      </c>
      <c r="L16" s="706">
        <f t="shared" si="0"/>
        <v>0</v>
      </c>
      <c r="M16" s="706">
        <f t="shared" ca="1" si="0"/>
        <v>0</v>
      </c>
      <c r="N16" s="706">
        <f t="shared" si="0"/>
        <v>0</v>
      </c>
      <c r="O16" s="706">
        <f t="shared" ca="1" si="0"/>
        <v>66017.550141354091</v>
      </c>
      <c r="P16" s="706">
        <f t="shared" si="0"/>
        <v>684.74000000000012</v>
      </c>
      <c r="Q16" s="706">
        <f t="shared" si="0"/>
        <v>2288</v>
      </c>
      <c r="R16" s="706">
        <f t="shared" ca="1" si="0"/>
        <v>1254202.5933095652</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10906.680928694625</v>
      </c>
      <c r="I19" s="978">
        <f>transport!H54</f>
        <v>0</v>
      </c>
      <c r="J19" s="978">
        <f>transport!I54</f>
        <v>0</v>
      </c>
      <c r="K19" s="978">
        <f>transport!J54</f>
        <v>0</v>
      </c>
      <c r="L19" s="978">
        <f>transport!K54</f>
        <v>0</v>
      </c>
      <c r="M19" s="978">
        <f>transport!L54</f>
        <v>0</v>
      </c>
      <c r="N19" s="978">
        <f>transport!M54</f>
        <v>337.87378243761668</v>
      </c>
      <c r="O19" s="978">
        <f>transport!N54</f>
        <v>0</v>
      </c>
      <c r="P19" s="978">
        <f>transport!O54</f>
        <v>0</v>
      </c>
      <c r="Q19" s="979">
        <f>transport!P54</f>
        <v>0</v>
      </c>
      <c r="R19" s="674">
        <f>SUM(C19:Q19)</f>
        <v>11244.554711132241</v>
      </c>
      <c r="S19" s="67"/>
    </row>
    <row r="20" spans="1:19" s="447" customFormat="1">
      <c r="A20" s="783" t="s">
        <v>306</v>
      </c>
      <c r="B20" s="788"/>
      <c r="C20" s="978">
        <f>transport!B14</f>
        <v>131.82112494765354</v>
      </c>
      <c r="D20" s="978">
        <f>transport!C14</f>
        <v>0</v>
      </c>
      <c r="E20" s="978">
        <f>transport!D14</f>
        <v>276.7536890899375</v>
      </c>
      <c r="F20" s="978">
        <f>transport!E14</f>
        <v>1345.108773538137</v>
      </c>
      <c r="G20" s="978">
        <f>transport!F14</f>
        <v>0</v>
      </c>
      <c r="H20" s="978">
        <f>transport!G14</f>
        <v>530884.87910569797</v>
      </c>
      <c r="I20" s="978">
        <f>transport!H14</f>
        <v>95745.321222849539</v>
      </c>
      <c r="J20" s="978">
        <f>transport!I14</f>
        <v>0</v>
      </c>
      <c r="K20" s="978">
        <f>transport!J14</f>
        <v>0</v>
      </c>
      <c r="L20" s="978">
        <f>transport!K14</f>
        <v>0</v>
      </c>
      <c r="M20" s="978">
        <f>transport!L14</f>
        <v>0</v>
      </c>
      <c r="N20" s="978">
        <f>transport!M14</f>
        <v>19571.077962315667</v>
      </c>
      <c r="O20" s="978">
        <f>transport!N14</f>
        <v>0</v>
      </c>
      <c r="P20" s="978">
        <f>transport!O14</f>
        <v>0</v>
      </c>
      <c r="Q20" s="979">
        <f>transport!P14</f>
        <v>0</v>
      </c>
      <c r="R20" s="674">
        <f>SUM(C20:Q20)</f>
        <v>647954.96187843883</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131.82112494765354</v>
      </c>
      <c r="D22" s="786">
        <f t="shared" ref="D22:R22" si="1">SUM(D18:D21)</f>
        <v>0</v>
      </c>
      <c r="E22" s="786">
        <f t="shared" si="1"/>
        <v>276.7536890899375</v>
      </c>
      <c r="F22" s="786">
        <f t="shared" si="1"/>
        <v>1345.108773538137</v>
      </c>
      <c r="G22" s="786">
        <f t="shared" si="1"/>
        <v>0</v>
      </c>
      <c r="H22" s="786">
        <f t="shared" si="1"/>
        <v>541791.56003439263</v>
      </c>
      <c r="I22" s="786">
        <f t="shared" si="1"/>
        <v>95745.321222849539</v>
      </c>
      <c r="J22" s="786">
        <f t="shared" si="1"/>
        <v>0</v>
      </c>
      <c r="K22" s="786">
        <f t="shared" si="1"/>
        <v>0</v>
      </c>
      <c r="L22" s="786">
        <f t="shared" si="1"/>
        <v>0</v>
      </c>
      <c r="M22" s="786">
        <f t="shared" si="1"/>
        <v>0</v>
      </c>
      <c r="N22" s="786">
        <f t="shared" si="1"/>
        <v>19908.951744753285</v>
      </c>
      <c r="O22" s="786">
        <f t="shared" si="1"/>
        <v>0</v>
      </c>
      <c r="P22" s="786">
        <f t="shared" si="1"/>
        <v>0</v>
      </c>
      <c r="Q22" s="786">
        <f t="shared" si="1"/>
        <v>0</v>
      </c>
      <c r="R22" s="786">
        <f t="shared" si="1"/>
        <v>659199.51658957102</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1750.85391458</v>
      </c>
      <c r="D24" s="978">
        <f>+landbouw!C8</f>
        <v>0</v>
      </c>
      <c r="E24" s="978">
        <f>+landbouw!D8</f>
        <v>974.39511867544013</v>
      </c>
      <c r="F24" s="978">
        <f>+landbouw!E8</f>
        <v>45.147799955206636</v>
      </c>
      <c r="G24" s="978">
        <f>+landbouw!F8</f>
        <v>6399.7044917206649</v>
      </c>
      <c r="H24" s="978">
        <f>+landbouw!G8</f>
        <v>0</v>
      </c>
      <c r="I24" s="978">
        <f>+landbouw!H8</f>
        <v>0</v>
      </c>
      <c r="J24" s="978">
        <f>+landbouw!I8</f>
        <v>0</v>
      </c>
      <c r="K24" s="978">
        <f>+landbouw!J8</f>
        <v>252.0585556369775</v>
      </c>
      <c r="L24" s="978">
        <f>+landbouw!K8</f>
        <v>0</v>
      </c>
      <c r="M24" s="978">
        <f>+landbouw!L8</f>
        <v>0</v>
      </c>
      <c r="N24" s="978">
        <f>+landbouw!M8</f>
        <v>0</v>
      </c>
      <c r="O24" s="978">
        <f>+landbouw!N8</f>
        <v>0</v>
      </c>
      <c r="P24" s="978">
        <f>+landbouw!O8</f>
        <v>0</v>
      </c>
      <c r="Q24" s="979">
        <f>+landbouw!P8</f>
        <v>0</v>
      </c>
      <c r="R24" s="674">
        <f>SUM(C24:Q24)</f>
        <v>9422.1598805682879</v>
      </c>
      <c r="S24" s="67"/>
    </row>
    <row r="25" spans="1:19" s="447" customFormat="1" ht="15" thickBot="1">
      <c r="A25" s="805" t="s">
        <v>834</v>
      </c>
      <c r="B25" s="981"/>
      <c r="C25" s="982">
        <f>IF(Onbekend_ele_kWh="---",0,Onbekend_ele_kWh)/1000+IF(REST_rest_ele_kWh="---",0,REST_rest_ele_kWh)/1000</f>
        <v>6215.0357094999999</v>
      </c>
      <c r="D25" s="982"/>
      <c r="E25" s="982">
        <f>IF(onbekend_gas_kWh="---",0,onbekend_gas_kWh)/1000+IF(REST_rest_gas_kWh="---",0,REST_rest_gas_kWh)/1000</f>
        <v>19996.482581</v>
      </c>
      <c r="F25" s="982"/>
      <c r="G25" s="982"/>
      <c r="H25" s="982"/>
      <c r="I25" s="982"/>
      <c r="J25" s="982"/>
      <c r="K25" s="982"/>
      <c r="L25" s="982"/>
      <c r="M25" s="982"/>
      <c r="N25" s="982"/>
      <c r="O25" s="982"/>
      <c r="P25" s="982"/>
      <c r="Q25" s="983"/>
      <c r="R25" s="674">
        <f>SUM(C25:Q25)</f>
        <v>26211.5182905</v>
      </c>
      <c r="S25" s="67"/>
    </row>
    <row r="26" spans="1:19" s="447" customFormat="1" ht="15.75" thickBot="1">
      <c r="A26" s="679" t="s">
        <v>835</v>
      </c>
      <c r="B26" s="791"/>
      <c r="C26" s="786">
        <f>SUM(C24:C25)</f>
        <v>7965.8896240800004</v>
      </c>
      <c r="D26" s="786">
        <f t="shared" ref="D26:R26" si="2">SUM(D24:D25)</f>
        <v>0</v>
      </c>
      <c r="E26" s="786">
        <f t="shared" si="2"/>
        <v>20970.877699675439</v>
      </c>
      <c r="F26" s="786">
        <f t="shared" si="2"/>
        <v>45.147799955206636</v>
      </c>
      <c r="G26" s="786">
        <f t="shared" si="2"/>
        <v>6399.7044917206649</v>
      </c>
      <c r="H26" s="786">
        <f t="shared" si="2"/>
        <v>0</v>
      </c>
      <c r="I26" s="786">
        <f t="shared" si="2"/>
        <v>0</v>
      </c>
      <c r="J26" s="786">
        <f t="shared" si="2"/>
        <v>0</v>
      </c>
      <c r="K26" s="786">
        <f t="shared" si="2"/>
        <v>252.0585556369775</v>
      </c>
      <c r="L26" s="786">
        <f t="shared" si="2"/>
        <v>0</v>
      </c>
      <c r="M26" s="786">
        <f t="shared" si="2"/>
        <v>0</v>
      </c>
      <c r="N26" s="786">
        <f t="shared" si="2"/>
        <v>0</v>
      </c>
      <c r="O26" s="786">
        <f t="shared" si="2"/>
        <v>0</v>
      </c>
      <c r="P26" s="786">
        <f t="shared" si="2"/>
        <v>0</v>
      </c>
      <c r="Q26" s="786">
        <f t="shared" si="2"/>
        <v>0</v>
      </c>
      <c r="R26" s="786">
        <f t="shared" si="2"/>
        <v>35633.678171068284</v>
      </c>
      <c r="S26" s="67"/>
    </row>
    <row r="27" spans="1:19" s="447" customFormat="1" ht="17.25" thickTop="1" thickBot="1">
      <c r="A27" s="680" t="s">
        <v>115</v>
      </c>
      <c r="B27" s="779"/>
      <c r="C27" s="681">
        <f ca="1">C22+C16+C26</f>
        <v>374713.25825185591</v>
      </c>
      <c r="D27" s="681">
        <f t="shared" ref="D27:R27" ca="1" si="3">D22+D16+D26</f>
        <v>1023.75</v>
      </c>
      <c r="E27" s="681">
        <f t="shared" ca="1" si="3"/>
        <v>640874.21001075301</v>
      </c>
      <c r="F27" s="681">
        <f t="shared" si="3"/>
        <v>94796.387184940206</v>
      </c>
      <c r="G27" s="681">
        <f t="shared" ca="1" si="3"/>
        <v>108872.21559205995</v>
      </c>
      <c r="H27" s="681">
        <f t="shared" si="3"/>
        <v>541791.56003439263</v>
      </c>
      <c r="I27" s="681">
        <f t="shared" si="3"/>
        <v>95745.321222849539</v>
      </c>
      <c r="J27" s="681">
        <f t="shared" si="3"/>
        <v>0</v>
      </c>
      <c r="K27" s="681">
        <f t="shared" si="3"/>
        <v>2319.8438872457732</v>
      </c>
      <c r="L27" s="681">
        <f t="shared" si="3"/>
        <v>0</v>
      </c>
      <c r="M27" s="681">
        <f t="shared" ca="1" si="3"/>
        <v>0</v>
      </c>
      <c r="N27" s="681">
        <f t="shared" si="3"/>
        <v>19908.951744753285</v>
      </c>
      <c r="O27" s="681">
        <f t="shared" ca="1" si="3"/>
        <v>66017.550141354091</v>
      </c>
      <c r="P27" s="681">
        <f t="shared" si="3"/>
        <v>684.74000000000012</v>
      </c>
      <c r="Q27" s="681">
        <f t="shared" si="3"/>
        <v>2288</v>
      </c>
      <c r="R27" s="681">
        <f t="shared" ca="1" si="3"/>
        <v>1949035.7880702044</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27012.424669403659</v>
      </c>
      <c r="D40" s="978">
        <f ca="1">tertiair!C20</f>
        <v>243.29117647058825</v>
      </c>
      <c r="E40" s="978">
        <f ca="1">tertiair!D20</f>
        <v>33093.115941467906</v>
      </c>
      <c r="F40" s="978">
        <f>tertiair!E20</f>
        <v>526.51934970908962</v>
      </c>
      <c r="G40" s="978">
        <f ca="1">tertiair!F20</f>
        <v>8255.9826538812868</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69131.333790932535</v>
      </c>
    </row>
    <row r="41" spans="1:18">
      <c r="A41" s="796" t="s">
        <v>224</v>
      </c>
      <c r="B41" s="803"/>
      <c r="C41" s="978">
        <f ca="1">huishoudens!B12</f>
        <v>29838.850626769839</v>
      </c>
      <c r="D41" s="978">
        <f ca="1">huishoudens!C12</f>
        <v>0</v>
      </c>
      <c r="E41" s="978">
        <f>huishoudens!D12</f>
        <v>67449.806536123826</v>
      </c>
      <c r="F41" s="978">
        <f>huishoudens!E12</f>
        <v>18672.881754536407</v>
      </c>
      <c r="G41" s="978">
        <f>huishoudens!F12</f>
        <v>9476.7915618920069</v>
      </c>
      <c r="H41" s="978">
        <f>huishoudens!G12</f>
        <v>0</v>
      </c>
      <c r="I41" s="978">
        <f>huishoudens!H12</f>
        <v>0</v>
      </c>
      <c r="J41" s="978">
        <f>huishoudens!I12</f>
        <v>0</v>
      </c>
      <c r="K41" s="978">
        <f>huishoudens!J12</f>
        <v>579.15714861266008</v>
      </c>
      <c r="L41" s="978">
        <f>huishoudens!K12</f>
        <v>0</v>
      </c>
      <c r="M41" s="978">
        <f>huishoudens!L12</f>
        <v>0</v>
      </c>
      <c r="N41" s="978">
        <f>huishoudens!M12</f>
        <v>0</v>
      </c>
      <c r="O41" s="978">
        <f>huishoudens!N12</f>
        <v>0</v>
      </c>
      <c r="P41" s="978">
        <f>huishoudens!O12</f>
        <v>0</v>
      </c>
      <c r="Q41" s="748">
        <f>huishoudens!P12</f>
        <v>0</v>
      </c>
      <c r="R41" s="824">
        <f t="shared" ca="1" si="4"/>
        <v>126017.48762793474</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19352.598974319731</v>
      </c>
      <c r="D43" s="978">
        <f ca="1">industrie!C22</f>
        <v>0</v>
      </c>
      <c r="E43" s="978">
        <f>industrie!D22</f>
        <v>24621.646404049814</v>
      </c>
      <c r="F43" s="978">
        <f>industrie!E22</f>
        <v>2003.790544552942</v>
      </c>
      <c r="G43" s="978">
        <f>industrie!F22</f>
        <v>9627.3862480172975</v>
      </c>
      <c r="H43" s="978">
        <f>industrie!G22</f>
        <v>0</v>
      </c>
      <c r="I43" s="978">
        <f>industrie!H22</f>
        <v>0</v>
      </c>
      <c r="J43" s="978">
        <f>industrie!I22</f>
        <v>0</v>
      </c>
      <c r="K43" s="978">
        <f>industrie!J22</f>
        <v>152.83885877685361</v>
      </c>
      <c r="L43" s="978">
        <f>industrie!K22</f>
        <v>0</v>
      </c>
      <c r="M43" s="978">
        <f>industrie!L22</f>
        <v>0</v>
      </c>
      <c r="N43" s="978">
        <f>industrie!M22</f>
        <v>0</v>
      </c>
      <c r="O43" s="978">
        <f>industrie!N22</f>
        <v>0</v>
      </c>
      <c r="P43" s="978">
        <f>industrie!O22</f>
        <v>0</v>
      </c>
      <c r="Q43" s="748">
        <f>industrie!P22</f>
        <v>0</v>
      </c>
      <c r="R43" s="823">
        <f t="shared" ca="1" si="4"/>
        <v>55758.261029716639</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76203.874270493223</v>
      </c>
      <c r="D46" s="706">
        <f t="shared" ref="D46:Q46" ca="1" si="5">SUM(D39:D45)</f>
        <v>243.29117647058825</v>
      </c>
      <c r="E46" s="706">
        <f t="shared" ca="1" si="5"/>
        <v>125164.56888164153</v>
      </c>
      <c r="F46" s="706">
        <f t="shared" si="5"/>
        <v>21203.191648798442</v>
      </c>
      <c r="G46" s="706">
        <f t="shared" ca="1" si="5"/>
        <v>27360.160463790591</v>
      </c>
      <c r="H46" s="706">
        <f t="shared" si="5"/>
        <v>0</v>
      </c>
      <c r="I46" s="706">
        <f t="shared" si="5"/>
        <v>0</v>
      </c>
      <c r="J46" s="706">
        <f t="shared" si="5"/>
        <v>0</v>
      </c>
      <c r="K46" s="706">
        <f t="shared" si="5"/>
        <v>731.99600738951369</v>
      </c>
      <c r="L46" s="706">
        <f t="shared" si="5"/>
        <v>0</v>
      </c>
      <c r="M46" s="706">
        <f t="shared" ca="1" si="5"/>
        <v>0</v>
      </c>
      <c r="N46" s="706">
        <f t="shared" si="5"/>
        <v>0</v>
      </c>
      <c r="O46" s="706">
        <f t="shared" ca="1" si="5"/>
        <v>0</v>
      </c>
      <c r="P46" s="706">
        <f t="shared" si="5"/>
        <v>0</v>
      </c>
      <c r="Q46" s="706">
        <f t="shared" si="5"/>
        <v>0</v>
      </c>
      <c r="R46" s="706">
        <f ca="1">SUM(R39:R45)</f>
        <v>250907.08244858391</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2912.083807961465</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2912.083807961465</v>
      </c>
    </row>
    <row r="50" spans="1:18">
      <c r="A50" s="799" t="s">
        <v>306</v>
      </c>
      <c r="B50" s="809"/>
      <c r="C50" s="677">
        <f ca="1">transport!B18</f>
        <v>27.4000393603833</v>
      </c>
      <c r="D50" s="677">
        <f>transport!C18</f>
        <v>0</v>
      </c>
      <c r="E50" s="677">
        <f>transport!D18</f>
        <v>55.904245196167381</v>
      </c>
      <c r="F50" s="677">
        <f>transport!E18</f>
        <v>305.33969159315711</v>
      </c>
      <c r="G50" s="677">
        <f>transport!F18</f>
        <v>0</v>
      </c>
      <c r="H50" s="677">
        <f>transport!G18</f>
        <v>141746.26272122137</v>
      </c>
      <c r="I50" s="677">
        <f>transport!H18</f>
        <v>23840.584984489535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165975.49168186061</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27.4000393603833</v>
      </c>
      <c r="D52" s="706">
        <f t="shared" ref="D52:Q52" ca="1" si="6">SUM(D48:D51)</f>
        <v>0</v>
      </c>
      <c r="E52" s="706">
        <f t="shared" si="6"/>
        <v>55.904245196167381</v>
      </c>
      <c r="F52" s="706">
        <f t="shared" si="6"/>
        <v>305.33969159315711</v>
      </c>
      <c r="G52" s="706">
        <f t="shared" si="6"/>
        <v>0</v>
      </c>
      <c r="H52" s="706">
        <f t="shared" si="6"/>
        <v>144658.34652918283</v>
      </c>
      <c r="I52" s="706">
        <f t="shared" si="6"/>
        <v>23840.584984489535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168887.57548982208</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363.92851443820973</v>
      </c>
      <c r="D54" s="677">
        <f ca="1">+landbouw!C12</f>
        <v>0</v>
      </c>
      <c r="E54" s="677">
        <f>+landbouw!D12</f>
        <v>196.82781397243892</v>
      </c>
      <c r="F54" s="677">
        <f>+landbouw!E12</f>
        <v>10.248550589831908</v>
      </c>
      <c r="G54" s="677">
        <f>+landbouw!F12</f>
        <v>1708.7210992894177</v>
      </c>
      <c r="H54" s="677">
        <f>+landbouw!G12</f>
        <v>0</v>
      </c>
      <c r="I54" s="677">
        <f>+landbouw!H12</f>
        <v>0</v>
      </c>
      <c r="J54" s="677">
        <f>+landbouw!I12</f>
        <v>0</v>
      </c>
      <c r="K54" s="677">
        <f>+landbouw!J12</f>
        <v>89.228728695490034</v>
      </c>
      <c r="L54" s="677">
        <f>+landbouw!K12</f>
        <v>0</v>
      </c>
      <c r="M54" s="677">
        <f>+landbouw!L12</f>
        <v>0</v>
      </c>
      <c r="N54" s="677">
        <f>+landbouw!M12</f>
        <v>0</v>
      </c>
      <c r="O54" s="677">
        <f>+landbouw!N12</f>
        <v>0</v>
      </c>
      <c r="P54" s="677">
        <f>+landbouw!O12</f>
        <v>0</v>
      </c>
      <c r="Q54" s="678">
        <f>+landbouw!P12</f>
        <v>0</v>
      </c>
      <c r="R54" s="705">
        <f ca="1">SUM(C54:Q54)</f>
        <v>2368.9547069853884</v>
      </c>
    </row>
    <row r="55" spans="1:18" ht="15" thickBot="1">
      <c r="A55" s="799" t="s">
        <v>834</v>
      </c>
      <c r="B55" s="809"/>
      <c r="C55" s="677">
        <f ca="1">C25*'EF ele_warmte'!B12</f>
        <v>1291.8431938288431</v>
      </c>
      <c r="D55" s="677"/>
      <c r="E55" s="677">
        <f>E25*EF_CO2_aardgas</f>
        <v>4039.2894813620005</v>
      </c>
      <c r="F55" s="677"/>
      <c r="G55" s="677"/>
      <c r="H55" s="677"/>
      <c r="I55" s="677"/>
      <c r="J55" s="677"/>
      <c r="K55" s="677"/>
      <c r="L55" s="677"/>
      <c r="M55" s="677"/>
      <c r="N55" s="677"/>
      <c r="O55" s="677"/>
      <c r="P55" s="677"/>
      <c r="Q55" s="678"/>
      <c r="R55" s="705">
        <f ca="1">SUM(C55:Q55)</f>
        <v>5331.1326751908437</v>
      </c>
    </row>
    <row r="56" spans="1:18" ht="15.75" thickBot="1">
      <c r="A56" s="797" t="s">
        <v>835</v>
      </c>
      <c r="B56" s="810"/>
      <c r="C56" s="706">
        <f ca="1">SUM(C54:C55)</f>
        <v>1655.7717082670529</v>
      </c>
      <c r="D56" s="706">
        <f t="shared" ref="D56:Q56" ca="1" si="7">SUM(D54:D55)</f>
        <v>0</v>
      </c>
      <c r="E56" s="706">
        <f t="shared" si="7"/>
        <v>4236.1172953344394</v>
      </c>
      <c r="F56" s="706">
        <f t="shared" si="7"/>
        <v>10.248550589831908</v>
      </c>
      <c r="G56" s="706">
        <f t="shared" si="7"/>
        <v>1708.7210992894177</v>
      </c>
      <c r="H56" s="706">
        <f t="shared" si="7"/>
        <v>0</v>
      </c>
      <c r="I56" s="706">
        <f t="shared" si="7"/>
        <v>0</v>
      </c>
      <c r="J56" s="706">
        <f t="shared" si="7"/>
        <v>0</v>
      </c>
      <c r="K56" s="706">
        <f t="shared" si="7"/>
        <v>89.228728695490034</v>
      </c>
      <c r="L56" s="706">
        <f t="shared" si="7"/>
        <v>0</v>
      </c>
      <c r="M56" s="706">
        <f t="shared" si="7"/>
        <v>0</v>
      </c>
      <c r="N56" s="706">
        <f t="shared" si="7"/>
        <v>0</v>
      </c>
      <c r="O56" s="706">
        <f t="shared" si="7"/>
        <v>0</v>
      </c>
      <c r="P56" s="706">
        <f t="shared" si="7"/>
        <v>0</v>
      </c>
      <c r="Q56" s="707">
        <f t="shared" si="7"/>
        <v>0</v>
      </c>
      <c r="R56" s="708">
        <f ca="1">SUM(R54:R55)</f>
        <v>7700.0873821762325</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77887.046018120658</v>
      </c>
      <c r="D61" s="714">
        <f t="shared" ref="D61:Q61" ca="1" si="8">D46+D52+D56</f>
        <v>243.29117647058825</v>
      </c>
      <c r="E61" s="714">
        <f t="shared" ca="1" si="8"/>
        <v>129456.59042217214</v>
      </c>
      <c r="F61" s="714">
        <f t="shared" si="8"/>
        <v>21518.779890981434</v>
      </c>
      <c r="G61" s="714">
        <f t="shared" ca="1" si="8"/>
        <v>29068.881563080009</v>
      </c>
      <c r="H61" s="714">
        <f t="shared" si="8"/>
        <v>144658.34652918283</v>
      </c>
      <c r="I61" s="714">
        <f t="shared" si="8"/>
        <v>23840.584984489535</v>
      </c>
      <c r="J61" s="714">
        <f t="shared" si="8"/>
        <v>0</v>
      </c>
      <c r="K61" s="714">
        <f t="shared" si="8"/>
        <v>821.22473608500377</v>
      </c>
      <c r="L61" s="714">
        <f t="shared" si="8"/>
        <v>0</v>
      </c>
      <c r="M61" s="714">
        <f t="shared" ca="1" si="8"/>
        <v>0</v>
      </c>
      <c r="N61" s="714">
        <f t="shared" si="8"/>
        <v>0</v>
      </c>
      <c r="O61" s="714">
        <f t="shared" ca="1" si="8"/>
        <v>0</v>
      </c>
      <c r="P61" s="714">
        <f t="shared" si="8"/>
        <v>0</v>
      </c>
      <c r="Q61" s="714">
        <f t="shared" si="8"/>
        <v>0</v>
      </c>
      <c r="R61" s="714">
        <f ca="1">R46+R52+R56</f>
        <v>427494.74532058224</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0.20785772668275981</v>
      </c>
      <c r="D63" s="755">
        <f t="shared" ca="1" si="9"/>
        <v>0.23764705882352943</v>
      </c>
      <c r="E63" s="989">
        <f t="shared" ca="1" si="9"/>
        <v>0.20200000000000004</v>
      </c>
      <c r="F63" s="755">
        <f t="shared" si="9"/>
        <v>0.22700000000000006</v>
      </c>
      <c r="G63" s="755">
        <f t="shared" ca="1" si="9"/>
        <v>0.26700000000000002</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22337.166308004114</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716.625</v>
      </c>
      <c r="D76" s="999">
        <f>'lokale energieproductie'!C8</f>
        <v>843.08823529411768</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170.30382352941177</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22337.166308004114</v>
      </c>
      <c r="C78" s="729">
        <f>SUM(C72:C77)</f>
        <v>716.625</v>
      </c>
      <c r="D78" s="730">
        <f t="shared" ref="D78:H78" si="10">SUM(D76:D77)</f>
        <v>843.08823529411768</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170.30382352941177</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1023.75</v>
      </c>
      <c r="D87" s="751">
        <f>'lokale energieproductie'!C17</f>
        <v>1204.4117647058824</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243.29117647058825</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1023.75</v>
      </c>
      <c r="D90" s="729">
        <f t="shared" ref="D90:H90" si="12">SUM(D87:D89)</f>
        <v>1204.4117647058824</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243.29117647058825</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22337.166308004114</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716.625</v>
      </c>
      <c r="C8" s="544">
        <f>B48</f>
        <v>843.08823529411768</v>
      </c>
      <c r="D8" s="1009"/>
      <c r="E8" s="1009">
        <f>E48</f>
        <v>0</v>
      </c>
      <c r="F8" s="1010"/>
      <c r="G8" s="545"/>
      <c r="H8" s="1009">
        <f>I48</f>
        <v>0</v>
      </c>
      <c r="I8" s="1009">
        <f>G48+F48</f>
        <v>0</v>
      </c>
      <c r="J8" s="1009">
        <f>H48+D48+C48</f>
        <v>0</v>
      </c>
      <c r="K8" s="1009"/>
      <c r="L8" s="1009"/>
      <c r="M8" s="1009"/>
      <c r="N8" s="546"/>
      <c r="O8" s="547">
        <f>C8*$C$12+D8*$D$12+E8*$E$12+F8*$F$12+G8*$G$12+H8*$H$12+I8*$I$12+J8*$J$12</f>
        <v>170.30382352941177</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23053.791308004114</v>
      </c>
      <c r="C10" s="557">
        <f t="shared" ref="C10:L10" si="0">SUM(C8:C9)</f>
        <v>843.08823529411768</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170.30382352941177</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1023.75</v>
      </c>
      <c r="C17" s="569">
        <f>B49</f>
        <v>1204.4117647058824</v>
      </c>
      <c r="D17" s="570"/>
      <c r="E17" s="570">
        <f>E49</f>
        <v>0</v>
      </c>
      <c r="F17" s="1015"/>
      <c r="G17" s="571"/>
      <c r="H17" s="569">
        <f>I49</f>
        <v>0</v>
      </c>
      <c r="I17" s="570">
        <f>G49+F49</f>
        <v>0</v>
      </c>
      <c r="J17" s="570">
        <f>H49+D49+C49</f>
        <v>0</v>
      </c>
      <c r="K17" s="570"/>
      <c r="L17" s="570"/>
      <c r="M17" s="570"/>
      <c r="N17" s="1016"/>
      <c r="O17" s="572">
        <f>C17*$C$22+E17*$E$22+H17*$H$22+I17*$I$22+J17*$J$22+D17*$D$22+F17*$F$22+G17*$G$22+K17*$K$22+L17*$L$22</f>
        <v>243.29117647058825</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1023.75</v>
      </c>
      <c r="C20" s="556">
        <f>SUM(C17:C19)</f>
        <v>1204.4117647058824</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243.29117647058825</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51">
      <c r="A28" s="579"/>
      <c r="B28" s="770">
        <v>41002</v>
      </c>
      <c r="C28" s="770">
        <v>9300</v>
      </c>
      <c r="D28" s="627"/>
      <c r="E28" s="626"/>
      <c r="F28" s="626" t="s">
        <v>896</v>
      </c>
      <c r="G28" s="626" t="s">
        <v>897</v>
      </c>
      <c r="H28" s="626" t="s">
        <v>898</v>
      </c>
      <c r="I28" s="626" t="s">
        <v>899</v>
      </c>
      <c r="J28" s="769">
        <v>42222</v>
      </c>
      <c r="K28" s="769">
        <v>42257</v>
      </c>
      <c r="L28" s="626" t="s">
        <v>900</v>
      </c>
      <c r="M28" s="626">
        <v>637</v>
      </c>
      <c r="N28" s="626">
        <v>716.625</v>
      </c>
      <c r="O28" s="626">
        <v>1023.75</v>
      </c>
      <c r="P28" s="626">
        <v>2047.5000000000002</v>
      </c>
      <c r="Q28" s="626">
        <v>0</v>
      </c>
      <c r="R28" s="626">
        <v>0</v>
      </c>
      <c r="S28" s="626">
        <v>0</v>
      </c>
      <c r="T28" s="626">
        <v>0</v>
      </c>
      <c r="U28" s="626">
        <v>0</v>
      </c>
      <c r="V28" s="626">
        <v>0</v>
      </c>
      <c r="W28" s="626">
        <v>0</v>
      </c>
      <c r="X28" s="626">
        <v>1500</v>
      </c>
      <c r="Y28" s="626" t="s">
        <v>50</v>
      </c>
      <c r="Z28" s="628" t="s">
        <v>155</v>
      </c>
    </row>
    <row r="29" spans="1:26" s="564" customFormat="1">
      <c r="A29" s="582" t="s">
        <v>279</v>
      </c>
      <c r="B29" s="583"/>
      <c r="C29" s="583"/>
      <c r="D29" s="583"/>
      <c r="E29" s="583"/>
      <c r="F29" s="583"/>
      <c r="G29" s="583"/>
      <c r="H29" s="583"/>
      <c r="I29" s="583"/>
      <c r="J29" s="583"/>
      <c r="K29" s="583"/>
      <c r="L29" s="584"/>
      <c r="M29" s="584">
        <f>SUM(M28:M28)</f>
        <v>637</v>
      </c>
      <c r="N29" s="584">
        <f>SUM(N28:N28)</f>
        <v>716.625</v>
      </c>
      <c r="O29" s="584">
        <f>SUM(O28:O28)</f>
        <v>1023.75</v>
      </c>
      <c r="P29" s="584">
        <f>SUM(P28:P28)</f>
        <v>2047.5000000000002</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637</v>
      </c>
      <c r="N31" s="584">
        <f ca="1">SUMIF($Z$28:AD28,"tertiair",N28:N28)</f>
        <v>716.625</v>
      </c>
      <c r="O31" s="584">
        <f ca="1">SUMIF($Z$28:AE28,"tertiair",O28:O28)</f>
        <v>1023.75</v>
      </c>
      <c r="P31" s="584">
        <f ca="1">SUMIF($Z$28:AF28,"tertiair",P28:P28)</f>
        <v>2047.5000000000002</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843.08823529411768</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1204.4117647058824</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143554.20461376931</v>
      </c>
      <c r="C4" s="451">
        <f>huishoudens!C8</f>
        <v>0</v>
      </c>
      <c r="D4" s="451">
        <f>huishoudens!D8</f>
        <v>333909.9333471476</v>
      </c>
      <c r="E4" s="451">
        <f>huishoudens!E8</f>
        <v>82259.39098914717</v>
      </c>
      <c r="F4" s="451">
        <f>huishoudens!F8</f>
        <v>35493.601355400773</v>
      </c>
      <c r="G4" s="451">
        <f>huishoudens!G8</f>
        <v>0</v>
      </c>
      <c r="H4" s="451">
        <f>huishoudens!H8</f>
        <v>0</v>
      </c>
      <c r="I4" s="451">
        <f>huishoudens!I8</f>
        <v>0</v>
      </c>
      <c r="J4" s="451">
        <f>huishoudens!J8</f>
        <v>1636.037142973616</v>
      </c>
      <c r="K4" s="451">
        <f>huishoudens!K8</f>
        <v>0</v>
      </c>
      <c r="L4" s="451">
        <f>huishoudens!L8</f>
        <v>0</v>
      </c>
      <c r="M4" s="451">
        <f>huishoudens!M8</f>
        <v>0</v>
      </c>
      <c r="N4" s="451">
        <f>huishoudens!N8</f>
        <v>47012.895110596051</v>
      </c>
      <c r="O4" s="451">
        <f>huishoudens!O8</f>
        <v>673.79666666666674</v>
      </c>
      <c r="P4" s="452">
        <f>huishoudens!P8</f>
        <v>2154.5333333333333</v>
      </c>
      <c r="Q4" s="453">
        <f>SUM(B4:P4)</f>
        <v>646694.39255903452</v>
      </c>
    </row>
    <row r="5" spans="1:17">
      <c r="A5" s="450" t="s">
        <v>155</v>
      </c>
      <c r="B5" s="451">
        <f ca="1">tertiair!B16</f>
        <v>125716.5562392</v>
      </c>
      <c r="C5" s="451">
        <f ca="1">tertiair!C16</f>
        <v>1023.75</v>
      </c>
      <c r="D5" s="451">
        <f ca="1">tertiair!D16</f>
        <v>163827.30664093021</v>
      </c>
      <c r="E5" s="451">
        <f>tertiair!E16</f>
        <v>2319.4685009210993</v>
      </c>
      <c r="F5" s="451">
        <f ca="1">tertiair!F16</f>
        <v>30921.283347869987</v>
      </c>
      <c r="G5" s="451">
        <f>tertiair!G16</f>
        <v>0</v>
      </c>
      <c r="H5" s="451">
        <f>tertiair!H16</f>
        <v>0</v>
      </c>
      <c r="I5" s="451">
        <f>tertiair!I16</f>
        <v>0</v>
      </c>
      <c r="J5" s="451">
        <f>tertiair!J16</f>
        <v>0</v>
      </c>
      <c r="K5" s="451">
        <f>tertiair!K16</f>
        <v>0</v>
      </c>
      <c r="L5" s="451">
        <f ca="1">tertiair!L16</f>
        <v>0</v>
      </c>
      <c r="M5" s="451">
        <f>tertiair!M16</f>
        <v>0</v>
      </c>
      <c r="N5" s="451">
        <f ca="1">tertiair!N16</f>
        <v>10346.967019276339</v>
      </c>
      <c r="O5" s="451">
        <f>tertiair!O16</f>
        <v>10.943333333333335</v>
      </c>
      <c r="P5" s="452">
        <f>tertiair!P16</f>
        <v>133.46666666666667</v>
      </c>
      <c r="Q5" s="450">
        <f t="shared" ref="Q5:Q14" ca="1" si="0">SUM(B5:P5)</f>
        <v>334299.74174819764</v>
      </c>
    </row>
    <row r="6" spans="1:17">
      <c r="A6" s="450" t="s">
        <v>193</v>
      </c>
      <c r="B6" s="451">
        <f>'openbare verlichting'!B8</f>
        <v>4239.7610000000004</v>
      </c>
      <c r="C6" s="451"/>
      <c r="D6" s="451"/>
      <c r="E6" s="451"/>
      <c r="F6" s="451"/>
      <c r="G6" s="451"/>
      <c r="H6" s="451"/>
      <c r="I6" s="451"/>
      <c r="J6" s="451"/>
      <c r="K6" s="451"/>
      <c r="L6" s="451"/>
      <c r="M6" s="451"/>
      <c r="N6" s="451"/>
      <c r="O6" s="451"/>
      <c r="P6" s="452"/>
      <c r="Q6" s="450">
        <f t="shared" si="0"/>
        <v>4239.7610000000004</v>
      </c>
    </row>
    <row r="7" spans="1:17">
      <c r="A7" s="450" t="s">
        <v>111</v>
      </c>
      <c r="B7" s="451">
        <f>landbouw!B8</f>
        <v>1750.85391458</v>
      </c>
      <c r="C7" s="451">
        <f>landbouw!C8</f>
        <v>0</v>
      </c>
      <c r="D7" s="451">
        <f>landbouw!D8</f>
        <v>974.39511867544013</v>
      </c>
      <c r="E7" s="451">
        <f>landbouw!E8</f>
        <v>45.147799955206636</v>
      </c>
      <c r="F7" s="451">
        <f>landbouw!F8</f>
        <v>6399.7044917206649</v>
      </c>
      <c r="G7" s="451">
        <f>landbouw!G8</f>
        <v>0</v>
      </c>
      <c r="H7" s="451">
        <f>landbouw!H8</f>
        <v>0</v>
      </c>
      <c r="I7" s="451">
        <f>landbouw!I8</f>
        <v>0</v>
      </c>
      <c r="J7" s="451">
        <f>landbouw!J8</f>
        <v>252.0585556369775</v>
      </c>
      <c r="K7" s="451">
        <f>landbouw!K8</f>
        <v>0</v>
      </c>
      <c r="L7" s="451">
        <f>landbouw!L8</f>
        <v>0</v>
      </c>
      <c r="M7" s="451">
        <f>landbouw!M8</f>
        <v>0</v>
      </c>
      <c r="N7" s="451">
        <f>landbouw!N8</f>
        <v>0</v>
      </c>
      <c r="O7" s="451">
        <f>landbouw!O8</f>
        <v>0</v>
      </c>
      <c r="P7" s="452">
        <f>landbouw!P8</f>
        <v>0</v>
      </c>
      <c r="Q7" s="450">
        <f t="shared" si="0"/>
        <v>9422.1598805682879</v>
      </c>
    </row>
    <row r="8" spans="1:17">
      <c r="A8" s="450" t="s">
        <v>637</v>
      </c>
      <c r="B8" s="451">
        <f>industrie!B18</f>
        <v>93105.025649858988</v>
      </c>
      <c r="C8" s="451">
        <f>industrie!C18</f>
        <v>0</v>
      </c>
      <c r="D8" s="451">
        <f>industrie!D18</f>
        <v>121889.33863390997</v>
      </c>
      <c r="E8" s="451">
        <f>industrie!E18</f>
        <v>8827.2711213785988</v>
      </c>
      <c r="F8" s="451">
        <f>industrie!F18</f>
        <v>36057.626397068525</v>
      </c>
      <c r="G8" s="451">
        <f>industrie!G18</f>
        <v>0</v>
      </c>
      <c r="H8" s="451">
        <f>industrie!H18</f>
        <v>0</v>
      </c>
      <c r="I8" s="451">
        <f>industrie!I18</f>
        <v>0</v>
      </c>
      <c r="J8" s="451">
        <f>industrie!J18</f>
        <v>431.74818863517976</v>
      </c>
      <c r="K8" s="451">
        <f>industrie!K18</f>
        <v>0</v>
      </c>
      <c r="L8" s="451">
        <f>industrie!L18</f>
        <v>0</v>
      </c>
      <c r="M8" s="451">
        <f>industrie!M18</f>
        <v>0</v>
      </c>
      <c r="N8" s="451">
        <f>industrie!N18</f>
        <v>8657.6880114817068</v>
      </c>
      <c r="O8" s="451">
        <f>industrie!O18</f>
        <v>0</v>
      </c>
      <c r="P8" s="452">
        <f>industrie!P18</f>
        <v>0</v>
      </c>
      <c r="Q8" s="450">
        <f t="shared" si="0"/>
        <v>268968.698002333</v>
      </c>
    </row>
    <row r="9" spans="1:17" s="456" customFormat="1">
      <c r="A9" s="454" t="s">
        <v>563</v>
      </c>
      <c r="B9" s="455">
        <f>transport!B14</f>
        <v>131.82112494765354</v>
      </c>
      <c r="C9" s="455">
        <f>transport!C14</f>
        <v>0</v>
      </c>
      <c r="D9" s="455">
        <f>transport!D14</f>
        <v>276.7536890899375</v>
      </c>
      <c r="E9" s="455">
        <f>transport!E14</f>
        <v>1345.108773538137</v>
      </c>
      <c r="F9" s="455">
        <f>transport!F14</f>
        <v>0</v>
      </c>
      <c r="G9" s="455">
        <f>transport!G14</f>
        <v>530884.87910569797</v>
      </c>
      <c r="H9" s="455">
        <f>transport!H14</f>
        <v>95745.321222849539</v>
      </c>
      <c r="I9" s="455">
        <f>transport!I14</f>
        <v>0</v>
      </c>
      <c r="J9" s="455">
        <f>transport!J14</f>
        <v>0</v>
      </c>
      <c r="K9" s="455">
        <f>transport!K14</f>
        <v>0</v>
      </c>
      <c r="L9" s="455">
        <f>transport!L14</f>
        <v>0</v>
      </c>
      <c r="M9" s="455">
        <f>transport!M14</f>
        <v>19571.077962315667</v>
      </c>
      <c r="N9" s="455">
        <f>transport!N14</f>
        <v>0</v>
      </c>
      <c r="O9" s="455">
        <f>transport!O14</f>
        <v>0</v>
      </c>
      <c r="P9" s="455">
        <f>transport!P14</f>
        <v>0</v>
      </c>
      <c r="Q9" s="454">
        <f>SUM(B9:P9)</f>
        <v>647954.96187843883</v>
      </c>
    </row>
    <row r="10" spans="1:17">
      <c r="A10" s="450" t="s">
        <v>553</v>
      </c>
      <c r="B10" s="451">
        <f>transport!B54</f>
        <v>0</v>
      </c>
      <c r="C10" s="451">
        <f>transport!C54</f>
        <v>0</v>
      </c>
      <c r="D10" s="451">
        <f>transport!D54</f>
        <v>0</v>
      </c>
      <c r="E10" s="451">
        <f>transport!E54</f>
        <v>0</v>
      </c>
      <c r="F10" s="451">
        <f>transport!F54</f>
        <v>0</v>
      </c>
      <c r="G10" s="451">
        <f>transport!G54</f>
        <v>10906.680928694625</v>
      </c>
      <c r="H10" s="451">
        <f>transport!H54</f>
        <v>0</v>
      </c>
      <c r="I10" s="451">
        <f>transport!I54</f>
        <v>0</v>
      </c>
      <c r="J10" s="451">
        <f>transport!J54</f>
        <v>0</v>
      </c>
      <c r="K10" s="451">
        <f>transport!K54</f>
        <v>0</v>
      </c>
      <c r="L10" s="451">
        <f>transport!L54</f>
        <v>0</v>
      </c>
      <c r="M10" s="451">
        <f>transport!M54</f>
        <v>337.87378243761668</v>
      </c>
      <c r="N10" s="451">
        <f>transport!N54</f>
        <v>0</v>
      </c>
      <c r="O10" s="451">
        <f>transport!O54</f>
        <v>0</v>
      </c>
      <c r="P10" s="452">
        <f>transport!P54</f>
        <v>0</v>
      </c>
      <c r="Q10" s="450">
        <f t="shared" si="0"/>
        <v>11244.554711132241</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6215.0357094999999</v>
      </c>
      <c r="C14" s="458"/>
      <c r="D14" s="458">
        <f>'SEAP template'!E25</f>
        <v>19996.482581</v>
      </c>
      <c r="E14" s="458"/>
      <c r="F14" s="458"/>
      <c r="G14" s="458"/>
      <c r="H14" s="458"/>
      <c r="I14" s="458"/>
      <c r="J14" s="458"/>
      <c r="K14" s="458"/>
      <c r="L14" s="458"/>
      <c r="M14" s="458"/>
      <c r="N14" s="458"/>
      <c r="O14" s="458"/>
      <c r="P14" s="459"/>
      <c r="Q14" s="450">
        <f t="shared" si="0"/>
        <v>26211.5182905</v>
      </c>
    </row>
    <row r="15" spans="1:17" s="460" customFormat="1">
      <c r="A15" s="1004" t="s">
        <v>557</v>
      </c>
      <c r="B15" s="944">
        <f ca="1">SUM(B4:B14)</f>
        <v>374713.25825185596</v>
      </c>
      <c r="C15" s="944">
        <f t="shared" ref="C15:Q15" ca="1" si="1">SUM(C4:C14)</f>
        <v>1023.75</v>
      </c>
      <c r="D15" s="944">
        <f t="shared" ca="1" si="1"/>
        <v>640874.21001075301</v>
      </c>
      <c r="E15" s="944">
        <f t="shared" si="1"/>
        <v>94796.387184940191</v>
      </c>
      <c r="F15" s="944">
        <f t="shared" ca="1" si="1"/>
        <v>108872.21559205995</v>
      </c>
      <c r="G15" s="944">
        <f t="shared" si="1"/>
        <v>541791.56003439263</v>
      </c>
      <c r="H15" s="944">
        <f t="shared" si="1"/>
        <v>95745.321222849539</v>
      </c>
      <c r="I15" s="944">
        <f t="shared" si="1"/>
        <v>0</v>
      </c>
      <c r="J15" s="944">
        <f t="shared" si="1"/>
        <v>2319.8438872457732</v>
      </c>
      <c r="K15" s="944">
        <f t="shared" si="1"/>
        <v>0</v>
      </c>
      <c r="L15" s="944">
        <f t="shared" ca="1" si="1"/>
        <v>0</v>
      </c>
      <c r="M15" s="944">
        <f t="shared" si="1"/>
        <v>19908.951744753285</v>
      </c>
      <c r="N15" s="944">
        <f t="shared" ca="1" si="1"/>
        <v>66017.550141354091</v>
      </c>
      <c r="O15" s="944">
        <f t="shared" si="1"/>
        <v>684.74000000000012</v>
      </c>
      <c r="P15" s="944">
        <f t="shared" si="1"/>
        <v>2288</v>
      </c>
      <c r="Q15" s="944">
        <f t="shared" ca="1" si="1"/>
        <v>1949035.7880702044</v>
      </c>
    </row>
    <row r="17" spans="1:17">
      <c r="A17" s="461" t="s">
        <v>558</v>
      </c>
      <c r="B17" s="760">
        <f ca="1">huishoudens!B10</f>
        <v>0.20785772668275981</v>
      </c>
      <c r="C17" s="760">
        <f ca="1">huishoudens!C10</f>
        <v>0.23764705882352943</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29838.850626769839</v>
      </c>
      <c r="C22" s="451">
        <f t="shared" ref="C22:C32" ca="1" si="3">C4*$C$17</f>
        <v>0</v>
      </c>
      <c r="D22" s="451">
        <f t="shared" ref="D22:D32" si="4">D4*$D$17</f>
        <v>67449.806536123826</v>
      </c>
      <c r="E22" s="451">
        <f t="shared" ref="E22:E32" si="5">E4*$E$17</f>
        <v>18672.881754536407</v>
      </c>
      <c r="F22" s="451">
        <f t="shared" ref="F22:F32" si="6">F4*$F$17</f>
        <v>9476.7915618920069</v>
      </c>
      <c r="G22" s="451">
        <f t="shared" ref="G22:G32" si="7">G4*$G$17</f>
        <v>0</v>
      </c>
      <c r="H22" s="451">
        <f t="shared" ref="H22:H32" si="8">H4*$H$17</f>
        <v>0</v>
      </c>
      <c r="I22" s="451">
        <f t="shared" ref="I22:I32" si="9">I4*$I$17</f>
        <v>0</v>
      </c>
      <c r="J22" s="451">
        <f t="shared" ref="J22:J32" si="10">J4*$J$17</f>
        <v>579.15714861266008</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126017.48762793474</v>
      </c>
    </row>
    <row r="23" spans="1:17">
      <c r="A23" s="450" t="s">
        <v>155</v>
      </c>
      <c r="B23" s="451">
        <f t="shared" ca="1" si="2"/>
        <v>26131.157586265435</v>
      </c>
      <c r="C23" s="451">
        <f t="shared" ca="1" si="3"/>
        <v>243.29117647058825</v>
      </c>
      <c r="D23" s="451">
        <f t="shared" ca="1" si="4"/>
        <v>33093.115941467906</v>
      </c>
      <c r="E23" s="451">
        <f t="shared" si="5"/>
        <v>526.51934970908962</v>
      </c>
      <c r="F23" s="451">
        <f t="shared" ca="1" si="6"/>
        <v>8255.9826538812868</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68250.066707794307</v>
      </c>
    </row>
    <row r="24" spans="1:17">
      <c r="A24" s="450" t="s">
        <v>193</v>
      </c>
      <c r="B24" s="451">
        <f t="shared" ca="1" si="2"/>
        <v>881.26708313822451</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881.26708313822451</v>
      </c>
    </row>
    <row r="25" spans="1:17">
      <c r="A25" s="450" t="s">
        <v>111</v>
      </c>
      <c r="B25" s="451">
        <f t="shared" ca="1" si="2"/>
        <v>363.92851443820973</v>
      </c>
      <c r="C25" s="451">
        <f t="shared" ca="1" si="3"/>
        <v>0</v>
      </c>
      <c r="D25" s="451">
        <f t="shared" si="4"/>
        <v>196.82781397243892</v>
      </c>
      <c r="E25" s="451">
        <f t="shared" si="5"/>
        <v>10.248550589831908</v>
      </c>
      <c r="F25" s="451">
        <f t="shared" si="6"/>
        <v>1708.7210992894177</v>
      </c>
      <c r="G25" s="451">
        <f t="shared" si="7"/>
        <v>0</v>
      </c>
      <c r="H25" s="451">
        <f t="shared" si="8"/>
        <v>0</v>
      </c>
      <c r="I25" s="451">
        <f t="shared" si="9"/>
        <v>0</v>
      </c>
      <c r="J25" s="451">
        <f t="shared" si="10"/>
        <v>89.228728695490034</v>
      </c>
      <c r="K25" s="451">
        <f t="shared" si="11"/>
        <v>0</v>
      </c>
      <c r="L25" s="451">
        <f t="shared" si="12"/>
        <v>0</v>
      </c>
      <c r="M25" s="451">
        <f t="shared" si="13"/>
        <v>0</v>
      </c>
      <c r="N25" s="451">
        <f t="shared" si="14"/>
        <v>0</v>
      </c>
      <c r="O25" s="451">
        <f t="shared" si="15"/>
        <v>0</v>
      </c>
      <c r="P25" s="452">
        <f t="shared" si="16"/>
        <v>0</v>
      </c>
      <c r="Q25" s="450">
        <f t="shared" ca="1" si="17"/>
        <v>2368.9547069853884</v>
      </c>
    </row>
    <row r="26" spans="1:17">
      <c r="A26" s="450" t="s">
        <v>637</v>
      </c>
      <c r="B26" s="451">
        <f t="shared" ca="1" si="2"/>
        <v>19352.598974319731</v>
      </c>
      <c r="C26" s="451">
        <f t="shared" ca="1" si="3"/>
        <v>0</v>
      </c>
      <c r="D26" s="451">
        <f t="shared" si="4"/>
        <v>24621.646404049814</v>
      </c>
      <c r="E26" s="451">
        <f t="shared" si="5"/>
        <v>2003.790544552942</v>
      </c>
      <c r="F26" s="451">
        <f t="shared" si="6"/>
        <v>9627.3862480172975</v>
      </c>
      <c r="G26" s="451">
        <f t="shared" si="7"/>
        <v>0</v>
      </c>
      <c r="H26" s="451">
        <f t="shared" si="8"/>
        <v>0</v>
      </c>
      <c r="I26" s="451">
        <f t="shared" si="9"/>
        <v>0</v>
      </c>
      <c r="J26" s="451">
        <f t="shared" si="10"/>
        <v>152.83885877685361</v>
      </c>
      <c r="K26" s="451">
        <f t="shared" si="11"/>
        <v>0</v>
      </c>
      <c r="L26" s="451">
        <f t="shared" si="12"/>
        <v>0</v>
      </c>
      <c r="M26" s="451">
        <f t="shared" si="13"/>
        <v>0</v>
      </c>
      <c r="N26" s="451">
        <f t="shared" si="14"/>
        <v>0</v>
      </c>
      <c r="O26" s="451">
        <f t="shared" si="15"/>
        <v>0</v>
      </c>
      <c r="P26" s="452">
        <f t="shared" si="16"/>
        <v>0</v>
      </c>
      <c r="Q26" s="450">
        <f t="shared" ca="1" si="17"/>
        <v>55758.261029716639</v>
      </c>
    </row>
    <row r="27" spans="1:17" s="456" customFormat="1">
      <c r="A27" s="454" t="s">
        <v>563</v>
      </c>
      <c r="B27" s="754">
        <f t="shared" ca="1" si="2"/>
        <v>27.4000393603833</v>
      </c>
      <c r="C27" s="455">
        <f t="shared" ca="1" si="3"/>
        <v>0</v>
      </c>
      <c r="D27" s="455">
        <f t="shared" si="4"/>
        <v>55.904245196167381</v>
      </c>
      <c r="E27" s="455">
        <f t="shared" si="5"/>
        <v>305.33969159315711</v>
      </c>
      <c r="F27" s="455">
        <f t="shared" si="6"/>
        <v>0</v>
      </c>
      <c r="G27" s="455">
        <f t="shared" si="7"/>
        <v>141746.26272122137</v>
      </c>
      <c r="H27" s="455">
        <f t="shared" si="8"/>
        <v>23840.584984489535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165975.49168186061</v>
      </c>
    </row>
    <row r="28" spans="1:17">
      <c r="A28" s="450" t="s">
        <v>553</v>
      </c>
      <c r="B28" s="451">
        <f t="shared" ca="1" si="2"/>
        <v>0</v>
      </c>
      <c r="C28" s="451">
        <f t="shared" ca="1" si="3"/>
        <v>0</v>
      </c>
      <c r="D28" s="451">
        <f t="shared" si="4"/>
        <v>0</v>
      </c>
      <c r="E28" s="451">
        <f t="shared" si="5"/>
        <v>0</v>
      </c>
      <c r="F28" s="451">
        <f t="shared" si="6"/>
        <v>0</v>
      </c>
      <c r="G28" s="451">
        <f t="shared" si="7"/>
        <v>2912.083807961465</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2912.083807961465</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1291.8431938288431</v>
      </c>
      <c r="C32" s="451">
        <f t="shared" ca="1" si="3"/>
        <v>0</v>
      </c>
      <c r="D32" s="451">
        <f t="shared" si="4"/>
        <v>4039.2894813620005</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5331.1326751908437</v>
      </c>
    </row>
    <row r="33" spans="1:17" s="460" customFormat="1">
      <c r="A33" s="1004" t="s">
        <v>557</v>
      </c>
      <c r="B33" s="944">
        <f ca="1">SUM(B22:B32)</f>
        <v>77887.046018120658</v>
      </c>
      <c r="C33" s="944">
        <f t="shared" ref="C33:Q33" ca="1" si="18">SUM(C22:C32)</f>
        <v>243.29117647058825</v>
      </c>
      <c r="D33" s="944">
        <f t="shared" ca="1" si="18"/>
        <v>129456.59042217216</v>
      </c>
      <c r="E33" s="944">
        <f t="shared" si="18"/>
        <v>21518.77989098143</v>
      </c>
      <c r="F33" s="944">
        <f t="shared" ca="1" si="18"/>
        <v>29068.881563080009</v>
      </c>
      <c r="G33" s="944">
        <f t="shared" si="18"/>
        <v>144658.34652918283</v>
      </c>
      <c r="H33" s="944">
        <f t="shared" si="18"/>
        <v>23840.584984489535</v>
      </c>
      <c r="I33" s="944">
        <f t="shared" si="18"/>
        <v>0</v>
      </c>
      <c r="J33" s="944">
        <f t="shared" si="18"/>
        <v>821.22473608500377</v>
      </c>
      <c r="K33" s="944">
        <f t="shared" si="18"/>
        <v>0</v>
      </c>
      <c r="L33" s="944">
        <f t="shared" ca="1" si="18"/>
        <v>0</v>
      </c>
      <c r="M33" s="944">
        <f t="shared" si="18"/>
        <v>0</v>
      </c>
      <c r="N33" s="944">
        <f t="shared" ca="1" si="18"/>
        <v>0</v>
      </c>
      <c r="O33" s="944">
        <f t="shared" si="18"/>
        <v>0</v>
      </c>
      <c r="P33" s="944">
        <f t="shared" si="18"/>
        <v>0</v>
      </c>
      <c r="Q33" s="944">
        <f t="shared" ca="1" si="18"/>
        <v>427494.7453205823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22337.166308004114</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716.625</v>
      </c>
      <c r="D8" s="1021">
        <f>'SEAP template'!D76</f>
        <v>843.08823529411768</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170.30382352941177</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22337.166308004114</v>
      </c>
      <c r="C10" s="1025">
        <f>SUM(C4:C9)</f>
        <v>716.625</v>
      </c>
      <c r="D10" s="1025">
        <f t="shared" ref="D10:H10" si="0">SUM(D8:D9)</f>
        <v>843.08823529411768</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170.30382352941177</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0.20785772668275981</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1023.75</v>
      </c>
      <c r="D17" s="1022">
        <f>'SEAP template'!D87</f>
        <v>1204.4117647058824</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243.29117647058825</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1023.75</v>
      </c>
      <c r="D20" s="1025">
        <f t="shared" ref="D20:H20" si="2">SUM(D17:D19)</f>
        <v>1204.4117647058824</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243.29117647058825</v>
      </c>
    </row>
    <row r="22" spans="1:16">
      <c r="A22" s="461" t="s">
        <v>857</v>
      </c>
      <c r="B22" s="760" t="s">
        <v>851</v>
      </c>
      <c r="C22" s="760">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0.20785772668275981</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1.5633333333333335</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2020-06-20T15:56:56Z</dcterms:modified>
</cp:coreProperties>
</file>