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87" i="14" s="1"/>
  <c r="D17" i="59" s="1"/>
  <c r="D20" i="59" s="1"/>
  <c r="D48" i="18"/>
  <c r="B48" i="18"/>
  <c r="C8" i="18" s="1"/>
  <c r="D76" i="14" s="1"/>
  <c r="D8" i="59" s="1"/>
  <c r="D10" i="59" s="1"/>
  <c r="G49" i="18"/>
  <c r="I17" i="18" s="1"/>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J8" i="18"/>
  <c r="F87" i="14"/>
  <c r="E20" i="18"/>
  <c r="E10"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Q11" i="14"/>
  <c r="P4" i="48"/>
  <c r="P22" i="48" s="1"/>
  <c r="J15" i="16"/>
  <c r="B7" i="48"/>
  <c r="C24" i="14"/>
  <c r="C26" i="14" s="1"/>
  <c r="B4" i="48"/>
  <c r="C11" i="14"/>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N52" i="14"/>
  <c r="N61" i="14" s="1"/>
  <c r="N63" i="14" s="1"/>
  <c r="K10" i="14"/>
  <c r="J5" i="48"/>
  <c r="J23" i="48"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3" i="14" l="1"/>
  <c r="F16" i="14" s="1"/>
  <c r="F27" i="14" s="1"/>
  <c r="F63" i="14" s="1"/>
  <c r="E8" i="48"/>
  <c r="E26" i="48" s="1"/>
  <c r="E23" i="48"/>
  <c r="E33" i="48" s="1"/>
  <c r="E15" i="48"/>
  <c r="J22" i="16"/>
  <c r="K43" i="14" s="1"/>
  <c r="K46" i="14" s="1"/>
  <c r="K61" i="14" s="1"/>
  <c r="J8" i="48"/>
  <c r="K13" i="14"/>
  <c r="K16" i="14" s="1"/>
  <c r="K27"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<sst xmlns="http://schemas.openxmlformats.org/spreadsheetml/2006/main" count="2416" uniqueCount="903">
  <si>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</si>
  <si>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</si>
  <si>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</si>
  <si>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</si>
  <si>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</si>
  <si>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</si>
  <si>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</si>
  <si>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</si>
  <si>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</si>
  <si>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</si>
  <si>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</si>
  <si>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</si>
  <si>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</si>
  <si>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</si>
  <si>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</si>
  <si>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</si>
  <si>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</si>
  <si>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</si>
  <si>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</si>
  <si>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</si>
  <si>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</si>
  <si>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</si>
  <si>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</si>
  <si>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</si>
  <si>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</si>
  <si>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</si>
  <si>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</si>
  <si>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</si>
  <si>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</si>
  <si>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</si>
  <si>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</si>
  <si>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</si>
  <si>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</si>
  <si>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</si>
  <si>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</si>
  <si>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</si>
  <si>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</si>
  <si>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</si>
  <si>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</si>
  <si>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</si>
  <si>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</si>
  <si>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</si>
  <si>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</si>
  <si>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</si>
  <si>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</si>
  <si>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</si>
  <si>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</si>
  <si>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</si>
  <si>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</si>
  <si>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</si>
  <si>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</si>
  <si>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</si>
  <si>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</si>
  <si>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</si>
  <si>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</si>
  <si>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</si>
  <si>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</si>
  <si>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</si>
  <si>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</si>
  <si>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</si>
  <si>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</si>
  <si>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</si>
  <si>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</si>
  <si>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</si>
  <si>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</si>
  <si>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</si>
  <si>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</si>
  <si>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</si>
  <si>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</si>
  <si>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</si>
  <si>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</si>
  <si>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</si>
  <si>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</si>
  <si>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</si>
  <si>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</si>
  <si>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</si>
  <si>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</si>
  <si>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</si>
  <si>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</si>
  <si>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</si>
  <si>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</si>
  <si>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</si>
  <si>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</si>
  <si>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</si>
  <si>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</si>
  <si>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</si>
  <si>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</si>
  <si>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</si>
  <si>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</si>
  <si>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</si>
  <si>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</si>
  <si>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</si>
  <si>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</si>
  <si>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</si>
  <si>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</si>
  <si>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</si>
  <si>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</si>
  <si>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</si>
  <si>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</si>
  <si>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</si>
  <si>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</si>
  <si>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</si>
  <si>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</si>
  <si>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</si>
  <si>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</si>
  <si>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</si>
  <si>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</si>
  <si>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</si>
  <si>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</si>
  <si>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</si>
  <si>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</si>
  <si>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</si>
  <si>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</si>
  <si>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</si>
  <si>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</si>
  <si>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</si>
  <si>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</si>
  <si>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</si>
  <si>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</si>
  <si>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</si>
  <si>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</si>
  <si>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</si>
  <si>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</si>
  <si>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</si>
  <si>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</si>
  <si>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</si>
  <si>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</si>
  <si>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</si>
  <si>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</si>
  <si>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</si>
  <si>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</si>
  <si>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</si>
  <si>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</si>
  <si>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</si>
  <si>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</si>
  <si>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</si>
  <si>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</si>
  <si>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</si>
  <si>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</si>
  <si>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</si>
  <si>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</si>
  <si>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</si>
  <si>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</si>
  <si>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</si>
  <si>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</si>
  <si>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</si>
  <si>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</si>
  <si>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</si>
  <si>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</si>
  <si>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</si>
  <si>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</si>
  <si>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</si>
  <si>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</si>
  <si>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</si>
  <si>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</si>
  <si>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</si>
  <si>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</si>
  <si>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</si>
  <si>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</si>
  <si>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</si>
  <si>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</si>
  <si>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</si>
  <si>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</si>
  <si>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</si>
  <si>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</si>
  <si>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</si>
  <si>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</si>
  <si>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</si>
  <si>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</si>
  <si>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</si>
  <si>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</si>
  <si>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</si>
  <si>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</si>
  <si>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</si>
  <si>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</si>
  <si>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</si>
  <si>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</si>
  <si>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</si>
  <si>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</si>
  <si>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</si>
  <si>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</si>
  <si>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</si>
  <si>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</si>
  <si>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</si>
  <si>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</si>
  <si>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</si>
  <si>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</si>
  <si>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</si>
  <si>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</si>
  <si>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</si>
  <si>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</si>
  <si>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</si>
  <si>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</si>
  <si>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</si>
  <si>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</si>
  <si>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</si>
  <si>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</si>
  <si>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</si>
  <si>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</si>
  <si>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</si>
  <si>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</si>
  <si>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</si>
  <si>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</si>
  <si>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</si>
  <si>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</si>
  <si>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</si>
  <si>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</si>
  <si>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</si>
  <si>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</si>
  <si>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</si>
  <si>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</si>
  <si>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</si>
  <si>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</si>
  <si>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</si>
  <si>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</si>
  <si>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</si>
  <si>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</si>
  <si>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</si>
  <si>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</si>
  <si>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</si>
  <si>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</si>
  <si>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</si>
  <si>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</si>
  <si>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</si>
  <si>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</si>
  <si>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</si>
  <si>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</si>
  <si>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</si>
  <si>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</si>
  <si>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</si>
  <si>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</si>
  <si>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</si>
  <si>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</si>
  <si>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</si>
  <si>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</si>
  <si>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</si>
  <si>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</si>
  <si>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</si>
  <si>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</si>
  <si>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</si>
  <si>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</si>
  <si>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</si>
  <si>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</si>
  <si>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</si>
  <si>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</si>
  <si>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</si>
  <si>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</si>
  <si>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</si>
  <si>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</si>
  <si>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</si>
  <si>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</si>
  <si>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</si>
  <si>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</si>
  <si>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</si>
  <si>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</si>
  <si>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</si>
  <si>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</si>
  <si>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</si>
  <si>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</si>
  <si>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</si>
  <si>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</si>
  <si>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</si>
  <si>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</si>
  <si>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</si>
  <si>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</si>
  <si>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</si>
  <si>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</si>
  <si>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</si>
  <si>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</si>
  <si>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</si>
  <si>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</si>
  <si>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</si>
  <si>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</si>
  <si>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</si>
  <si>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</si>
  <si>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</si>
  <si>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</si>
  <si>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</si>
  <si>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</si>
  <si>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</si>
  <si>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</si>
  <si>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</si>
  <si>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</si>
  <si>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</si>
  <si>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</si>
  <si>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</si>
  <si>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</si>
  <si>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</si>
  <si>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</si>
  <si>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</si>
  <si>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</si>
  <si>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</si>
  <si>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</si>
  <si>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</si>
  <si>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</si>
  <si>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</si>
  <si>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</si>
  <si>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</si>
  <si>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</si>
  <si>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</si>
  <si>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</si>
  <si>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</si>
  <si>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</si>
  <si>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</si>
  <si>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</si>
  <si>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</si>
  <si>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</si>
  <si>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</si>
  <si>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</si>
  <si>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</si>
  <si>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</si>
  <si>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</si>
  <si>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</si>
  <si>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</si>
  <si>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</si>
  <si>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</si>
  <si>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</si>
  <si>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</si>
  <si>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</si>
  <si>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</si>
  <si>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</si>
  <si>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</si>
  <si>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</si>
  <si>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</si>
  <si>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</si>
  <si>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</si>
  <si>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</si>
  <si>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</si>
  <si>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</si>
  <si>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</si>
  <si>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</si>
  <si>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</si>
  <si>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</si>
  <si>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</si>
  <si>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</si>
  <si>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</si>
  <si>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</si>
  <si>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</si>
  <si>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</si>
  <si>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</si>
  <si>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</si>
  <si>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</si>
  <si>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</si>
  <si>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</si>
  <si>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</si>
  <si>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</si>
  <si>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</si>
  <si>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</si>
  <si>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</si>
  <si>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</si>
  <si>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</si>
  <si>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</si>
  <si>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</si>
  <si>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</si>
  <si>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</si>
  <si>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</si>
  <si>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</si>
  <si>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</si>
  <si>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</si>
  <si>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</si>
  <si>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</si>
  <si>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</si>
  <si>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</si>
  <si>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</si>
  <si>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</si>
  <si>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</si>
  <si>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</si>
  <si>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</si>
  <si>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</si>
  <si>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</si>
  <si>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</si>
  <si>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</si>
  <si>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</si>
  <si>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</si>
  <si>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</si>
  <si>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</si>
  <si>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</si>
  <si>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</si>
  <si>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</si>
  <si>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</si>
  <si>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</si>
  <si>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</si>
  <si>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</si>
  <si>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</si>
  <si>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</si>
  <si>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</si>
  <si>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</si>
  <si>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</si>
  <si>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</si>
  <si>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</si>
  <si>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</si>
  <si>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</si>
  <si>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</si>
  <si>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</si>
  <si>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</si>
  <si>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</si>
  <si>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</si>
  <si>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</si>
  <si>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</si>
  <si>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</si>
  <si>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</si>
  <si>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</si>
  <si>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</si>
  <si>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</si>
  <si>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</si>
  <si>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</si>
  <si>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</si>
  <si>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</si>
  <si>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</si>
  <si>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</si>
  <si>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</si>
  <si>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</si>
  <si>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</si>
  <si>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</si>
  <si>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</si>
  <si>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</si>
  <si>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</si>
  <si>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</si>
  <si>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</si>
  <si>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</si>
  <si>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</si>
  <si>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</si>
  <si>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</si>
  <si>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</si>
  <si>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</si>
  <si>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</si>
  <si>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</si>
  <si>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</si>
  <si>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</si>
  <si>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</si>
  <si>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</si>
  <si>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</si>
  <si>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</si>
  <si>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</si>
  <si>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</si>
  <si>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</si>
  <si>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</si>
  <si>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</si>
  <si>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</si>
  <si>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</si>
  <si>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</si>
  <si>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</si>
  <si>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</si>
  <si>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</si>
  <si>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</si>
  <si>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</si>
  <si>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</si>
  <si>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</si>
  <si>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</si>
  <si>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</si>
  <si>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</si>
  <si>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</si>
  <si>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</si>
  <si>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</si>
  <si>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</si>
  <si>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</si>
  <si>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</si>
  <si>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</si>
  <si>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</si>
  <si>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</si>
  <si>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</si>
  <si>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</si>
  <si>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</si>
  <si>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</si>
  <si>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</si>
  <si>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</si>
  <si>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</si>
  <si>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</si>
  <si>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</si>
  <si>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</si>
  <si>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</si>
  <si>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</si>
  <si>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</si>
  <si>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</si>
  <si>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</si>
  <si>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</si>
  <si>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</si>
  <si>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</si>
  <si>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</si>
  <si>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</si>
  <si>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</si>
  <si>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</si>
  <si>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</si>
  <si>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</si>
  <si>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</si>
  <si>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</si>
  <si>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</si>
  <si>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</si>
  <si>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</si>
  <si>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</si>
  <si>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</si>
  <si>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</si>
  <si>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</si>
  <si>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</si>
  <si>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</si>
  <si>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</si>
  <si>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</si>
  <si>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</si>
  <si>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</si>
  <si>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</si>
  <si>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</si>
  <si>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</si>
  <si>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</si>
  <si>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</si>
  <si>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</si>
  <si>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</si>
  <si>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</si>
  <si>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</si>
  <si>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</si>
  <si>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</si>
  <si>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</si>
  <si>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</si>
  <si>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</si>
  <si>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</si>
  <si>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</si>
  <si>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</si>
  <si>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</si>
  <si>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</si>
  <si>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</si>
  <si>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</si>
  <si>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</si>
  <si>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</si>
  <si>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</si>
  <si>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</si>
  <si>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</si>
  <si>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</si>
  <si>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</si>
  <si>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</si>
  <si>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</si>
  <si>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</si>
  <si>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</si>
  <si>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</si>
  <si>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</si>
  <si>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</si>
  <si>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</si>
  <si>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</si>
  <si>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</si>
  <si>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</si>
  <si>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</si>
  <si>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</si>
  <si>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</si>
  <si>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</si>
  <si>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</si>
  <si>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</si>
  <si>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</si>
  <si>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</si>
  <si>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</si>
  <si>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</si>
  <si>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</si>
  <si>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</si>
  <si>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</si>
  <si>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</si>
  <si>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</si>
  <si>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</si>
  <si>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</si>
  <si>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</si>
  <si>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</si>
  <si>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</si>
  <si>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</si>
  <si>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</si>
  <si>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</si>
  <si>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</si>
  <si>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</si>
  <si>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</si>
  <si>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</si>
  <si>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</si>
  <si>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</si>
  <si>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</si>
  <si>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</si>
  <si>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</si>
  <si>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</si>
  <si>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</si>
  <si>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</si>
  <si>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</si>
  <si>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</si>
  <si>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</si>
  <si>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</si>
  <si>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</si>
  <si>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</si>
  <si>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</si>
  <si>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</si>
  <si>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</si>
  <si>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</si>
  <si>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</si>
  <si>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</si>
  <si>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</si>
  <si>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</si>
  <si>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</si>
  <si>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</si>
  <si>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</si>
  <si>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</si>
  <si>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</si>
  <si>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</si>
  <si>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</si>
  <si>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</si>
  <si>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</si>
  <si>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</si>
  <si>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</si>
  <si>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</si>
  <si>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</si>
  <si>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</si>
  <si>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</si>
  <si>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</si>
  <si>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</si>
  <si>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</si>
  <si>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</si>
  <si>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</si>
  <si>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</si>
  <si>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</si>
  <si>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</si>
  <si>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</si>
  <si>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</si>
  <si>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</si>
  <si>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</si>
  <si>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</si>
  <si>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</si>
  <si>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</si>
  <si>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</si>
  <si>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</si>
  <si>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</si>
  <si>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</si>
  <si>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</si>
  <si>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</si>
  <si>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</si>
  <si>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</si>
  <si>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</si>
  <si>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</si>
  <si>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</si>
  <si>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</si>
  <si>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</si>
  <si>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</si>
  <si>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</si>
  <si>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</si>
  <si>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</si>
  <si>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</si>
  <si>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</si>
  <si>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</si>
  <si>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</si>
  <si>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</si>
  <si>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</si>
  <si>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</si>
  <si>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</si>
  <si>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</si>
  <si>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</si>
  <si>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</si>
  <si>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</si>
  <si>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</si>
  <si>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</si>
  <si>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</si>
  <si>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</si>
  <si>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</si>
  <si>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</si>
  <si>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</si>
  <si>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</si>
  <si>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</si>
  <si>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</si>
  <si>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</si>
  <si>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</si>
  <si>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</si>
  <si>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</si>
  <si>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</si>
  <si>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</si>
  <si>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</si>
  <si>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</si>
  <si>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</si>
  <si>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</si>
  <si>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</si>
  <si>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</si>
  <si>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</si>
  <si>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</si>
  <si>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</si>
  <si>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</si>
  <si>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</si>
  <si>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</si>
  <si>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</si>
  <si>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</si>
  <si>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</si>
  <si>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</si>
  <si>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</si>
  <si>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</si>
  <si>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</si>
  <si>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</si>
  <si>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</si>
  <si>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</si>
  <si>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</si>
  <si>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</si>
  <si>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</si>
  <si>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</si>
  <si>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</si>
  <si>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</si>
  <si>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</si>
  <si>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</si>
  <si>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</si>
  <si>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</si>
  <si>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</si>
  <si>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</si>
  <si>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</si>
  <si>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</si>
  <si>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</si>
  <si>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</si>
  <si>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</si>
  <si>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</si>
  <si>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</si>
  <si>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</si>
  <si>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</si>
  <si>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</si>
  <si>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</si>
  <si>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</si>
  <si>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</si>
  <si>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</si>
  <si>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</si>
  <si>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</si>
  <si>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</si>
  <si>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</si>
  <si>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</si>
  <si>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</si>
  <si>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</si>
  <si>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</si>
  <si>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</si>
  <si>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</si>
  <si>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</si>
  <si>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</si>
  <si>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</si>
  <si>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</si>
  <si>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</si>
  <si>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</si>
  <si>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</si>
  <si>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</si>
  <si>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</si>
  <si>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</si>
  <si>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</si>
  <si>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</si>
  <si>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</si>
  <si>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</si>
  <si>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</si>
  <si>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</si>
  <si>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</si>
  <si>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</si>
  <si>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</si>
  <si>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</si>
  <si>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</si>
  <si>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</si>
  <si>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</si>
  <si>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</si>
  <si>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</si>
  <si>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</si>
  <si>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</si>
  <si>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</si>
  <si>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</si>
  <si>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</si>
  <si>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</si>
  <si>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</si>
  <si>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</si>
  <si>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</si>
  <si>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</si>
  <si>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</si>
  <si>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</si>
  <si>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</si>
  <si>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</si>
  <si>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</si>
  <si>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</si>
  <si>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</si>
  <si>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</si>
  <si>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</si>
  <si>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</si>
  <si>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</si>
  <si>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</si>
  <si>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</si>
  <si>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</si>
  <si>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</si>
  <si>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</si>
  <si>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</si>
  <si>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</si>
  <si>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</si>
  <si>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</si>
  <si>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</si>
  <si>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</si>
  <si>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</si>
  <si>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</si>
  <si>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</si>
  <si>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</si>
  <si>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</si>
  <si>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</si>
  <si>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</si>
  <si>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</si>
  <si>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</si>
  <si>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</si>
  <si>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</si>
  <si>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</si>
  <si>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</si>
  <si>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</si>
  <si>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</si>
  <si>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</si>
  <si>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</si>
  <si>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</si>
  <si>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</si>
  <si>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</si>
  <si>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</si>
  <si>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</si>
  <si>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</si>
  <si>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</si>
  <si>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</si>
  <si>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</si>
  <si>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</si>
  <si>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</si>
  <si>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</si>
  <si>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</si>
  <si>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</si>
  <si>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</si>
  <si>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</si>
  <si>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</si>
  <si>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</si>
  <si>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</si>
  <si>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</si>
  <si>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</si>
  <si>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</si>
  <si>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</si>
  <si>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</si>
  <si>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</si>
  <si>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</si>
  <si>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</si>
  <si>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</si>
  <si>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</si>
  <si>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</si>
  <si>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</si>
  <si>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</si>
  <si>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</si>
  <si>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</si>
  <si>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</si>
  <si>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</si>
  <si>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</si>
  <si>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</si>
  <si>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</si>
  <si>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</si>
  <si>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</si>
  <si>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</si>
  <si>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</si>
  <si>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</si>
  <si>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</si>
  <si>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</si>
  <si>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</si>
  <si>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</si>
  <si>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</si>
  <si>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</si>
  <si>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</si>
  <si>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</si>
  <si>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</si>
  <si>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</si>
  <si>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</si>
  <si>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</si>
  <si>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</si>
  <si>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</si>
  <si>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</si>
  <si>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</si>
  <si>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</si>
  <si>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</si>
  <si>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</si>
  <si>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</si>
  <si>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</si>
  <si>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</si>
  <si>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</si>
  <si>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</si>
  <si>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</si>
  <si>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</si>
  <si>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</si>
  <si>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</si>
  <si>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</si>
  <si>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</si>
  <si>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</si>
  <si>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</si>
  <si>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</si>
  <si>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</si>
  <si>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</si>
  <si>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</si>
  <si>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</si>
  <si>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</si>
  <si>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</si>
  <si>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</si>
  <si>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</si>
  <si>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</si>
  <si>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</si>
  <si>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</si>
  <si>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</si>
  <si>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</si>
  <si>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</si>
  <si>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</si>
  <si>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</si>
  <si>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</si>
  <si>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</si>
  <si>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</si>
  <si>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36008</t>
  </si>
  <si>
    <t>IZEGEM</t>
  </si>
  <si>
    <t>Paarden&amp;pony's 200 - 600 kg</t>
  </si>
  <si>
    <t>Paarden&amp;pony's &lt; 200 kg</t>
  </si>
  <si>
    <t>Fluvius</t>
  </si>
  <si>
    <t>referentietaak LNE (2017); Jaarverslag De Lijn</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</si>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</sst>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220448.56693441884</c:v>
                </c:pt>
                <c:pt idx="1">
                  <c:v>79337.136857149788</c:v>
                </c:pt>
                <c:pt idx="2">
                  <c:v>2209.2750000000001</c:v>
                </c:pt>
                <c:pt idx="3">
                  <c:v>14952.675531873869</c:v>
                </c:pt>
                <c:pt idx="4">
                  <c:v>175766.97367234869</c:v>
                </c:pt>
                <c:pt idx="5">
                  <c:v>151988.16098257198</c:v>
                </c:pt>
                <c:pt idx="6">
                  <c:v>670.11161431653602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220448.56693441884</c:v>
                </c:pt>
                <c:pt idx="1">
                  <c:v>79337.136857149788</c:v>
                </c:pt>
                <c:pt idx="2">
                  <c:v>2209.2750000000001</c:v>
                </c:pt>
                <c:pt idx="3">
                  <c:v>14952.675531873869</c:v>
                </c:pt>
                <c:pt idx="4">
                  <c:v>175766.97367234869</c:v>
                </c:pt>
                <c:pt idx="5">
                  <c:v>151988.16098257198</c:v>
                </c:pt>
                <c:pt idx="6">
                  <c:v>670.11161431653602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38134.194810980713</c:v>
                </c:pt>
                <c:pt idx="2">
                  <c:v>15388.822431482329</c:v>
                </c:pt>
                <c:pt idx="3">
                  <c:v>400.44450314591586</c:v>
                </c:pt>
                <c:pt idx="4">
                  <c:v>3687.3918080146564</c:v>
                </c:pt>
                <c:pt idx="5">
                  <c:v>32426.359904960482</c:v>
                </c:pt>
                <c:pt idx="6">
                  <c:v>38953.838419577092</c:v>
                </c:pt>
                <c:pt idx="7">
                  <c:v>173.5436601723475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38134.194810980713</c:v>
                </c:pt>
                <c:pt idx="2">
                  <c:v>15388.822431482329</c:v>
                </c:pt>
                <c:pt idx="3">
                  <c:v>400.44450314591586</c:v>
                </c:pt>
                <c:pt idx="4">
                  <c:v>3687.3918080146564</c:v>
                </c:pt>
                <c:pt idx="5">
                  <c:v>32426.359904960482</c:v>
                </c:pt>
                <c:pt idx="6">
                  <c:v>38953.838419577092</c:v>
                </c:pt>
                <c:pt idx="7">
                  <c:v>173.5436601723475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36008</v>
      </c>
      <c r="B6" s="390"/>
      <c r="C6" s="391"/>
    </row>
    <row r="7" spans="1:7" s="388" customFormat="1" ht="15.75" customHeight="1">
      <c r="A7" s="392" t="str">
        <f>txtMunicipality</f>
        <v>IZEGEM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0.18125606959111737</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0.18125606959111737</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11932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893.26</v>
      </c>
      <c r="C14" s="330"/>
      <c r="D14" s="330"/>
      <c r="E14" s="330"/>
      <c r="F14" s="330"/>
    </row>
    <row r="15" spans="1:6">
      <c r="A15" s="1291" t="s">
        <v>183</v>
      </c>
      <c r="B15" s="1292">
        <v>3</v>
      </c>
      <c r="C15" s="330"/>
      <c r="D15" s="330"/>
      <c r="E15" s="330"/>
      <c r="F15" s="330"/>
    </row>
    <row r="16" spans="1:6">
      <c r="A16" s="1291" t="s">
        <v>6</v>
      </c>
      <c r="B16" s="1292">
        <v>66</v>
      </c>
      <c r="C16" s="330"/>
      <c r="D16" s="330"/>
      <c r="E16" s="330"/>
      <c r="F16" s="330"/>
    </row>
    <row r="17" spans="1:6">
      <c r="A17" s="1291" t="s">
        <v>7</v>
      </c>
      <c r="B17" s="1292">
        <v>168</v>
      </c>
      <c r="C17" s="330"/>
      <c r="D17" s="330"/>
      <c r="E17" s="330"/>
      <c r="F17" s="330"/>
    </row>
    <row r="18" spans="1:6">
      <c r="A18" s="1291" t="s">
        <v>8</v>
      </c>
      <c r="B18" s="1292">
        <v>163</v>
      </c>
      <c r="C18" s="330"/>
      <c r="D18" s="330"/>
      <c r="E18" s="330"/>
      <c r="F18" s="330"/>
    </row>
    <row r="19" spans="1:6">
      <c r="A19" s="1291" t="s">
        <v>9</v>
      </c>
      <c r="B19" s="1292">
        <v>165</v>
      </c>
      <c r="C19" s="330"/>
      <c r="D19" s="330"/>
      <c r="E19" s="330"/>
      <c r="F19" s="330"/>
    </row>
    <row r="20" spans="1:6">
      <c r="A20" s="1291" t="s">
        <v>10</v>
      </c>
      <c r="B20" s="1292">
        <v>120</v>
      </c>
      <c r="C20" s="330"/>
      <c r="D20" s="330"/>
      <c r="E20" s="330"/>
      <c r="F20" s="330"/>
    </row>
    <row r="21" spans="1:6">
      <c r="A21" s="1291" t="s">
        <v>11</v>
      </c>
      <c r="B21" s="1292">
        <v>3151</v>
      </c>
      <c r="C21" s="330"/>
      <c r="D21" s="330"/>
      <c r="E21" s="330"/>
      <c r="F21" s="330"/>
    </row>
    <row r="22" spans="1:6">
      <c r="A22" s="1291" t="s">
        <v>12</v>
      </c>
      <c r="B22" s="1292">
        <v>16828</v>
      </c>
      <c r="C22" s="330"/>
      <c r="D22" s="330"/>
      <c r="E22" s="330"/>
      <c r="F22" s="330"/>
    </row>
    <row r="23" spans="1:6">
      <c r="A23" s="1291" t="s">
        <v>13</v>
      </c>
      <c r="B23" s="1292">
        <v>108</v>
      </c>
      <c r="C23" s="330"/>
      <c r="D23" s="330"/>
      <c r="E23" s="330"/>
      <c r="F23" s="330"/>
    </row>
    <row r="24" spans="1:6">
      <c r="A24" s="1291" t="s">
        <v>14</v>
      </c>
      <c r="B24" s="1292">
        <v>4</v>
      </c>
      <c r="C24" s="330"/>
      <c r="D24" s="330"/>
      <c r="E24" s="330"/>
      <c r="F24" s="330"/>
    </row>
    <row r="25" spans="1:6">
      <c r="A25" s="1291" t="s">
        <v>15</v>
      </c>
      <c r="B25" s="1292">
        <v>698</v>
      </c>
      <c r="C25" s="330"/>
      <c r="D25" s="330"/>
      <c r="E25" s="330"/>
      <c r="F25" s="330"/>
    </row>
    <row r="26" spans="1:6">
      <c r="A26" s="1291" t="s">
        <v>16</v>
      </c>
      <c r="B26" s="1292">
        <v>175</v>
      </c>
      <c r="C26" s="330"/>
      <c r="D26" s="330"/>
      <c r="E26" s="330"/>
      <c r="F26" s="330"/>
    </row>
    <row r="27" spans="1:6">
      <c r="A27" s="1291" t="s">
        <v>17</v>
      </c>
      <c r="B27" s="1292">
        <v>3</v>
      </c>
      <c r="C27" s="330"/>
      <c r="D27" s="330"/>
      <c r="E27" s="330"/>
      <c r="F27" s="330"/>
    </row>
    <row r="28" spans="1:6" s="43" customFormat="1">
      <c r="A28" s="1293" t="s">
        <v>18</v>
      </c>
      <c r="B28" s="1294">
        <v>72340</v>
      </c>
      <c r="C28" s="336"/>
      <c r="D28" s="336"/>
      <c r="E28" s="336"/>
      <c r="F28" s="336"/>
    </row>
    <row r="29" spans="1:6">
      <c r="A29" s="1293" t="s">
        <v>892</v>
      </c>
      <c r="B29" s="1294">
        <v>51</v>
      </c>
      <c r="C29" s="336"/>
      <c r="D29" s="336"/>
      <c r="E29" s="336"/>
      <c r="F29" s="336"/>
    </row>
    <row r="30" spans="1:6">
      <c r="A30" s="1286" t="s">
        <v>893</v>
      </c>
      <c r="B30" s="1295">
        <v>27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13</v>
      </c>
      <c r="F36" s="1292">
        <v>180556</v>
      </c>
    </row>
    <row r="37" spans="1:6">
      <c r="A37" s="1291" t="s">
        <v>24</v>
      </c>
      <c r="B37" s="1291" t="s">
        <v>27</v>
      </c>
      <c r="C37" s="1292">
        <v>0</v>
      </c>
      <c r="D37" s="1292">
        <v>0</v>
      </c>
      <c r="E37" s="1292">
        <v>0</v>
      </c>
      <c r="F37" s="1292">
        <v>0</v>
      </c>
    </row>
    <row r="38" spans="1:6">
      <c r="A38" s="1291" t="s">
        <v>24</v>
      </c>
      <c r="B38" s="1291" t="s">
        <v>28</v>
      </c>
      <c r="C38" s="1292">
        <v>1</v>
      </c>
      <c r="D38" s="1292">
        <v>102499.70843</v>
      </c>
      <c r="E38" s="1292">
        <v>0</v>
      </c>
      <c r="F38" s="1292">
        <v>15669</v>
      </c>
    </row>
    <row r="39" spans="1:6">
      <c r="A39" s="1291" t="s">
        <v>29</v>
      </c>
      <c r="B39" s="1291" t="s">
        <v>30</v>
      </c>
      <c r="C39" s="1292">
        <v>9316</v>
      </c>
      <c r="D39" s="1292">
        <v>134124894.63</v>
      </c>
      <c r="E39" s="1292">
        <v>11862</v>
      </c>
      <c r="F39" s="1292">
        <v>38627100</v>
      </c>
    </row>
    <row r="40" spans="1:6">
      <c r="A40" s="1291" t="s">
        <v>29</v>
      </c>
      <c r="B40" s="1291" t="s">
        <v>28</v>
      </c>
      <c r="C40" s="1292">
        <v>0</v>
      </c>
      <c r="D40" s="1292">
        <v>0</v>
      </c>
      <c r="E40" s="1292">
        <v>0</v>
      </c>
      <c r="F40" s="1292">
        <v>0</v>
      </c>
    </row>
    <row r="41" spans="1:6">
      <c r="A41" s="1291" t="s">
        <v>31</v>
      </c>
      <c r="B41" s="1291" t="s">
        <v>32</v>
      </c>
      <c r="C41" s="1292">
        <v>196</v>
      </c>
      <c r="D41" s="1292">
        <v>8869666.9540999997</v>
      </c>
      <c r="E41" s="1292">
        <v>401</v>
      </c>
      <c r="F41" s="1292">
        <v>16174477</v>
      </c>
    </row>
    <row r="42" spans="1:6">
      <c r="A42" s="1291" t="s">
        <v>31</v>
      </c>
      <c r="B42" s="1291" t="s">
        <v>33</v>
      </c>
      <c r="C42" s="1292">
        <v>0</v>
      </c>
      <c r="D42" s="1292">
        <v>0</v>
      </c>
      <c r="E42" s="1292">
        <v>3</v>
      </c>
      <c r="F42" s="1292">
        <v>389776</v>
      </c>
    </row>
    <row r="43" spans="1:6">
      <c r="A43" s="1291" t="s">
        <v>31</v>
      </c>
      <c r="B43" s="1291" t="s">
        <v>34</v>
      </c>
      <c r="C43" s="1292">
        <v>0</v>
      </c>
      <c r="D43" s="1292">
        <v>0</v>
      </c>
      <c r="E43" s="1292">
        <v>6</v>
      </c>
      <c r="F43" s="1292">
        <v>191741</v>
      </c>
    </row>
    <row r="44" spans="1:6">
      <c r="A44" s="1291" t="s">
        <v>31</v>
      </c>
      <c r="B44" s="1291" t="s">
        <v>35</v>
      </c>
      <c r="C44" s="1292">
        <v>10</v>
      </c>
      <c r="D44" s="1292">
        <v>428060.50672</v>
      </c>
      <c r="E44" s="1292">
        <v>77</v>
      </c>
      <c r="F44" s="1292">
        <v>15884263</v>
      </c>
    </row>
    <row r="45" spans="1:6">
      <c r="A45" s="1291" t="s">
        <v>31</v>
      </c>
      <c r="B45" s="1291" t="s">
        <v>36</v>
      </c>
      <c r="C45" s="1292">
        <v>5</v>
      </c>
      <c r="D45" s="1292">
        <v>37177.006260000002</v>
      </c>
      <c r="E45" s="1292">
        <v>12</v>
      </c>
      <c r="F45" s="1292">
        <v>459384</v>
      </c>
    </row>
    <row r="46" spans="1:6">
      <c r="A46" s="1291" t="s">
        <v>31</v>
      </c>
      <c r="B46" s="1291" t="s">
        <v>37</v>
      </c>
      <c r="C46" s="1292">
        <v>0</v>
      </c>
      <c r="D46" s="1292">
        <v>0</v>
      </c>
      <c r="E46" s="1292">
        <v>0</v>
      </c>
      <c r="F46" s="1292">
        <v>0</v>
      </c>
    </row>
    <row r="47" spans="1:6">
      <c r="A47" s="1291" t="s">
        <v>31</v>
      </c>
      <c r="B47" s="1291" t="s">
        <v>38</v>
      </c>
      <c r="C47" s="1292">
        <v>7</v>
      </c>
      <c r="D47" s="1292">
        <v>376048.61442</v>
      </c>
      <c r="E47" s="1292">
        <v>10</v>
      </c>
      <c r="F47" s="1292">
        <v>336374</v>
      </c>
    </row>
    <row r="48" spans="1:6">
      <c r="A48" s="1291" t="s">
        <v>31</v>
      </c>
      <c r="B48" s="1291" t="s">
        <v>28</v>
      </c>
      <c r="C48" s="1292">
        <v>67</v>
      </c>
      <c r="D48" s="1292">
        <v>34368371.913000003</v>
      </c>
      <c r="E48" s="1292">
        <v>0</v>
      </c>
      <c r="F48" s="1292">
        <v>0</v>
      </c>
    </row>
    <row r="49" spans="1:6">
      <c r="A49" s="1291" t="s">
        <v>31</v>
      </c>
      <c r="B49" s="1291" t="s">
        <v>39</v>
      </c>
      <c r="C49" s="1292">
        <v>0</v>
      </c>
      <c r="D49" s="1292">
        <v>0</v>
      </c>
      <c r="E49" s="1292">
        <v>17</v>
      </c>
      <c r="F49" s="1292">
        <v>5699249</v>
      </c>
    </row>
    <row r="50" spans="1:6">
      <c r="A50" s="1291" t="s">
        <v>31</v>
      </c>
      <c r="B50" s="1291" t="s">
        <v>40</v>
      </c>
      <c r="C50" s="1292">
        <v>13</v>
      </c>
      <c r="D50" s="1292">
        <v>2148929.5441999999</v>
      </c>
      <c r="E50" s="1292">
        <v>38</v>
      </c>
      <c r="F50" s="1292">
        <v>41039667</v>
      </c>
    </row>
    <row r="51" spans="1:6">
      <c r="A51" s="1291" t="s">
        <v>41</v>
      </c>
      <c r="B51" s="1291" t="s">
        <v>42</v>
      </c>
      <c r="C51" s="1292">
        <v>19</v>
      </c>
      <c r="D51" s="1292">
        <v>8101280.5620999997</v>
      </c>
      <c r="E51" s="1292">
        <v>82</v>
      </c>
      <c r="F51" s="1292">
        <v>1987848</v>
      </c>
    </row>
    <row r="52" spans="1:6">
      <c r="A52" s="1291" t="s">
        <v>41</v>
      </c>
      <c r="B52" s="1291" t="s">
        <v>28</v>
      </c>
      <c r="C52" s="1292">
        <v>3</v>
      </c>
      <c r="D52" s="1292">
        <v>66418.744451999999</v>
      </c>
      <c r="E52" s="1292">
        <v>0</v>
      </c>
      <c r="F52" s="1292">
        <v>0</v>
      </c>
    </row>
    <row r="53" spans="1:6">
      <c r="A53" s="1291" t="s">
        <v>43</v>
      </c>
      <c r="B53" s="1291" t="s">
        <v>44</v>
      </c>
      <c r="C53" s="1292">
        <v>191</v>
      </c>
      <c r="D53" s="1292">
        <v>8482018.4809000008</v>
      </c>
      <c r="E53" s="1292">
        <v>0</v>
      </c>
      <c r="F53" s="1292">
        <v>0</v>
      </c>
    </row>
    <row r="54" spans="1:6">
      <c r="A54" s="1291" t="s">
        <v>45</v>
      </c>
      <c r="B54" s="1291" t="s">
        <v>46</v>
      </c>
      <c r="C54" s="1292">
        <v>0</v>
      </c>
      <c r="D54" s="1292">
        <v>0</v>
      </c>
      <c r="E54" s="1292">
        <v>171</v>
      </c>
      <c r="F54" s="1292">
        <v>2209275</v>
      </c>
    </row>
    <row r="55" spans="1:6">
      <c r="A55" s="1291" t="s">
        <v>45</v>
      </c>
      <c r="B55" s="1291" t="s">
        <v>28</v>
      </c>
      <c r="C55" s="1292">
        <v>0</v>
      </c>
      <c r="D55" s="1292">
        <v>0</v>
      </c>
      <c r="E55" s="1292">
        <v>0</v>
      </c>
      <c r="F55" s="1292">
        <v>0</v>
      </c>
    </row>
    <row r="56" spans="1:6">
      <c r="A56" s="1291" t="s">
        <v>47</v>
      </c>
      <c r="B56" s="1291" t="s">
        <v>28</v>
      </c>
      <c r="C56" s="1292">
        <v>0</v>
      </c>
      <c r="D56" s="1292">
        <v>0</v>
      </c>
      <c r="E56" s="1292">
        <v>234</v>
      </c>
      <c r="F56" s="1292">
        <v>1329890</v>
      </c>
    </row>
    <row r="57" spans="1:6">
      <c r="A57" s="1291" t="s">
        <v>48</v>
      </c>
      <c r="B57" s="1291" t="s">
        <v>49</v>
      </c>
      <c r="C57" s="1292">
        <v>108</v>
      </c>
      <c r="D57" s="1292">
        <v>5278850.7751000002</v>
      </c>
      <c r="E57" s="1292">
        <v>151</v>
      </c>
      <c r="F57" s="1292">
        <v>2779415</v>
      </c>
    </row>
    <row r="58" spans="1:6">
      <c r="A58" s="1291" t="s">
        <v>48</v>
      </c>
      <c r="B58" s="1291" t="s">
        <v>50</v>
      </c>
      <c r="C58" s="1292">
        <v>50</v>
      </c>
      <c r="D58" s="1292">
        <v>2066812.0730999999</v>
      </c>
      <c r="E58" s="1292">
        <v>68</v>
      </c>
      <c r="F58" s="1292">
        <v>5088554</v>
      </c>
    </row>
    <row r="59" spans="1:6">
      <c r="A59" s="1291" t="s">
        <v>48</v>
      </c>
      <c r="B59" s="1291" t="s">
        <v>51</v>
      </c>
      <c r="C59" s="1292">
        <v>202</v>
      </c>
      <c r="D59" s="1292">
        <v>6672212.1890000002</v>
      </c>
      <c r="E59" s="1292">
        <v>472</v>
      </c>
      <c r="F59" s="1292">
        <v>15701589</v>
      </c>
    </row>
    <row r="60" spans="1:6">
      <c r="A60" s="1291" t="s">
        <v>48</v>
      </c>
      <c r="B60" s="1291" t="s">
        <v>52</v>
      </c>
      <c r="C60" s="1292">
        <v>100</v>
      </c>
      <c r="D60" s="1292">
        <v>3844435.6151999999</v>
      </c>
      <c r="E60" s="1292">
        <v>124</v>
      </c>
      <c r="F60" s="1292">
        <v>2795039</v>
      </c>
    </row>
    <row r="61" spans="1:6">
      <c r="A61" s="1291" t="s">
        <v>48</v>
      </c>
      <c r="B61" s="1291" t="s">
        <v>53</v>
      </c>
      <c r="C61" s="1292">
        <v>241</v>
      </c>
      <c r="D61" s="1292">
        <v>7671192.1941</v>
      </c>
      <c r="E61" s="1292">
        <v>583</v>
      </c>
      <c r="F61" s="1292">
        <v>7662692</v>
      </c>
    </row>
    <row r="62" spans="1:6">
      <c r="A62" s="1291" t="s">
        <v>48</v>
      </c>
      <c r="B62" s="1291" t="s">
        <v>54</v>
      </c>
      <c r="C62" s="1292">
        <v>23</v>
      </c>
      <c r="D62" s="1292">
        <v>4611895.9543000003</v>
      </c>
      <c r="E62" s="1292">
        <v>24</v>
      </c>
      <c r="F62" s="1292">
        <v>1080487</v>
      </c>
    </row>
    <row r="63" spans="1:6">
      <c r="A63" s="1291" t="s">
        <v>48</v>
      </c>
      <c r="B63" s="1291" t="s">
        <v>28</v>
      </c>
      <c r="C63" s="1292">
        <v>104</v>
      </c>
      <c r="D63" s="1292">
        <v>6202105.9307000004</v>
      </c>
      <c r="E63" s="1292">
        <v>0</v>
      </c>
      <c r="F63" s="1292">
        <v>0</v>
      </c>
    </row>
    <row r="64" spans="1:6">
      <c r="A64" s="1291" t="s">
        <v>55</v>
      </c>
      <c r="B64" s="1291" t="s">
        <v>56</v>
      </c>
      <c r="C64" s="1292">
        <v>0</v>
      </c>
      <c r="D64" s="1292">
        <v>0</v>
      </c>
      <c r="E64" s="1292">
        <v>0</v>
      </c>
      <c r="F64" s="1292">
        <v>0</v>
      </c>
    </row>
    <row r="65" spans="1:6">
      <c r="A65" s="1291" t="s">
        <v>55</v>
      </c>
      <c r="B65" s="1291" t="s">
        <v>28</v>
      </c>
      <c r="C65" s="1292">
        <v>5</v>
      </c>
      <c r="D65" s="1292">
        <v>229306.36955999999</v>
      </c>
      <c r="E65" s="1292">
        <v>0</v>
      </c>
      <c r="F65" s="1292">
        <v>0</v>
      </c>
    </row>
    <row r="66" spans="1:6">
      <c r="A66" s="1291" t="s">
        <v>55</v>
      </c>
      <c r="B66" s="1291" t="s">
        <v>57</v>
      </c>
      <c r="C66" s="1292">
        <v>0</v>
      </c>
      <c r="D66" s="1292">
        <v>0</v>
      </c>
      <c r="E66" s="1292">
        <v>0</v>
      </c>
      <c r="F66" s="1292">
        <v>0</v>
      </c>
    </row>
    <row r="67" spans="1:6">
      <c r="A67" s="1293" t="s">
        <v>55</v>
      </c>
      <c r="B67" s="1293" t="s">
        <v>58</v>
      </c>
      <c r="C67" s="1292">
        <v>16</v>
      </c>
      <c r="D67" s="1292">
        <v>2457781.0547000002</v>
      </c>
      <c r="E67" s="1292">
        <v>0</v>
      </c>
      <c r="F67" s="1292">
        <v>0</v>
      </c>
    </row>
    <row r="68" spans="1:6">
      <c r="A68" s="1286" t="s">
        <v>55</v>
      </c>
      <c r="B68" s="1286" t="s">
        <v>59</v>
      </c>
      <c r="C68" s="1295">
        <v>11</v>
      </c>
      <c r="D68" s="1295">
        <v>1204865.8622000001</v>
      </c>
      <c r="E68" s="1295">
        <v>27</v>
      </c>
      <c r="F68" s="1295">
        <v>653353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48224957</v>
      </c>
      <c r="E73" s="449"/>
      <c r="F73" s="330"/>
    </row>
    <row r="74" spans="1:6">
      <c r="A74" s="1291" t="s">
        <v>63</v>
      </c>
      <c r="B74" s="1291" t="s">
        <v>664</v>
      </c>
      <c r="C74" s="1305" t="s">
        <v>666</v>
      </c>
      <c r="D74" s="1306">
        <v>6611423.0781880105</v>
      </c>
      <c r="E74" s="449"/>
      <c r="F74" s="330"/>
    </row>
    <row r="75" spans="1:6">
      <c r="A75" s="1291" t="s">
        <v>64</v>
      </c>
      <c r="B75" s="1291" t="s">
        <v>663</v>
      </c>
      <c r="C75" s="1305" t="s">
        <v>667</v>
      </c>
      <c r="D75" s="1306">
        <v>43801764</v>
      </c>
      <c r="E75" s="449"/>
      <c r="F75" s="330"/>
    </row>
    <row r="76" spans="1:6">
      <c r="A76" s="1291" t="s">
        <v>64</v>
      </c>
      <c r="B76" s="1291" t="s">
        <v>664</v>
      </c>
      <c r="C76" s="1305" t="s">
        <v>668</v>
      </c>
      <c r="D76" s="1306">
        <v>3826286.0781880105</v>
      </c>
      <c r="E76" s="449"/>
      <c r="F76" s="330"/>
    </row>
    <row r="77" spans="1:6">
      <c r="A77" s="1291" t="s">
        <v>65</v>
      </c>
      <c r="B77" s="1291" t="s">
        <v>663</v>
      </c>
      <c r="C77" s="1305" t="s">
        <v>669</v>
      </c>
      <c r="D77" s="1306">
        <v>44023536</v>
      </c>
      <c r="E77" s="449"/>
      <c r="F77" s="330"/>
    </row>
    <row r="78" spans="1:6">
      <c r="A78" s="1286" t="s">
        <v>65</v>
      </c>
      <c r="B78" s="1286" t="s">
        <v>664</v>
      </c>
      <c r="C78" s="1286" t="s">
        <v>670</v>
      </c>
      <c r="D78" s="1307">
        <v>7738718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181823.84362397899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22224.526317281263</v>
      </c>
      <c r="C90" s="330"/>
      <c r="D90" s="330"/>
      <c r="E90" s="330"/>
      <c r="F90" s="330"/>
    </row>
    <row r="91" spans="1:6">
      <c r="A91" s="1291" t="s">
        <v>67</v>
      </c>
      <c r="B91" s="1292">
        <v>4654.7426543535585</v>
      </c>
      <c r="C91" s="330"/>
      <c r="D91" s="330"/>
      <c r="E91" s="330"/>
      <c r="F91" s="330"/>
    </row>
    <row r="92" spans="1:6">
      <c r="A92" s="1286" t="s">
        <v>68</v>
      </c>
      <c r="B92" s="1287">
        <v>2918.1635894635056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6493</v>
      </c>
      <c r="C97" s="330"/>
      <c r="D97" s="330"/>
      <c r="E97" s="330"/>
      <c r="F97" s="330"/>
    </row>
    <row r="98" spans="1:6">
      <c r="A98" s="1291" t="s">
        <v>71</v>
      </c>
      <c r="B98" s="1292">
        <v>1</v>
      </c>
      <c r="C98" s="330"/>
      <c r="D98" s="330"/>
      <c r="E98" s="330"/>
      <c r="F98" s="330"/>
    </row>
    <row r="99" spans="1:6">
      <c r="A99" s="1291" t="s">
        <v>72</v>
      </c>
      <c r="B99" s="1292">
        <v>111</v>
      </c>
      <c r="C99" s="330"/>
      <c r="D99" s="330"/>
      <c r="E99" s="330"/>
      <c r="F99" s="330"/>
    </row>
    <row r="100" spans="1:6">
      <c r="A100" s="1291" t="s">
        <v>73</v>
      </c>
      <c r="B100" s="1292">
        <v>642</v>
      </c>
      <c r="C100" s="330"/>
      <c r="D100" s="330"/>
      <c r="E100" s="330"/>
      <c r="F100" s="330"/>
    </row>
    <row r="101" spans="1:6">
      <c r="A101" s="1291" t="s">
        <v>74</v>
      </c>
      <c r="B101" s="1292">
        <v>159</v>
      </c>
      <c r="C101" s="330"/>
      <c r="D101" s="330"/>
      <c r="E101" s="330"/>
      <c r="F101" s="330"/>
    </row>
    <row r="102" spans="1:6">
      <c r="A102" s="1291" t="s">
        <v>75</v>
      </c>
      <c r="B102" s="1292">
        <v>177</v>
      </c>
      <c r="C102" s="330"/>
      <c r="D102" s="330"/>
      <c r="E102" s="330"/>
      <c r="F102" s="330"/>
    </row>
    <row r="103" spans="1:6">
      <c r="A103" s="1291" t="s">
        <v>76</v>
      </c>
      <c r="B103" s="1292">
        <v>221</v>
      </c>
      <c r="C103" s="330"/>
      <c r="D103" s="330"/>
      <c r="E103" s="330"/>
      <c r="F103" s="330"/>
    </row>
    <row r="104" spans="1:6">
      <c r="A104" s="1291" t="s">
        <v>77</v>
      </c>
      <c r="B104" s="1292">
        <v>2623</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24</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297</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164119.55529139645</v>
      </c>
      <c r="C3" s="43" t="s">
        <v>169</v>
      </c>
      <c r="D3" s="43"/>
      <c r="E3" s="154"/>
      <c r="F3" s="43"/>
      <c r="G3" s="43"/>
      <c r="H3" s="43"/>
      <c r="I3" s="43"/>
      <c r="J3" s="43"/>
      <c r="K3" s="96"/>
    </row>
    <row r="4" spans="1:11">
      <c r="A4" s="358" t="s">
        <v>170</v>
      </c>
      <c r="B4" s="49">
        <f>IF(ISERROR('SEAP template'!B78+'SEAP template'!C78),0,'SEAP template'!B78+'SEAP template'!C78)</f>
        <v>33550.432561098329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891.88941176470587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0.18125606959111737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1274.127731092437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5361.4285714285716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2209.2750000000001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2209.2750000000001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0.18125606959111737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400.44450314591586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38627.1</v>
      </c>
      <c r="C5" s="17">
        <f>IF(ISERROR('Eigen informatie GS &amp; warmtenet'!B57),0,'Eigen informatie GS &amp; warmtenet'!B57)</f>
        <v>0</v>
      </c>
      <c r="D5" s="30">
        <f>(SUM(HH_hh_gas_kWh,HH_rest_gas_kWh)/1000)*0.902</f>
        <v>120980.65495626</v>
      </c>
      <c r="E5" s="17">
        <f>B46*B57</f>
        <v>25775.356060030364</v>
      </c>
      <c r="F5" s="17">
        <f>B51*B62</f>
        <v>0</v>
      </c>
      <c r="G5" s="18"/>
      <c r="H5" s="17"/>
      <c r="I5" s="17"/>
      <c r="J5" s="17">
        <f>B50*B61+C50*C61</f>
        <v>0</v>
      </c>
      <c r="K5" s="17"/>
      <c r="L5" s="17"/>
      <c r="M5" s="17"/>
      <c r="N5" s="17">
        <f>B48*B59+C48*C59</f>
        <v>29505.356597108235</v>
      </c>
      <c r="O5" s="17">
        <f>B69*B70*B71</f>
        <v>504.95666666666671</v>
      </c>
      <c r="P5" s="17">
        <f>B77*B78*B79/1000-B77*B78*B79/1000/B80</f>
        <v>400.4</v>
      </c>
    </row>
    <row r="6" spans="1:16">
      <c r="A6" s="16" t="s">
        <v>623</v>
      </c>
      <c r="B6" s="762">
        <f>kWh_PV_kleiner_dan_10kW</f>
        <v>4654.7426543535585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43281.842654353561</v>
      </c>
      <c r="C8" s="21">
        <f>C5</f>
        <v>0</v>
      </c>
      <c r="D8" s="21">
        <f>D5</f>
        <v>120980.65495626</v>
      </c>
      <c r="E8" s="21">
        <f>E5</f>
        <v>25775.356060030364</v>
      </c>
      <c r="F8" s="21">
        <f>F5</f>
        <v>0</v>
      </c>
      <c r="G8" s="21"/>
      <c r="H8" s="21"/>
      <c r="I8" s="21"/>
      <c r="J8" s="21">
        <f>J5</f>
        <v>0</v>
      </c>
      <c r="K8" s="21"/>
      <c r="L8" s="21">
        <f>L5</f>
        <v>0</v>
      </c>
      <c r="M8" s="21">
        <f>M5</f>
        <v>0</v>
      </c>
      <c r="N8" s="21">
        <f>N5</f>
        <v>29505.356597108235</v>
      </c>
      <c r="O8" s="21">
        <f>O5</f>
        <v>504.95666666666671</v>
      </c>
      <c r="P8" s="21">
        <f>P5</f>
        <v>400.4</v>
      </c>
    </row>
    <row r="9" spans="1:16">
      <c r="B9" s="19"/>
      <c r="C9" s="19"/>
      <c r="D9" s="258"/>
      <c r="E9" s="19"/>
      <c r="F9" s="19"/>
      <c r="G9" s="19"/>
      <c r="H9" s="19"/>
      <c r="I9" s="19"/>
      <c r="J9" s="19"/>
      <c r="K9" s="19"/>
      <c r="L9" s="19"/>
      <c r="M9" s="19"/>
      <c r="N9" s="19"/>
      <c r="O9" s="19"/>
      <c r="P9" s="19"/>
    </row>
    <row r="10" spans="1:16">
      <c r="A10" s="24" t="s">
        <v>213</v>
      </c>
      <c r="B10" s="25">
        <f ca="1">'EF ele_warmte'!B12</f>
        <v>0.18125606959111737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7845.0966841893014</v>
      </c>
      <c r="C12" s="23">
        <f ca="1">C10*C8</f>
        <v>0</v>
      </c>
      <c r="D12" s="23">
        <f>D8*D10</f>
        <v>24438.092301164521</v>
      </c>
      <c r="E12" s="23">
        <f>E10*E8</f>
        <v>5851.0058256268931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6493</v>
      </c>
      <c r="C18" s="166" t="s">
        <v>110</v>
      </c>
      <c r="D18" s="228"/>
      <c r="E18" s="15"/>
    </row>
    <row r="19" spans="1:7">
      <c r="A19" s="171" t="s">
        <v>71</v>
      </c>
      <c r="B19" s="37">
        <f>aantalw2001_ander</f>
        <v>1</v>
      </c>
      <c r="C19" s="166" t="s">
        <v>110</v>
      </c>
      <c r="D19" s="229"/>
      <c r="E19" s="15"/>
    </row>
    <row r="20" spans="1:7">
      <c r="A20" s="171" t="s">
        <v>72</v>
      </c>
      <c r="B20" s="37">
        <f>aantalw2001_propaan</f>
        <v>111</v>
      </c>
      <c r="C20" s="167">
        <f>IF(ISERROR(B20/SUM($B$20,$B$21,$B$22)*100),0,B20/SUM($B$20,$B$21,$B$22)*100)</f>
        <v>12.171052631578947</v>
      </c>
      <c r="D20" s="229"/>
      <c r="E20" s="15"/>
    </row>
    <row r="21" spans="1:7">
      <c r="A21" s="171" t="s">
        <v>73</v>
      </c>
      <c r="B21" s="37">
        <f>aantalw2001_elektriciteit</f>
        <v>642</v>
      </c>
      <c r="C21" s="167">
        <f>IF(ISERROR(B21/SUM($B$20,$B$21,$B$22)*100),0,B21/SUM($B$20,$B$21,$B$22)*100)</f>
        <v>70.39473684210526</v>
      </c>
      <c r="D21" s="229"/>
      <c r="E21" s="15"/>
    </row>
    <row r="22" spans="1:7">
      <c r="A22" s="171" t="s">
        <v>74</v>
      </c>
      <c r="B22" s="37">
        <f>aantalw2001_hout</f>
        <v>159</v>
      </c>
      <c r="C22" s="167">
        <f>IF(ISERROR(B22/SUM($B$20,$B$21,$B$22)*100),0,B22/SUM($B$20,$B$21,$B$22)*100)</f>
        <v>17.434210526315788</v>
      </c>
      <c r="D22" s="229"/>
      <c r="E22" s="15"/>
    </row>
    <row r="23" spans="1:7">
      <c r="A23" s="171" t="s">
        <v>75</v>
      </c>
      <c r="B23" s="37">
        <f>aantalw2001_niet_gespec</f>
        <v>177</v>
      </c>
      <c r="C23" s="166" t="s">
        <v>110</v>
      </c>
      <c r="D23" s="228"/>
      <c r="E23" s="15"/>
    </row>
    <row r="24" spans="1:7">
      <c r="A24" s="171" t="s">
        <v>76</v>
      </c>
      <c r="B24" s="37">
        <f>aantalw2001_steenkool</f>
        <v>221</v>
      </c>
      <c r="C24" s="166" t="s">
        <v>110</v>
      </c>
      <c r="D24" s="229"/>
      <c r="E24" s="15"/>
    </row>
    <row r="25" spans="1:7">
      <c r="A25" s="171" t="s">
        <v>77</v>
      </c>
      <c r="B25" s="37">
        <f>aantalw2001_stookolie</f>
        <v>2623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11932</v>
      </c>
      <c r="C28" s="36"/>
      <c r="D28" s="228"/>
    </row>
    <row r="29" spans="1:7" s="15" customFormat="1">
      <c r="A29" s="230" t="s">
        <v>696</v>
      </c>
      <c r="B29" s="37">
        <f>SUM(HH_hh_gas_aantal,HH_rest_gas_aantal)</f>
        <v>9316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9316</v>
      </c>
      <c r="C32" s="167">
        <f>IF(ISERROR(B32/SUM($B$32,$B$34,$B$35,$B$36,$B$38,$B$39)*100),0,B32/SUM($B$32,$B$34,$B$35,$B$36,$B$38,$B$39)*100)</f>
        <v>78.213416169926958</v>
      </c>
      <c r="D32" s="233"/>
      <c r="G32" s="15"/>
    </row>
    <row r="33" spans="1:7">
      <c r="A33" s="171" t="s">
        <v>71</v>
      </c>
      <c r="B33" s="34" t="s">
        <v>110</v>
      </c>
      <c r="C33" s="167"/>
      <c r="D33" s="233"/>
      <c r="G33" s="15"/>
    </row>
    <row r="34" spans="1:7">
      <c r="A34" s="171" t="s">
        <v>72</v>
      </c>
      <c r="B34" s="33">
        <f>IF((($B$28-$B$32-$B$39-$B$77-$B$38)*C20/100)&lt;0,0,($B$28-$B$32-$B$39-$B$77-$B$38)*C20/100)</f>
        <v>315.83881578947364</v>
      </c>
      <c r="C34" s="167">
        <f>IF(ISERROR(B34/SUM($B$32,$B$34,$B$35,$B$36,$B$38,$B$39)*100),0,B34/SUM($B$32,$B$34,$B$35,$B$36,$B$38,$B$39)*100)</f>
        <v>2.6516565845812581</v>
      </c>
      <c r="D34" s="233"/>
      <c r="G34" s="15"/>
    </row>
    <row r="35" spans="1:7">
      <c r="A35" s="171" t="s">
        <v>73</v>
      </c>
      <c r="B35" s="33">
        <f>IF((($B$28-$B$32-$B$39-$B$77-$B$38)*C21/100)&lt;0,0,($B$28-$B$32-$B$39-$B$77-$B$38)*C21/100)</f>
        <v>1826.7434210526314</v>
      </c>
      <c r="C35" s="167">
        <f>IF(ISERROR(B35/SUM($B$32,$B$34,$B$35,$B$36,$B$38,$B$39)*100),0,B35/SUM($B$32,$B$34,$B$35,$B$36,$B$38,$B$39)*100)</f>
        <v>15.336608354064573</v>
      </c>
      <c r="D35" s="233"/>
      <c r="G35" s="15"/>
    </row>
    <row r="36" spans="1:7">
      <c r="A36" s="171" t="s">
        <v>74</v>
      </c>
      <c r="B36" s="33">
        <f>IF((($B$28-$B$32-$B$39-$B$77-$B$38)*C22/100)&lt;0,0,($B$28-$B$32-$B$39-$B$77-$B$38)*C22/100)</f>
        <v>452.41776315789468</v>
      </c>
      <c r="C36" s="167">
        <f>IF(ISERROR(B36/SUM($B$32,$B$34,$B$35,$B$36,$B$38,$B$39)*100),0,B36/SUM($B$32,$B$34,$B$35,$B$36,$B$38,$B$39)*100)</f>
        <v>3.7983188914272077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9316</v>
      </c>
      <c r="C44" s="34" t="s">
        <v>110</v>
      </c>
      <c r="D44" s="174"/>
    </row>
    <row r="45" spans="1:7">
      <c r="A45" s="171" t="s">
        <v>71</v>
      </c>
      <c r="B45" s="33" t="str">
        <f t="shared" si="0"/>
        <v>-</v>
      </c>
      <c r="C45" s="34" t="s">
        <v>110</v>
      </c>
      <c r="D45" s="174"/>
    </row>
    <row r="46" spans="1:7">
      <c r="A46" s="171" t="s">
        <v>72</v>
      </c>
      <c r="B46" s="33">
        <f t="shared" si="0"/>
        <v>315.83881578947364</v>
      </c>
      <c r="C46" s="34" t="s">
        <v>110</v>
      </c>
      <c r="D46" s="174"/>
    </row>
    <row r="47" spans="1:7">
      <c r="A47" s="171" t="s">
        <v>73</v>
      </c>
      <c r="B47" s="33">
        <f t="shared" si="0"/>
        <v>1826.7434210526314</v>
      </c>
      <c r="C47" s="34" t="s">
        <v>110</v>
      </c>
      <c r="D47" s="174"/>
    </row>
    <row r="48" spans="1:7">
      <c r="A48" s="171" t="s">
        <v>74</v>
      </c>
      <c r="B48" s="33">
        <f t="shared" si="0"/>
        <v>452.41776315789468</v>
      </c>
      <c r="C48" s="33">
        <f>B48*10</f>
        <v>4524.1776315789466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35107.775999999998</v>
      </c>
      <c r="C5" s="17">
        <f>IF(ISERROR('Eigen informatie GS &amp; warmtenet'!B58),0,'Eigen informatie GS &amp; warmtenet'!B58)</f>
        <v>0</v>
      </c>
      <c r="D5" s="30">
        <f>SUM(D6:D12)</f>
        <v>32785.449267813005</v>
      </c>
      <c r="E5" s="17">
        <f>SUM(E6:E12)</f>
        <v>695.11290521287253</v>
      </c>
      <c r="F5" s="17">
        <f>SUM(F6:F12)</f>
        <v>8407.766142529661</v>
      </c>
      <c r="G5" s="18"/>
      <c r="H5" s="17"/>
      <c r="I5" s="17"/>
      <c r="J5" s="17">
        <f>SUM(J6:J12)</f>
        <v>0</v>
      </c>
      <c r="K5" s="17"/>
      <c r="L5" s="17"/>
      <c r="M5" s="17"/>
      <c r="N5" s="17">
        <f>SUM(N6:N12)</f>
        <v>2279.1425415942517</v>
      </c>
      <c r="O5" s="17">
        <f>B38*B39*B40</f>
        <v>4.6900000000000004</v>
      </c>
      <c r="P5" s="17">
        <f>B46*B47*B48/1000-B46*B47*B48/1000/B49</f>
        <v>57.2</v>
      </c>
      <c r="R5" s="32"/>
    </row>
    <row r="6" spans="1:18">
      <c r="A6" s="32" t="s">
        <v>53</v>
      </c>
      <c r="B6" s="37">
        <f>B26</f>
        <v>7662.692</v>
      </c>
      <c r="C6" s="33"/>
      <c r="D6" s="37">
        <f>IF(ISERROR(TER_kantoor_gas_kWh/1000),0,TER_kantoor_gas_kWh/1000)*0.902</f>
        <v>6919.4153590781998</v>
      </c>
      <c r="E6" s="33">
        <f>$C$26*'E Balans VL '!I12/100/3.6*1000000</f>
        <v>100.31407734784119</v>
      </c>
      <c r="F6" s="33">
        <f>$C$26*('E Balans VL '!L12+'E Balans VL '!N12)/100/3.6*1000000</f>
        <v>1953.9072766987563</v>
      </c>
      <c r="G6" s="34"/>
      <c r="H6" s="33"/>
      <c r="I6" s="33"/>
      <c r="J6" s="33">
        <f>$C$26*('E Balans VL '!D12+'E Balans VL '!E12)/100/3.6*1000000</f>
        <v>0</v>
      </c>
      <c r="K6" s="33"/>
      <c r="L6" s="33"/>
      <c r="M6" s="33"/>
      <c r="N6" s="33">
        <f>$C$26*'E Balans VL '!Y12/100/3.6*1000000</f>
        <v>7.6884957048746898</v>
      </c>
      <c r="O6" s="33"/>
      <c r="P6" s="33"/>
      <c r="R6" s="32"/>
    </row>
    <row r="7" spans="1:18">
      <c r="A7" s="32" t="s">
        <v>52</v>
      </c>
      <c r="B7" s="37">
        <f t="shared" ref="B7:B12" si="0">B27</f>
        <v>2795.0390000000002</v>
      </c>
      <c r="C7" s="33"/>
      <c r="D7" s="37">
        <f>IF(ISERROR(TER_horeca_gas_kWh/1000),0,TER_horeca_gas_kWh/1000)*0.902</f>
        <v>3467.6809249104003</v>
      </c>
      <c r="E7" s="33">
        <f>$C$27*'E Balans VL '!I9/100/3.6*1000000</f>
        <v>92.498789248099399</v>
      </c>
      <c r="F7" s="33">
        <f>$C$27*('E Balans VL '!L9+'E Balans VL '!N9)/100/3.6*1000000</f>
        <v>1201.8560581130398</v>
      </c>
      <c r="G7" s="34"/>
      <c r="H7" s="33"/>
      <c r="I7" s="33"/>
      <c r="J7" s="33">
        <f>$C$27*('E Balans VL '!D9+'E Balans VL '!E9)/100/3.6*1000000</f>
        <v>0</v>
      </c>
      <c r="K7" s="33"/>
      <c r="L7" s="33"/>
      <c r="M7" s="33"/>
      <c r="N7" s="33">
        <f>$C$27*'E Balans VL '!Y9/100/3.6*1000000</f>
        <v>0.67280647572048902</v>
      </c>
      <c r="O7" s="33"/>
      <c r="P7" s="33"/>
      <c r="R7" s="32"/>
    </row>
    <row r="8" spans="1:18">
      <c r="A8" s="6" t="s">
        <v>51</v>
      </c>
      <c r="B8" s="37">
        <f t="shared" si="0"/>
        <v>15701.589</v>
      </c>
      <c r="C8" s="33"/>
      <c r="D8" s="37">
        <f>IF(ISERROR(TER_handel_gas_kWh/1000),0,TER_handel_gas_kWh/1000)*0.902</f>
        <v>6018.3353944780001</v>
      </c>
      <c r="E8" s="33">
        <f>$C$28*'E Balans VL '!I13/100/3.6*1000000</f>
        <v>495.56614015385253</v>
      </c>
      <c r="F8" s="33">
        <f>$C$28*('E Balans VL '!L13+'E Balans VL '!N13)/100/3.6*1000000</f>
        <v>3079.3580907164041</v>
      </c>
      <c r="G8" s="34"/>
      <c r="H8" s="33"/>
      <c r="I8" s="33"/>
      <c r="J8" s="33">
        <f>$C$28*('E Balans VL '!D13+'E Balans VL '!E13)/100/3.6*1000000</f>
        <v>0</v>
      </c>
      <c r="K8" s="33"/>
      <c r="L8" s="33"/>
      <c r="M8" s="33"/>
      <c r="N8" s="33">
        <f>$C$28*'E Balans VL '!Y13/100/3.6*1000000</f>
        <v>18.634737716919549</v>
      </c>
      <c r="O8" s="33"/>
      <c r="P8" s="33"/>
      <c r="R8" s="32"/>
    </row>
    <row r="9" spans="1:18">
      <c r="A9" s="32" t="s">
        <v>50</v>
      </c>
      <c r="B9" s="37">
        <f t="shared" si="0"/>
        <v>5088.5540000000001</v>
      </c>
      <c r="C9" s="33"/>
      <c r="D9" s="37">
        <f>IF(ISERROR(TER_gezond_gas_kWh/1000),0,TER_gezond_gas_kWh/1000)*0.902</f>
        <v>1864.2644899361999</v>
      </c>
      <c r="E9" s="33">
        <f>$C$29*'E Balans VL '!I10/100/3.6*1000000</f>
        <v>0.65148377434429361</v>
      </c>
      <c r="F9" s="33">
        <f>$C$29*('E Balans VL '!L10+'E Balans VL '!N10)/100/3.6*1000000</f>
        <v>1060.1590790439179</v>
      </c>
      <c r="G9" s="34"/>
      <c r="H9" s="33"/>
      <c r="I9" s="33"/>
      <c r="J9" s="33">
        <f>$C$29*('E Balans VL '!D10+'E Balans VL '!E10)/100/3.6*1000000</f>
        <v>0</v>
      </c>
      <c r="K9" s="33"/>
      <c r="L9" s="33"/>
      <c r="M9" s="33"/>
      <c r="N9" s="33">
        <f>$C$29*'E Balans VL '!Y10/100/3.6*1000000</f>
        <v>59.767471896817632</v>
      </c>
      <c r="O9" s="33"/>
      <c r="P9" s="33"/>
      <c r="R9" s="32"/>
    </row>
    <row r="10" spans="1:18">
      <c r="A10" s="32" t="s">
        <v>49</v>
      </c>
      <c r="B10" s="37">
        <f t="shared" si="0"/>
        <v>2779.415</v>
      </c>
      <c r="C10" s="33"/>
      <c r="D10" s="37">
        <f>IF(ISERROR(TER_ander_gas_kWh/1000),0,TER_ander_gas_kWh/1000)*0.902</f>
        <v>4761.523399140201</v>
      </c>
      <c r="E10" s="33">
        <f>$C$30*'E Balans VL '!I14/100/3.6*1000000</f>
        <v>4.1795865372374497</v>
      </c>
      <c r="F10" s="33">
        <f>$C$30*('E Balans VL '!L14+'E Balans VL '!N14)/100/3.6*1000000</f>
        <v>613.60523867761378</v>
      </c>
      <c r="G10" s="34"/>
      <c r="H10" s="33"/>
      <c r="I10" s="33"/>
      <c r="J10" s="33">
        <f>$C$30*('E Balans VL '!D14+'E Balans VL '!E14)/100/3.6*1000000</f>
        <v>0</v>
      </c>
      <c r="K10" s="33"/>
      <c r="L10" s="33"/>
      <c r="M10" s="33"/>
      <c r="N10" s="33">
        <f>$C$30*'E Balans VL '!Y14/100/3.6*1000000</f>
        <v>2190.3660675771039</v>
      </c>
      <c r="O10" s="33"/>
      <c r="P10" s="33"/>
      <c r="R10" s="32"/>
    </row>
    <row r="11" spans="1:18">
      <c r="A11" s="32" t="s">
        <v>54</v>
      </c>
      <c r="B11" s="37">
        <f t="shared" si="0"/>
        <v>1080.4870000000001</v>
      </c>
      <c r="C11" s="33"/>
      <c r="D11" s="37">
        <f>IF(ISERROR(TER_onderwijs_gas_kWh/1000),0,TER_onderwijs_gas_kWh/1000)*0.902</f>
        <v>4159.9301507786004</v>
      </c>
      <c r="E11" s="33">
        <f>$C$31*'E Balans VL '!I11/100/3.6*1000000</f>
        <v>1.9028281514976204</v>
      </c>
      <c r="F11" s="33">
        <f>$C$31*('E Balans VL '!L11+'E Balans VL '!N11)/100/3.6*1000000</f>
        <v>498.8803992799285</v>
      </c>
      <c r="G11" s="34"/>
      <c r="H11" s="33"/>
      <c r="I11" s="33"/>
      <c r="J11" s="33">
        <f>$C$31*('E Balans VL '!D11+'E Balans VL '!E11)/100/3.6*1000000</f>
        <v>0</v>
      </c>
      <c r="K11" s="33"/>
      <c r="L11" s="33"/>
      <c r="M11" s="33"/>
      <c r="N11" s="33">
        <f>$C$31*'E Balans VL '!Y11/100/3.6*1000000</f>
        <v>2.0129622228156228</v>
      </c>
      <c r="O11" s="33"/>
      <c r="P11" s="33"/>
      <c r="R11" s="32"/>
    </row>
    <row r="12" spans="1:18">
      <c r="A12" s="32" t="s">
        <v>259</v>
      </c>
      <c r="B12" s="37">
        <f t="shared" si="0"/>
        <v>0</v>
      </c>
      <c r="C12" s="33"/>
      <c r="D12" s="37">
        <f>IF(ISERROR(TER_rest_gas_kWh/1000),0,TER_rest_gas_kWh/1000)*0.902</f>
        <v>5594.2995494914003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35107.775999999998</v>
      </c>
      <c r="C16" s="21">
        <f t="shared" ca="1" si="1"/>
        <v>0</v>
      </c>
      <c r="D16" s="21">
        <f t="shared" ca="1" si="1"/>
        <v>32785.449267813005</v>
      </c>
      <c r="E16" s="21">
        <f t="shared" si="1"/>
        <v>695.11290521287253</v>
      </c>
      <c r="F16" s="21">
        <f t="shared" ca="1" si="1"/>
        <v>8407.766142529661</v>
      </c>
      <c r="G16" s="21">
        <f t="shared" si="1"/>
        <v>0</v>
      </c>
      <c r="H16" s="21">
        <f t="shared" si="1"/>
        <v>0</v>
      </c>
      <c r="I16" s="21">
        <f t="shared" si="1"/>
        <v>0</v>
      </c>
      <c r="J16" s="21">
        <f t="shared" si="1"/>
        <v>0</v>
      </c>
      <c r="K16" s="21">
        <f t="shared" si="1"/>
        <v>0</v>
      </c>
      <c r="L16" s="21">
        <f t="shared" ca="1" si="1"/>
        <v>0</v>
      </c>
      <c r="M16" s="21">
        <f t="shared" si="1"/>
        <v>0</v>
      </c>
      <c r="N16" s="21">
        <f t="shared" ca="1" si="1"/>
        <v>2279.1425415942517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0.18125606959111737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6363.4974898453602</v>
      </c>
      <c r="C20" s="23">
        <f t="shared" ref="C20:P20" ca="1" si="2">C16*C18</f>
        <v>0</v>
      </c>
      <c r="D20" s="23">
        <f t="shared" ca="1" si="2"/>
        <v>6622.660752098227</v>
      </c>
      <c r="E20" s="23">
        <f t="shared" si="2"/>
        <v>157.79062948332208</v>
      </c>
      <c r="F20" s="23">
        <f t="shared" ca="1" si="2"/>
        <v>2244.8735600554196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7662.692</v>
      </c>
      <c r="C26" s="39">
        <f>IF(ISERROR(B26*3.6/1000000/'E Balans VL '!Z12*100),0,B26*3.6/1000000/'E Balans VL '!Z12*100)</f>
        <v>0.16414081555361115</v>
      </c>
      <c r="D26" s="237" t="s">
        <v>659</v>
      </c>
      <c r="F26" s="6"/>
    </row>
    <row r="27" spans="1:18">
      <c r="A27" s="231" t="s">
        <v>52</v>
      </c>
      <c r="B27" s="33">
        <f>IF(ISERROR(TER_horeca_ele_kWh/1000),0,TER_horeca_ele_kWh/1000)</f>
        <v>2795.0390000000002</v>
      </c>
      <c r="C27" s="39">
        <f>IF(ISERROR(B27*3.6/1000000/'E Balans VL '!Z9*100),0,B27*3.6/1000000/'E Balans VL '!Z9*100)</f>
        <v>0.22429216429360327</v>
      </c>
      <c r="D27" s="237" t="s">
        <v>659</v>
      </c>
      <c r="F27" s="6"/>
    </row>
    <row r="28" spans="1:18">
      <c r="A28" s="171" t="s">
        <v>51</v>
      </c>
      <c r="B28" s="33">
        <f>IF(ISERROR(TER_handel_ele_kWh/1000),0,TER_handel_ele_kWh/1000)</f>
        <v>15701.589</v>
      </c>
      <c r="C28" s="39">
        <f>IF(ISERROR(B28*3.6/1000000/'E Balans VL '!Z13*100),0,B28*3.6/1000000/'E Balans VL '!Z13*100)</f>
        <v>0.46310681477772636</v>
      </c>
      <c r="D28" s="237" t="s">
        <v>659</v>
      </c>
      <c r="F28" s="6"/>
    </row>
    <row r="29" spans="1:18">
      <c r="A29" s="231" t="s">
        <v>50</v>
      </c>
      <c r="B29" s="33">
        <f>IF(ISERROR(TER_gezond_ele_kWh/1000),0,TER_gezond_ele_kWh/1000)</f>
        <v>5088.5540000000001</v>
      </c>
      <c r="C29" s="39">
        <f>IF(ISERROR(B29*3.6/1000000/'E Balans VL '!Z10*100),0,B29*3.6/1000000/'E Balans VL '!Z10*100)</f>
        <v>0.54332113795120529</v>
      </c>
      <c r="D29" s="237" t="s">
        <v>659</v>
      </c>
      <c r="F29" s="6"/>
    </row>
    <row r="30" spans="1:18">
      <c r="A30" s="231" t="s">
        <v>49</v>
      </c>
      <c r="B30" s="33">
        <f>IF(ISERROR(TER_ander_ele_kWh/1000),0,TER_ander_ele_kWh/1000)</f>
        <v>2779.415</v>
      </c>
      <c r="C30" s="39">
        <f>IF(ISERROR(B30*3.6/1000000/'E Balans VL '!Z14*100),0,B30*3.6/1000000/'E Balans VL '!Z14*100)</f>
        <v>0.20994012927245753</v>
      </c>
      <c r="D30" s="237" t="s">
        <v>659</v>
      </c>
      <c r="F30" s="6"/>
    </row>
    <row r="31" spans="1:18">
      <c r="A31" s="231" t="s">
        <v>54</v>
      </c>
      <c r="B31" s="33">
        <f>IF(ISERROR(TER_onderwijs_ele_kWh/1000),0,TER_onderwijs_ele_kWh/1000)</f>
        <v>1080.4870000000001</v>
      </c>
      <c r="C31" s="39">
        <f>IF(ISERROR(B31*3.6/1000000/'E Balans VL '!Z11*100),0,B31*3.6/1000000/'E Balans VL '!Z11*100)</f>
        <v>0.21818639474257637</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80174.930999999997</v>
      </c>
      <c r="C5" s="17">
        <f>IF(ISERROR('Eigen informatie GS &amp; warmtenet'!B59),0,'Eigen informatie GS &amp; warmtenet'!B59)</f>
        <v>0</v>
      </c>
      <c r="D5" s="30">
        <f>SUM(D6:D15)</f>
        <v>41697.885593907398</v>
      </c>
      <c r="E5" s="17">
        <f>SUM(E6:E15)</f>
        <v>5769.9928627019772</v>
      </c>
      <c r="F5" s="17">
        <f>SUM(F6:F15)</f>
        <v>30536.497307199879</v>
      </c>
      <c r="G5" s="18"/>
      <c r="H5" s="17"/>
      <c r="I5" s="17"/>
      <c r="J5" s="17">
        <f>SUM(J6:J15)</f>
        <v>23.053619594453249</v>
      </c>
      <c r="K5" s="17"/>
      <c r="L5" s="17"/>
      <c r="M5" s="17"/>
      <c r="N5" s="17">
        <f>SUM(N6:N15)</f>
        <v>17564.613288944958</v>
      </c>
      <c r="O5" s="17">
        <f>B43*B44*B45</f>
        <v>0</v>
      </c>
      <c r="P5" s="17">
        <f>B51*B52*B53/1000-B51*B52*B53/1000/B54</f>
        <v>0</v>
      </c>
      <c r="R5" s="32"/>
    </row>
    <row r="6" spans="1:18">
      <c r="A6" s="6" t="s">
        <v>34</v>
      </c>
      <c r="B6" s="37">
        <f>IF( ISERROR(IND_ijzer_ele_kWh/1000),0,IND_ijzer_ele_kWh/1000)</f>
        <v>191.74100000000001</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15884.263000000001</v>
      </c>
      <c r="C8" s="33"/>
      <c r="D8" s="37">
        <f>IF( ISERROR(IND_metaal_Gas_kWH/1000),0,IND_metaal_Gas_kWH/1000)*0.902</f>
        <v>386.11057706143998</v>
      </c>
      <c r="E8" s="33">
        <f>C30*'E Balans VL '!I18/100/3.6*1000000</f>
        <v>571.56383589300242</v>
      </c>
      <c r="F8" s="33">
        <f>C30*'E Balans VL '!L18/100/3.6*1000000+C30*'E Balans VL '!N18/100/3.6*1000000</f>
        <v>6936.1427396928984</v>
      </c>
      <c r="G8" s="34"/>
      <c r="H8" s="33"/>
      <c r="I8" s="33"/>
      <c r="J8" s="40">
        <f>C30*'E Balans VL '!D18/100/3.6*1000000+C30*'E Balans VL '!E18/100/3.6*1000000</f>
        <v>0</v>
      </c>
      <c r="K8" s="33"/>
      <c r="L8" s="33"/>
      <c r="M8" s="33"/>
      <c r="N8" s="33">
        <f>C30*'E Balans VL '!Y18/100/3.6*1000000</f>
        <v>796.10846705951053</v>
      </c>
      <c r="O8" s="33"/>
      <c r="P8" s="33"/>
      <c r="R8" s="32"/>
    </row>
    <row r="9" spans="1:18">
      <c r="A9" s="6" t="s">
        <v>32</v>
      </c>
      <c r="B9" s="37">
        <f t="shared" si="0"/>
        <v>16174.477000000001</v>
      </c>
      <c r="C9" s="33"/>
      <c r="D9" s="37">
        <f>IF( ISERROR(IND_andere_gas_kWh/1000),0,IND_andere_gas_kWh/1000)*0.902</f>
        <v>8000.4395925981999</v>
      </c>
      <c r="E9" s="33">
        <f>C31*'E Balans VL '!I19/100/3.6*1000000</f>
        <v>4127.3605726077785</v>
      </c>
      <c r="F9" s="33">
        <f>C31*'E Balans VL '!L19/100/3.6*1000000+C31*'E Balans VL '!N19/100/3.6*1000000</f>
        <v>13925.008976045508</v>
      </c>
      <c r="G9" s="34"/>
      <c r="H9" s="33"/>
      <c r="I9" s="33"/>
      <c r="J9" s="40">
        <f>C31*'E Balans VL '!D19/100/3.6*1000000+C31*'E Balans VL '!E19/100/3.6*1000000</f>
        <v>0</v>
      </c>
      <c r="K9" s="33"/>
      <c r="L9" s="33"/>
      <c r="M9" s="33"/>
      <c r="N9" s="33">
        <f>C31*'E Balans VL '!Y19/100/3.6*1000000</f>
        <v>1275.9769661588425</v>
      </c>
      <c r="O9" s="33"/>
      <c r="P9" s="33"/>
      <c r="R9" s="32"/>
    </row>
    <row r="10" spans="1:18">
      <c r="A10" s="6" t="s">
        <v>40</v>
      </c>
      <c r="B10" s="37">
        <f t="shared" si="0"/>
        <v>41039.667000000001</v>
      </c>
      <c r="C10" s="33"/>
      <c r="D10" s="37">
        <f>IF( ISERROR(IND_voed_gas_kWh/1000),0,IND_voed_gas_kWh/1000)*0.902</f>
        <v>1938.3344488683999</v>
      </c>
      <c r="E10" s="33">
        <f>C32*'E Balans VL '!I20/100/3.6*1000000</f>
        <v>1043.284687220749</v>
      </c>
      <c r="F10" s="33">
        <f>C32*'E Balans VL '!L20/100/3.6*1000000+C32*'E Balans VL '!N20/100/3.6*1000000</f>
        <v>9286.6605835694081</v>
      </c>
      <c r="G10" s="34"/>
      <c r="H10" s="33"/>
      <c r="I10" s="33"/>
      <c r="J10" s="40">
        <f>C32*'E Balans VL '!D20/100/3.6*1000000+C32*'E Balans VL '!E20/100/3.6*1000000</f>
        <v>0</v>
      </c>
      <c r="K10" s="33"/>
      <c r="L10" s="33"/>
      <c r="M10" s="33"/>
      <c r="N10" s="33">
        <f>C32*'E Balans VL '!Y20/100/3.6*1000000</f>
        <v>15390.987548929743</v>
      </c>
      <c r="O10" s="33"/>
      <c r="P10" s="33"/>
      <c r="R10" s="32"/>
    </row>
    <row r="11" spans="1:18">
      <c r="A11" s="6" t="s">
        <v>39</v>
      </c>
      <c r="B11" s="37">
        <f t="shared" si="0"/>
        <v>5699.2489999999998</v>
      </c>
      <c r="C11" s="33"/>
      <c r="D11" s="37">
        <f>IF( ISERROR(IND_textiel_gas_kWh/1000),0,IND_textiel_gas_kWh/1000)*0.902</f>
        <v>0</v>
      </c>
      <c r="E11" s="33">
        <f>C33*'E Balans VL '!I21/100/3.6*1000000</f>
        <v>15.645971163284997</v>
      </c>
      <c r="F11" s="33">
        <f>C33*'E Balans VL '!L21/100/3.6*1000000+C33*'E Balans VL '!N21/100/3.6*1000000</f>
        <v>302.15043014889983</v>
      </c>
      <c r="G11" s="34"/>
      <c r="H11" s="33"/>
      <c r="I11" s="33"/>
      <c r="J11" s="40">
        <f>C33*'E Balans VL '!D21/100/3.6*1000000+C33*'E Balans VL '!E21/100/3.6*1000000</f>
        <v>0</v>
      </c>
      <c r="K11" s="33"/>
      <c r="L11" s="33"/>
      <c r="M11" s="33"/>
      <c r="N11" s="33">
        <f>C33*'E Balans VL '!Y21/100/3.6*1000000</f>
        <v>11.454547363421774</v>
      </c>
      <c r="O11" s="33"/>
      <c r="P11" s="33"/>
      <c r="R11" s="32"/>
    </row>
    <row r="12" spans="1:18">
      <c r="A12" s="6" t="s">
        <v>36</v>
      </c>
      <c r="B12" s="37">
        <f t="shared" si="0"/>
        <v>459.38400000000001</v>
      </c>
      <c r="C12" s="33"/>
      <c r="D12" s="37">
        <f>IF( ISERROR(IND_min_gas_kWh/1000),0,IND_min_gas_kWh/1000)*0.902</f>
        <v>33.53365964652</v>
      </c>
      <c r="E12" s="33">
        <f>C34*'E Balans VL '!I22/100/3.6*1000000</f>
        <v>9.7607586816139964</v>
      </c>
      <c r="F12" s="33">
        <f>C34*'E Balans VL '!L22/100/3.6*1000000+C34*'E Balans VL '!N22/100/3.6*1000000</f>
        <v>74.952414515750391</v>
      </c>
      <c r="G12" s="34"/>
      <c r="H12" s="33"/>
      <c r="I12" s="33"/>
      <c r="J12" s="40">
        <f>C34*'E Balans VL '!D22/100/3.6*1000000+C34*'E Balans VL '!E22/100/3.6*1000000</f>
        <v>0.53522522995006183</v>
      </c>
      <c r="K12" s="33"/>
      <c r="L12" s="33"/>
      <c r="M12" s="33"/>
      <c r="N12" s="33">
        <f>C34*'E Balans VL '!Y22/100/3.6*1000000</f>
        <v>0</v>
      </c>
      <c r="O12" s="33"/>
      <c r="P12" s="33"/>
      <c r="R12" s="32"/>
    </row>
    <row r="13" spans="1:18">
      <c r="A13" s="6" t="s">
        <v>38</v>
      </c>
      <c r="B13" s="37">
        <f t="shared" si="0"/>
        <v>336.37400000000002</v>
      </c>
      <c r="C13" s="33"/>
      <c r="D13" s="37">
        <f>IF( ISERROR(IND_papier_gas_kWh/1000),0,IND_papier_gas_kWh/1000)*0.902</f>
        <v>339.19585020683996</v>
      </c>
      <c r="E13" s="33">
        <f>C35*'E Balans VL '!I23/100/3.6*1000000</f>
        <v>1.4426102288214688</v>
      </c>
      <c r="F13" s="33">
        <f>C35*'E Balans VL '!L23/100/3.6*1000000+C35*'E Balans VL '!N23/100/3.6*1000000</f>
        <v>8.4541226584324694</v>
      </c>
      <c r="G13" s="34"/>
      <c r="H13" s="33"/>
      <c r="I13" s="33"/>
      <c r="J13" s="40">
        <f>C35*'E Balans VL '!D23/100/3.6*1000000+C35*'E Balans VL '!E23/100/3.6*1000000</f>
        <v>22.518394364503187</v>
      </c>
      <c r="K13" s="33"/>
      <c r="L13" s="33"/>
      <c r="M13" s="33"/>
      <c r="N13" s="33">
        <f>C35*'E Balans VL '!Y23/100/3.6*1000000</f>
        <v>82.029391691484875</v>
      </c>
      <c r="O13" s="33"/>
      <c r="P13" s="33"/>
      <c r="R13" s="32"/>
    </row>
    <row r="14" spans="1:18">
      <c r="A14" s="6" t="s">
        <v>33</v>
      </c>
      <c r="B14" s="37">
        <f t="shared" si="0"/>
        <v>389.77600000000001</v>
      </c>
      <c r="C14" s="33"/>
      <c r="D14" s="37">
        <f>IF( ISERROR(IND_chemie_gas_kWh/1000),0,IND_chemie_gas_kWh/1000)*0.902</f>
        <v>0</v>
      </c>
      <c r="E14" s="33">
        <f>C36*'E Balans VL '!I24/100/3.6*1000000</f>
        <v>0.93442690672637063</v>
      </c>
      <c r="F14" s="33">
        <f>C36*'E Balans VL '!L24/100/3.6*1000000+C36*'E Balans VL '!N24/100/3.6*1000000</f>
        <v>3.1280405689795665</v>
      </c>
      <c r="G14" s="34"/>
      <c r="H14" s="33"/>
      <c r="I14" s="33"/>
      <c r="J14" s="40">
        <f>C36*'E Balans VL '!D24/100/3.6*1000000+C36*'E Balans VL '!E24/100/3.6*1000000</f>
        <v>0</v>
      </c>
      <c r="K14" s="33"/>
      <c r="L14" s="33"/>
      <c r="M14" s="33"/>
      <c r="N14" s="33">
        <f>C36*'E Balans VL '!Y24/100/3.6*1000000</f>
        <v>8.0563677419551265</v>
      </c>
      <c r="O14" s="33"/>
      <c r="P14" s="33"/>
      <c r="R14" s="32"/>
    </row>
    <row r="15" spans="1:18">
      <c r="A15" s="6" t="s">
        <v>269</v>
      </c>
      <c r="B15" s="37">
        <f t="shared" si="0"/>
        <v>0</v>
      </c>
      <c r="C15" s="33"/>
      <c r="D15" s="37">
        <f>IF( ISERROR(IND_rest_gas_kWh/1000),0,IND_rest_gas_kWh/1000)*0.902</f>
        <v>31000.271465526002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80174.930999999997</v>
      </c>
      <c r="C18" s="21">
        <f>C5+C16</f>
        <v>0</v>
      </c>
      <c r="D18" s="21">
        <f>MAX((D5+D16),0)</f>
        <v>41697.885593907398</v>
      </c>
      <c r="E18" s="21">
        <f>MAX((E5+E16),0)</f>
        <v>5769.9928627019772</v>
      </c>
      <c r="F18" s="21">
        <f>MAX((F5+F16),0)</f>
        <v>30536.497307199879</v>
      </c>
      <c r="G18" s="21"/>
      <c r="H18" s="21"/>
      <c r="I18" s="21"/>
      <c r="J18" s="21">
        <f>MAX((J5+J16),0)</f>
        <v>23.053619594453249</v>
      </c>
      <c r="K18" s="21"/>
      <c r="L18" s="21">
        <f>MAX((L5+L16),0)</f>
        <v>0</v>
      </c>
      <c r="M18" s="21"/>
      <c r="N18" s="21">
        <f>MAX((N5+N16),0)</f>
        <v>17564.613288944958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0.18125606959111737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14532.192872799033</v>
      </c>
      <c r="C22" s="23">
        <f ca="1">C18*C20</f>
        <v>0</v>
      </c>
      <c r="D22" s="23">
        <f>D18*D20</f>
        <v>8422.9728899692946</v>
      </c>
      <c r="E22" s="23">
        <f>E18*E20</f>
        <v>1309.7883798333489</v>
      </c>
      <c r="F22" s="23">
        <f>F18*F20</f>
        <v>8153.2447810223684</v>
      </c>
      <c r="G22" s="23"/>
      <c r="H22" s="23"/>
      <c r="I22" s="23"/>
      <c r="J22" s="23">
        <f>J18*J20</f>
        <v>8.1609813364364499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15884.263000000001</v>
      </c>
      <c r="C30" s="39">
        <f>IF(ISERROR(B30*3.6/1000000/'E Balans VL '!Z18*100),0,B30*3.6/1000000/'E Balans VL '!Z18*100)</f>
        <v>3.3655347800766502</v>
      </c>
      <c r="D30" s="237" t="s">
        <v>659</v>
      </c>
    </row>
    <row r="31" spans="1:18">
      <c r="A31" s="6" t="s">
        <v>32</v>
      </c>
      <c r="B31" s="37">
        <f>IF( ISERROR(IND_ander_ele_kWh/1000),0,IND_ander_ele_kWh/1000)</f>
        <v>16174.477000000001</v>
      </c>
      <c r="C31" s="39">
        <f>IF(ISERROR(B31*3.6/1000000/'E Balans VL '!Z19*100),0,B31*3.6/1000000/'E Balans VL '!Z19*100)</f>
        <v>0.68082046375102012</v>
      </c>
      <c r="D31" s="237" t="s">
        <v>659</v>
      </c>
    </row>
    <row r="32" spans="1:18">
      <c r="A32" s="171" t="s">
        <v>40</v>
      </c>
      <c r="B32" s="37">
        <f>IF( ISERROR(IND_voed_ele_kWh/1000),0,IND_voed_ele_kWh/1000)</f>
        <v>41039.667000000001</v>
      </c>
      <c r="C32" s="39">
        <f>IF(ISERROR(B32*3.6/1000000/'E Balans VL '!Z20*100),0,B32*3.6/1000000/'E Balans VL '!Z20*100)</f>
        <v>6.8561407042469034</v>
      </c>
      <c r="D32" s="237" t="s">
        <v>659</v>
      </c>
    </row>
    <row r="33" spans="1:5">
      <c r="A33" s="171" t="s">
        <v>39</v>
      </c>
      <c r="B33" s="37">
        <f>IF( ISERROR(IND_textiel_ele_kWh/1000),0,IND_textiel_ele_kWh/1000)</f>
        <v>5699.2489999999998</v>
      </c>
      <c r="C33" s="39">
        <f>IF(ISERROR(B33*3.6/1000000/'E Balans VL '!Z21*100),0,B33*3.6/1000000/'E Balans VL '!Z21*100)</f>
        <v>0.33273921171886051</v>
      </c>
      <c r="D33" s="237" t="s">
        <v>659</v>
      </c>
    </row>
    <row r="34" spans="1:5">
      <c r="A34" s="171" t="s">
        <v>36</v>
      </c>
      <c r="B34" s="37">
        <f>IF( ISERROR(IND_min_ele_kWh/1000),0,IND_min_ele_kWh/1000)</f>
        <v>459.38400000000001</v>
      </c>
      <c r="C34" s="39">
        <f>IF(ISERROR(B34*3.6/1000000/'E Balans VL '!Z22*100),0,B34*3.6/1000000/'E Balans VL '!Z22*100)</f>
        <v>5.8229399450594937E-2</v>
      </c>
      <c r="D34" s="237" t="s">
        <v>659</v>
      </c>
    </row>
    <row r="35" spans="1:5">
      <c r="A35" s="171" t="s">
        <v>38</v>
      </c>
      <c r="B35" s="37">
        <f>IF( ISERROR(IND_papier_ele_kWh/1000),0,IND_papier_ele_kWh/1000)</f>
        <v>336.37400000000002</v>
      </c>
      <c r="C35" s="39">
        <f>IF(ISERROR(B35*3.6/1000000/'E Balans VL '!Z22*100),0,B35*3.6/1000000/'E Balans VL '!Z22*100)</f>
        <v>4.263721855962424E-2</v>
      </c>
      <c r="D35" s="237" t="s">
        <v>659</v>
      </c>
    </row>
    <row r="36" spans="1:5">
      <c r="A36" s="171" t="s">
        <v>33</v>
      </c>
      <c r="B36" s="37">
        <f>IF( ISERROR(IND_chemie_ele_kWh/1000),0,IND_chemie_ele_kWh/1000)</f>
        <v>389.77600000000001</v>
      </c>
      <c r="C36" s="39">
        <f>IF(ISERROR(B36*3.6/1000000/'E Balans VL '!Z24*100),0,B36*3.6/1000000/'E Balans VL '!Z24*100)</f>
        <v>1.2659937049386583E-2</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1987.848</v>
      </c>
      <c r="C5" s="17">
        <f>'Eigen informatie GS &amp; warmtenet'!B60</f>
        <v>0</v>
      </c>
      <c r="D5" s="30">
        <f>IF(ISERROR(SUM(LB_lb_gas_kWh,LB_rest_gas_kWh)/1000),0,SUM(LB_lb_gas_kWh,LB_rest_gas_kWh)/1000)*0.902</f>
        <v>7367.2647745099039</v>
      </c>
      <c r="E5" s="17">
        <f>B17*'E Balans VL '!I25/3.6*1000000/100</f>
        <v>51.258967466104302</v>
      </c>
      <c r="F5" s="17">
        <f>B17*('E Balans VL '!L25/3.6*1000000+'E Balans VL '!N25/3.6*1000000)/100</f>
        <v>7265.9630072618847</v>
      </c>
      <c r="G5" s="18"/>
      <c r="H5" s="17"/>
      <c r="I5" s="17"/>
      <c r="J5" s="17">
        <f>('E Balans VL '!D25+'E Balans VL '!E25)/3.6*1000000*landbouw!B17/100</f>
        <v>286.17698571730858</v>
      </c>
      <c r="K5" s="17"/>
      <c r="L5" s="17">
        <f>L6*(-1)</f>
        <v>0</v>
      </c>
      <c r="M5" s="17"/>
      <c r="N5" s="17">
        <f>N6*(-1)</f>
        <v>0</v>
      </c>
      <c r="O5" s="17"/>
      <c r="P5" s="17"/>
      <c r="R5" s="32"/>
    </row>
    <row r="6" spans="1:18">
      <c r="A6" s="16" t="s">
        <v>490</v>
      </c>
      <c r="B6" s="17" t="s">
        <v>210</v>
      </c>
      <c r="C6" s="17">
        <f>'lokale energieproductie'!O39+'lokale energieproductie'!O32</f>
        <v>5361.4285714285716</v>
      </c>
      <c r="D6" s="308">
        <f>('lokale energieproductie'!P32+'lokale energieproductie'!P39)*(-1)</f>
        <v>-10722.857142857143</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1987.848</v>
      </c>
      <c r="C8" s="21">
        <f>C5+C6</f>
        <v>5361.4285714285716</v>
      </c>
      <c r="D8" s="21">
        <f>MAX((D5+D6),0)</f>
        <v>0</v>
      </c>
      <c r="E8" s="21">
        <f>MAX((E5+E6),0)</f>
        <v>51.258967466104302</v>
      </c>
      <c r="F8" s="21">
        <f>MAX((F5+F6),0)</f>
        <v>7265.9630072618847</v>
      </c>
      <c r="G8" s="21"/>
      <c r="H8" s="21"/>
      <c r="I8" s="21"/>
      <c r="J8" s="21">
        <f>MAX((J5+J6),0)</f>
        <v>286.17698571730858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0.18125606959111737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360.30951542456347</v>
      </c>
      <c r="C12" s="23">
        <f ca="1">C8*C10</f>
        <v>1274.127731092437</v>
      </c>
      <c r="D12" s="23">
        <f>D8*D10</f>
        <v>0</v>
      </c>
      <c r="E12" s="23">
        <f>E8*E10</f>
        <v>11.635785614805677</v>
      </c>
      <c r="F12" s="23">
        <f>F8*F10</f>
        <v>1940.0121229389233</v>
      </c>
      <c r="G12" s="23"/>
      <c r="H12" s="23"/>
      <c r="I12" s="23"/>
      <c r="J12" s="23">
        <f>J8*J10</f>
        <v>101.30665294392723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0.28029973520990531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78.310710031406515</v>
      </c>
      <c r="C26" s="247">
        <f>B26*'GWP N2O_CH4'!B5</f>
        <v>1644.5249106595368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101.78187451886882</v>
      </c>
      <c r="C27" s="247">
        <f>B27*'GWP N2O_CH4'!B5</f>
        <v>2137.419364896245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1.3356340394020312</v>
      </c>
      <c r="C28" s="247">
        <f>B28*'GWP N2O_CH4'!B4</f>
        <v>414.04655221462968</v>
      </c>
      <c r="D28" s="50"/>
    </row>
    <row r="29" spans="1:4">
      <c r="A29" s="41" t="s">
        <v>276</v>
      </c>
      <c r="B29" s="247">
        <f>B34*'ha_N2O bodem landbouw'!B4</f>
        <v>5.8929082309309138</v>
      </c>
      <c r="C29" s="247">
        <f>B29*'GWP N2O_CH4'!B4</f>
        <v>1826.8015515885832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1.3262245819080198E-3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1.0077349335441745E-4</v>
      </c>
      <c r="C5" s="437" t="s">
        <v>210</v>
      </c>
      <c r="D5" s="422">
        <f>SUM(D6:D11)</f>
        <v>2.2292520901354167E-4</v>
      </c>
      <c r="E5" s="422">
        <f>SUM(E6:E11)</f>
        <v>1.0497544312043114E-3</v>
      </c>
      <c r="F5" s="435" t="s">
        <v>210</v>
      </c>
      <c r="G5" s="422">
        <f>SUM(G6:G11)</f>
        <v>0.45275109383228385</v>
      </c>
      <c r="H5" s="422">
        <f>SUM(H6:H11)</f>
        <v>7.6496728119796117E-2</v>
      </c>
      <c r="I5" s="437" t="s">
        <v>210</v>
      </c>
      <c r="J5" s="437" t="s">
        <v>210</v>
      </c>
      <c r="K5" s="437" t="s">
        <v>210</v>
      </c>
      <c r="L5" s="437" t="s">
        <v>210</v>
      </c>
      <c r="M5" s="422">
        <f>SUM(M6:M11)</f>
        <v>1.6536104451606904E-2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3.5720604215812451E-5</v>
      </c>
      <c r="C6" s="423"/>
      <c r="D6" s="865">
        <f>vkm_GW_PW*SUMIFS(TableVerdeelsleutelVkm[CNG],TableVerdeelsleutelVkm[Voertuigtype],"Lichte voertuigen")*SUMIFS(TableECFTransport[EnergieConsumptieFactor (PJ per km)],TableECFTransport[Index],CONCATENATE($A6,"_CNG_CNG"))</f>
        <v>6.4392699912078466E-5</v>
      </c>
      <c r="E6" s="865">
        <f>vkm_GW_PW*SUMIFS(TableVerdeelsleutelVkm[LPG],TableVerdeelsleutelVkm[Voertuigtype],"Lichte voertuigen")*SUMIFS(TableECFTransport[EnergieConsumptieFactor (PJ per km)],TableECFTransport[Index],CONCATENATE($A6,"_LPG_LPG"))</f>
        <v>2.9088927493138811E-4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7.9470552867105859E-2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2.210954352196854E-2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3.1627765228445762E-3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6.381234588545702E-2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1.1514819894847615E-6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2.0075399786641775E-3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3.24443104386474E-5</v>
      </c>
      <c r="C8" s="423"/>
      <c r="D8" s="425">
        <f>vkm_NGW_PW*SUMIFS(TableVerdeelsleutelVkm[CNG],TableVerdeelsleutelVkm[Voertuigtype],"Lichte voertuigen")*SUMIFS(TableECFTransport[EnergieConsumptieFactor (PJ per km)],TableECFTransport[Index],CONCATENATE($A8,"_CNG_CNG"))</f>
        <v>9.9410395542727043E-5</v>
      </c>
      <c r="E8" s="425">
        <f>vkm_NGW_PW*SUMIFS(TableVerdeelsleutelVkm[LPG],TableVerdeelsleutelVkm[Voertuigtype],"Lichte voertuigen")*SUMIFS(TableECFTransport[EnergieConsumptieFactor (PJ per km)],TableECFTransport[Index],CONCATENATE($A8,"_LPG_LPG"))</f>
        <v>4.2627213488735422E-4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0.10934846845799562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3.3169410898294636E-2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4.4342097176219581E-3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4.7546496718905637E-2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1.0591264004476861E-6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1.4958214812406405E-3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3.26085786999576E-5</v>
      </c>
      <c r="C10" s="423"/>
      <c r="D10" s="425">
        <f>vkm_SW_PW*SUMIFS(TableVerdeelsleutelVkm[CNG],TableVerdeelsleutelVkm[Voertuigtype],"Lichte voertuigen")*SUMIFS(TableECFTransport[EnergieConsumptieFactor (PJ per km)],TableECFTransport[Index],CONCATENATE($A10,"_CNG_CNG"))</f>
        <v>5.912211355873618E-5</v>
      </c>
      <c r="E10" s="425">
        <f>vkm_SW_PW*SUMIFS(TableVerdeelsleutelVkm[LPG],TableVerdeelsleutelVkm[Voertuigtype],"Lichte voertuigen")*SUMIFS(TableECFTransport[EnergieConsumptieFactor (PJ per km)],TableECFTransport[Index],CONCATENATE($A10,"_LPG_LPG"))</f>
        <v>3.3259302138556905E-4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8.1548649477374585E-2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2.1214194054678261E-2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3.2013168497492493E-3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7.1024580425445155E-2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1.3690364647426904E-6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2.2344399014863022E-3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27.992637042893737</v>
      </c>
      <c r="C14" s="21"/>
      <c r="D14" s="21">
        <f t="shared" ref="D14:M14" si="0">((D5)*10^9/3600)+D12</f>
        <v>61.923669170428241</v>
      </c>
      <c r="E14" s="21">
        <f t="shared" si="0"/>
        <v>291.59845311230868</v>
      </c>
      <c r="F14" s="21"/>
      <c r="G14" s="21">
        <f t="shared" si="0"/>
        <v>125764.19273118996</v>
      </c>
      <c r="H14" s="21">
        <f t="shared" si="0"/>
        <v>21249.09114438781</v>
      </c>
      <c r="I14" s="21"/>
      <c r="J14" s="21"/>
      <c r="K14" s="21"/>
      <c r="L14" s="21"/>
      <c r="M14" s="21">
        <f t="shared" si="0"/>
        <v>4593.3623476685843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0.18125606959111737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5.0738353678856374</v>
      </c>
      <c r="C18" s="23"/>
      <c r="D18" s="23">
        <f t="shared" ref="D18:M18" si="1">D14*D16</f>
        <v>12.508581172426505</v>
      </c>
      <c r="E18" s="23">
        <f t="shared" si="1"/>
        <v>66.192848856494066</v>
      </c>
      <c r="F18" s="23"/>
      <c r="G18" s="23">
        <f t="shared" si="1"/>
        <v>33579.039459227723</v>
      </c>
      <c r="H18" s="23">
        <f t="shared" si="1"/>
        <v>5291.0236949525652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2.3399145191777188E-3</v>
      </c>
      <c r="H50" s="319">
        <f t="shared" si="2"/>
        <v>0</v>
      </c>
      <c r="I50" s="319">
        <f t="shared" si="2"/>
        <v>0</v>
      </c>
      <c r="J50" s="319">
        <f t="shared" si="2"/>
        <v>0</v>
      </c>
      <c r="K50" s="319">
        <f t="shared" si="2"/>
        <v>0</v>
      </c>
      <c r="L50" s="319">
        <f t="shared" si="2"/>
        <v>0</v>
      </c>
      <c r="M50" s="319">
        <f t="shared" si="2"/>
        <v>7.2487292361810772E-5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2.3399145191777188E-3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7.2487292361810772E-5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649.97625532714414</v>
      </c>
      <c r="H54" s="21">
        <f t="shared" si="3"/>
        <v>0</v>
      </c>
      <c r="I54" s="21">
        <f t="shared" si="3"/>
        <v>0</v>
      </c>
      <c r="J54" s="21">
        <f t="shared" si="3"/>
        <v>0</v>
      </c>
      <c r="K54" s="21">
        <f t="shared" si="3"/>
        <v>0</v>
      </c>
      <c r="L54" s="21">
        <f t="shared" si="3"/>
        <v>0</v>
      </c>
      <c r="M54" s="21">
        <f t="shared" si="3"/>
        <v>20.135358989391882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0.18125606959111737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173.5436601723475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37317.050999999999</v>
      </c>
      <c r="D10" s="978">
        <f ca="1">tertiair!C16</f>
        <v>0</v>
      </c>
      <c r="E10" s="978">
        <f ca="1">tertiair!D16</f>
        <v>32785.449267813005</v>
      </c>
      <c r="F10" s="978">
        <f>tertiair!E16</f>
        <v>695.11290521287253</v>
      </c>
      <c r="G10" s="978">
        <f ca="1">tertiair!F16</f>
        <v>8407.766142529661</v>
      </c>
      <c r="H10" s="978">
        <f>tertiair!G16</f>
        <v>0</v>
      </c>
      <c r="I10" s="978">
        <f>tertiair!H16</f>
        <v>0</v>
      </c>
      <c r="J10" s="978">
        <f>tertiair!I16</f>
        <v>0</v>
      </c>
      <c r="K10" s="978">
        <f>tertiair!J16</f>
        <v>0</v>
      </c>
      <c r="L10" s="978">
        <f>tertiair!K16</f>
        <v>0</v>
      </c>
      <c r="M10" s="978">
        <f ca="1">tertiair!L16</f>
        <v>0</v>
      </c>
      <c r="N10" s="978">
        <f>tertiair!M16</f>
        <v>0</v>
      </c>
      <c r="O10" s="978">
        <f ca="1">tertiair!N16</f>
        <v>2279.1425415942517</v>
      </c>
      <c r="P10" s="978">
        <f>tertiair!O16</f>
        <v>4.6900000000000004</v>
      </c>
      <c r="Q10" s="979">
        <f>tertiair!P16</f>
        <v>57.2</v>
      </c>
      <c r="R10" s="674">
        <f ca="1">SUM(C10:Q10)</f>
        <v>81546.411857149782</v>
      </c>
      <c r="S10" s="67"/>
    </row>
    <row r="11" spans="1:19" s="447" customFormat="1">
      <c r="A11" s="783" t="s">
        <v>224</v>
      </c>
      <c r="B11" s="788"/>
      <c r="C11" s="978">
        <f>huishoudens!B8</f>
        <v>43281.842654353561</v>
      </c>
      <c r="D11" s="978">
        <f>huishoudens!C8</f>
        <v>0</v>
      </c>
      <c r="E11" s="978">
        <f>huishoudens!D8</f>
        <v>120980.65495626</v>
      </c>
      <c r="F11" s="978">
        <f>huishoudens!E8</f>
        <v>25775.356060030364</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29505.356597108235</v>
      </c>
      <c r="P11" s="978">
        <f>huishoudens!O8</f>
        <v>504.95666666666671</v>
      </c>
      <c r="Q11" s="979">
        <f>huishoudens!P8</f>
        <v>400.4</v>
      </c>
      <c r="R11" s="674">
        <f>SUM(C11:Q11)</f>
        <v>220448.56693441884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80174.930999999997</v>
      </c>
      <c r="D13" s="978">
        <f>industrie!C18</f>
        <v>0</v>
      </c>
      <c r="E13" s="978">
        <f>industrie!D18</f>
        <v>41697.885593907398</v>
      </c>
      <c r="F13" s="978">
        <f>industrie!E18</f>
        <v>5769.9928627019772</v>
      </c>
      <c r="G13" s="978">
        <f>industrie!F18</f>
        <v>30536.497307199879</v>
      </c>
      <c r="H13" s="978">
        <f>industrie!G18</f>
        <v>0</v>
      </c>
      <c r="I13" s="978">
        <f>industrie!H18</f>
        <v>0</v>
      </c>
      <c r="J13" s="978">
        <f>industrie!I18</f>
        <v>0</v>
      </c>
      <c r="K13" s="978">
        <f>industrie!J18</f>
        <v>23.053619594453249</v>
      </c>
      <c r="L13" s="978">
        <f>industrie!K18</f>
        <v>0</v>
      </c>
      <c r="M13" s="978">
        <f>industrie!L18</f>
        <v>0</v>
      </c>
      <c r="N13" s="978">
        <f>industrie!M18</f>
        <v>0</v>
      </c>
      <c r="O13" s="978">
        <f>industrie!N18</f>
        <v>17564.613288944958</v>
      </c>
      <c r="P13" s="978">
        <f>industrie!O18</f>
        <v>0</v>
      </c>
      <c r="Q13" s="979">
        <f>industrie!P18</f>
        <v>0</v>
      </c>
      <c r="R13" s="674">
        <f>SUM(C13:Q13)</f>
        <v>175766.97367234869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160773.82465435355</v>
      </c>
      <c r="D16" s="706">
        <f t="shared" ref="D16:R16" ca="1" si="0">SUM(D9:D15)</f>
        <v>0</v>
      </c>
      <c r="E16" s="706">
        <f t="shared" ca="1" si="0"/>
        <v>195463.98981798039</v>
      </c>
      <c r="F16" s="706">
        <f t="shared" si="0"/>
        <v>32240.461827945212</v>
      </c>
      <c r="G16" s="706">
        <f t="shared" ca="1" si="0"/>
        <v>38944.263449729537</v>
      </c>
      <c r="H16" s="706">
        <f t="shared" si="0"/>
        <v>0</v>
      </c>
      <c r="I16" s="706">
        <f t="shared" si="0"/>
        <v>0</v>
      </c>
      <c r="J16" s="706">
        <f t="shared" si="0"/>
        <v>0</v>
      </c>
      <c r="K16" s="706">
        <f t="shared" si="0"/>
        <v>23.053619594453249</v>
      </c>
      <c r="L16" s="706">
        <f t="shared" si="0"/>
        <v>0</v>
      </c>
      <c r="M16" s="706">
        <f t="shared" ca="1" si="0"/>
        <v>0</v>
      </c>
      <c r="N16" s="706">
        <f t="shared" si="0"/>
        <v>0</v>
      </c>
      <c r="O16" s="706">
        <f t="shared" ca="1" si="0"/>
        <v>49349.112427647444</v>
      </c>
      <c r="P16" s="706">
        <f t="shared" si="0"/>
        <v>509.6466666666667</v>
      </c>
      <c r="Q16" s="706">
        <f t="shared" si="0"/>
        <v>457.59999999999997</v>
      </c>
      <c r="R16" s="706">
        <f t="shared" ca="1" si="0"/>
        <v>477761.95246391732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649.97625532714414</v>
      </c>
      <c r="I19" s="978">
        <f>transport!H54</f>
        <v>0</v>
      </c>
      <c r="J19" s="978">
        <f>transport!I54</f>
        <v>0</v>
      </c>
      <c r="K19" s="978">
        <f>transport!J54</f>
        <v>0</v>
      </c>
      <c r="L19" s="978">
        <f>transport!K54</f>
        <v>0</v>
      </c>
      <c r="M19" s="978">
        <f>transport!L54</f>
        <v>0</v>
      </c>
      <c r="N19" s="978">
        <f>transport!M54</f>
        <v>20.135358989391882</v>
      </c>
      <c r="O19" s="978">
        <f>transport!N54</f>
        <v>0</v>
      </c>
      <c r="P19" s="978">
        <f>transport!O54</f>
        <v>0</v>
      </c>
      <c r="Q19" s="979">
        <f>transport!P54</f>
        <v>0</v>
      </c>
      <c r="R19" s="674">
        <f>SUM(C19:Q19)</f>
        <v>670.11161431653602</v>
      </c>
      <c r="S19" s="67"/>
    </row>
    <row r="20" spans="1:19" s="447" customFormat="1">
      <c r="A20" s="783" t="s">
        <v>306</v>
      </c>
      <c r="B20" s="788"/>
      <c r="C20" s="978">
        <f>transport!B14</f>
        <v>27.992637042893737</v>
      </c>
      <c r="D20" s="978">
        <f>transport!C14</f>
        <v>0</v>
      </c>
      <c r="E20" s="978">
        <f>transport!D14</f>
        <v>61.923669170428241</v>
      </c>
      <c r="F20" s="978">
        <f>transport!E14</f>
        <v>291.59845311230868</v>
      </c>
      <c r="G20" s="978">
        <f>transport!F14</f>
        <v>0</v>
      </c>
      <c r="H20" s="978">
        <f>transport!G14</f>
        <v>125764.19273118996</v>
      </c>
      <c r="I20" s="978">
        <f>transport!H14</f>
        <v>21249.09114438781</v>
      </c>
      <c r="J20" s="978">
        <f>transport!I14</f>
        <v>0</v>
      </c>
      <c r="K20" s="978">
        <f>transport!J14</f>
        <v>0</v>
      </c>
      <c r="L20" s="978">
        <f>transport!K14</f>
        <v>0</v>
      </c>
      <c r="M20" s="978">
        <f>transport!L14</f>
        <v>0</v>
      </c>
      <c r="N20" s="978">
        <f>transport!M14</f>
        <v>4593.3623476685843</v>
      </c>
      <c r="O20" s="978">
        <f>transport!N14</f>
        <v>0</v>
      </c>
      <c r="P20" s="978">
        <f>transport!O14</f>
        <v>0</v>
      </c>
      <c r="Q20" s="979">
        <f>transport!P14</f>
        <v>0</v>
      </c>
      <c r="R20" s="674">
        <f>SUM(C20:Q20)</f>
        <v>151988.16098257198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27.992637042893737</v>
      </c>
      <c r="D22" s="786">
        <f t="shared" ref="D22:R22" si="1">SUM(D18:D21)</f>
        <v>0</v>
      </c>
      <c r="E22" s="786">
        <f t="shared" si="1"/>
        <v>61.923669170428241</v>
      </c>
      <c r="F22" s="786">
        <f t="shared" si="1"/>
        <v>291.59845311230868</v>
      </c>
      <c r="G22" s="786">
        <f t="shared" si="1"/>
        <v>0</v>
      </c>
      <c r="H22" s="786">
        <f t="shared" si="1"/>
        <v>126414.16898651711</v>
      </c>
      <c r="I22" s="786">
        <f t="shared" si="1"/>
        <v>21249.09114438781</v>
      </c>
      <c r="J22" s="786">
        <f t="shared" si="1"/>
        <v>0</v>
      </c>
      <c r="K22" s="786">
        <f t="shared" si="1"/>
        <v>0</v>
      </c>
      <c r="L22" s="786">
        <f t="shared" si="1"/>
        <v>0</v>
      </c>
      <c r="M22" s="786">
        <f t="shared" si="1"/>
        <v>0</v>
      </c>
      <c r="N22" s="786">
        <f t="shared" si="1"/>
        <v>4613.4977066579759</v>
      </c>
      <c r="O22" s="786">
        <f t="shared" si="1"/>
        <v>0</v>
      </c>
      <c r="P22" s="786">
        <f t="shared" si="1"/>
        <v>0</v>
      </c>
      <c r="Q22" s="786">
        <f t="shared" si="1"/>
        <v>0</v>
      </c>
      <c r="R22" s="786">
        <f t="shared" si="1"/>
        <v>152658.27259688851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1987.848</v>
      </c>
      <c r="D24" s="978">
        <f>+landbouw!C8</f>
        <v>5361.4285714285716</v>
      </c>
      <c r="E24" s="978">
        <f>+landbouw!D8</f>
        <v>0</v>
      </c>
      <c r="F24" s="978">
        <f>+landbouw!E8</f>
        <v>51.258967466104302</v>
      </c>
      <c r="G24" s="978">
        <f>+landbouw!F8</f>
        <v>7265.9630072618847</v>
      </c>
      <c r="H24" s="978">
        <f>+landbouw!G8</f>
        <v>0</v>
      </c>
      <c r="I24" s="978">
        <f>+landbouw!H8</f>
        <v>0</v>
      </c>
      <c r="J24" s="978">
        <f>+landbouw!I8</f>
        <v>0</v>
      </c>
      <c r="K24" s="978">
        <f>+landbouw!J8</f>
        <v>286.17698571730858</v>
      </c>
      <c r="L24" s="978">
        <f>+landbouw!K8</f>
        <v>0</v>
      </c>
      <c r="M24" s="978">
        <f>+landbouw!L8</f>
        <v>0</v>
      </c>
      <c r="N24" s="978">
        <f>+landbouw!M8</f>
        <v>0</v>
      </c>
      <c r="O24" s="978">
        <f>+landbouw!N8</f>
        <v>0</v>
      </c>
      <c r="P24" s="978">
        <f>+landbouw!O8</f>
        <v>0</v>
      </c>
      <c r="Q24" s="979">
        <f>+landbouw!P8</f>
        <v>0</v>
      </c>
      <c r="R24" s="674">
        <f>SUM(C24:Q24)</f>
        <v>14952.675531873869</v>
      </c>
      <c r="S24" s="67"/>
    </row>
    <row r="25" spans="1:19" s="447" customFormat="1" ht="15" thickBot="1">
      <c r="A25" s="805" t="s">
        <v>834</v>
      </c>
      <c r="B25" s="981"/>
      <c r="C25" s="982">
        <f>IF(Onbekend_ele_kWh="---",0,Onbekend_ele_kWh)/1000+IF(REST_rest_ele_kWh="---",0,REST_rest_ele_kWh)/1000</f>
        <v>1329.89</v>
      </c>
      <c r="D25" s="982"/>
      <c r="E25" s="982">
        <f>IF(onbekend_gas_kWh="---",0,onbekend_gas_kWh)/1000+IF(REST_rest_gas_kWh="---",0,REST_rest_gas_kWh)/1000</f>
        <v>8482.0184809000002</v>
      </c>
      <c r="F25" s="982"/>
      <c r="G25" s="982"/>
      <c r="H25" s="982"/>
      <c r="I25" s="982"/>
      <c r="J25" s="982"/>
      <c r="K25" s="982"/>
      <c r="L25" s="982"/>
      <c r="M25" s="982"/>
      <c r="N25" s="982"/>
      <c r="O25" s="982"/>
      <c r="P25" s="982"/>
      <c r="Q25" s="983"/>
      <c r="R25" s="674">
        <f>SUM(C25:Q25)</f>
        <v>9811.9084808999996</v>
      </c>
      <c r="S25" s="67"/>
    </row>
    <row r="26" spans="1:19" s="447" customFormat="1" ht="15.75" thickBot="1">
      <c r="A26" s="679" t="s">
        <v>835</v>
      </c>
      <c r="B26" s="791"/>
      <c r="C26" s="786">
        <f>SUM(C24:C25)</f>
        <v>3317.7380000000003</v>
      </c>
      <c r="D26" s="786">
        <f t="shared" ref="D26:R26" si="2">SUM(D24:D25)</f>
        <v>5361.4285714285716</v>
      </c>
      <c r="E26" s="786">
        <f t="shared" si="2"/>
        <v>8482.0184809000002</v>
      </c>
      <c r="F26" s="786">
        <f t="shared" si="2"/>
        <v>51.258967466104302</v>
      </c>
      <c r="G26" s="786">
        <f t="shared" si="2"/>
        <v>7265.9630072618847</v>
      </c>
      <c r="H26" s="786">
        <f t="shared" si="2"/>
        <v>0</v>
      </c>
      <c r="I26" s="786">
        <f t="shared" si="2"/>
        <v>0</v>
      </c>
      <c r="J26" s="786">
        <f t="shared" si="2"/>
        <v>0</v>
      </c>
      <c r="K26" s="786">
        <f t="shared" si="2"/>
        <v>286.17698571730858</v>
      </c>
      <c r="L26" s="786">
        <f t="shared" si="2"/>
        <v>0</v>
      </c>
      <c r="M26" s="786">
        <f t="shared" si="2"/>
        <v>0</v>
      </c>
      <c r="N26" s="786">
        <f t="shared" si="2"/>
        <v>0</v>
      </c>
      <c r="O26" s="786">
        <f t="shared" si="2"/>
        <v>0</v>
      </c>
      <c r="P26" s="786">
        <f t="shared" si="2"/>
        <v>0</v>
      </c>
      <c r="Q26" s="786">
        <f t="shared" si="2"/>
        <v>0</v>
      </c>
      <c r="R26" s="786">
        <f t="shared" si="2"/>
        <v>24764.58401277387</v>
      </c>
      <c r="S26" s="67"/>
    </row>
    <row r="27" spans="1:19" s="447" customFormat="1" ht="17.25" thickTop="1" thickBot="1">
      <c r="A27" s="680" t="s">
        <v>115</v>
      </c>
      <c r="B27" s="779"/>
      <c r="C27" s="681">
        <f ca="1">C22+C16+C26</f>
        <v>164119.55529139645</v>
      </c>
      <c r="D27" s="681">
        <f t="shared" ref="D27:R27" ca="1" si="3">D22+D16+D26</f>
        <v>5361.4285714285716</v>
      </c>
      <c r="E27" s="681">
        <f t="shared" ca="1" si="3"/>
        <v>204007.93196805083</v>
      </c>
      <c r="F27" s="681">
        <f t="shared" si="3"/>
        <v>32583.319248523625</v>
      </c>
      <c r="G27" s="681">
        <f t="shared" ca="1" si="3"/>
        <v>46210.226456991419</v>
      </c>
      <c r="H27" s="681">
        <f t="shared" si="3"/>
        <v>126414.16898651711</v>
      </c>
      <c r="I27" s="681">
        <f t="shared" si="3"/>
        <v>21249.09114438781</v>
      </c>
      <c r="J27" s="681">
        <f t="shared" si="3"/>
        <v>0</v>
      </c>
      <c r="K27" s="681">
        <f t="shared" si="3"/>
        <v>309.23060531176185</v>
      </c>
      <c r="L27" s="681">
        <f t="shared" si="3"/>
        <v>0</v>
      </c>
      <c r="M27" s="681">
        <f t="shared" ca="1" si="3"/>
        <v>0</v>
      </c>
      <c r="N27" s="681">
        <f t="shared" si="3"/>
        <v>4613.4977066579759</v>
      </c>
      <c r="O27" s="681">
        <f t="shared" ca="1" si="3"/>
        <v>49349.112427647444</v>
      </c>
      <c r="P27" s="681">
        <f t="shared" si="3"/>
        <v>509.6466666666667</v>
      </c>
      <c r="Q27" s="681">
        <f t="shared" si="3"/>
        <v>457.59999999999997</v>
      </c>
      <c r="R27" s="681">
        <f t="shared" ca="1" si="3"/>
        <v>655184.80907357961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6763.9419929912765</v>
      </c>
      <c r="D40" s="978">
        <f ca="1">tertiair!C20</f>
        <v>0</v>
      </c>
      <c r="E40" s="978">
        <f ca="1">tertiair!D20</f>
        <v>6622.660752098227</v>
      </c>
      <c r="F40" s="978">
        <f>tertiair!E20</f>
        <v>157.79062948332208</v>
      </c>
      <c r="G40" s="978">
        <f ca="1">tertiair!F20</f>
        <v>2244.8735600554196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15789.266934628246</v>
      </c>
    </row>
    <row r="41" spans="1:18">
      <c r="A41" s="796" t="s">
        <v>224</v>
      </c>
      <c r="B41" s="803"/>
      <c r="C41" s="978">
        <f ca="1">huishoudens!B12</f>
        <v>7845.0966841893014</v>
      </c>
      <c r="D41" s="978">
        <f ca="1">huishoudens!C12</f>
        <v>0</v>
      </c>
      <c r="E41" s="978">
        <f>huishoudens!D12</f>
        <v>24438.092301164521</v>
      </c>
      <c r="F41" s="978">
        <f>huishoudens!E12</f>
        <v>5851.0058256268931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38134.194810980713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14532.192872799033</v>
      </c>
      <c r="D43" s="978">
        <f ca="1">industrie!C22</f>
        <v>0</v>
      </c>
      <c r="E43" s="978">
        <f>industrie!D22</f>
        <v>8422.9728899692946</v>
      </c>
      <c r="F43" s="978">
        <f>industrie!E22</f>
        <v>1309.7883798333489</v>
      </c>
      <c r="G43" s="978">
        <f>industrie!F22</f>
        <v>8153.2447810223684</v>
      </c>
      <c r="H43" s="978">
        <f>industrie!G22</f>
        <v>0</v>
      </c>
      <c r="I43" s="978">
        <f>industrie!H22</f>
        <v>0</v>
      </c>
      <c r="J43" s="978">
        <f>industrie!I22</f>
        <v>0</v>
      </c>
      <c r="K43" s="978">
        <f>industrie!J22</f>
        <v>8.1609813364364499</v>
      </c>
      <c r="L43" s="978">
        <f>industrie!K22</f>
        <v>0</v>
      </c>
      <c r="M43" s="978">
        <f>industrie!L22</f>
        <v>0</v>
      </c>
      <c r="N43" s="978">
        <f>industrie!M22</f>
        <v>0</v>
      </c>
      <c r="O43" s="978">
        <f>industrie!N22</f>
        <v>0</v>
      </c>
      <c r="P43" s="978">
        <f>industrie!O22</f>
        <v>0</v>
      </c>
      <c r="Q43" s="748">
        <f>industrie!P22</f>
        <v>0</v>
      </c>
      <c r="R43" s="823">
        <f t="shared" ca="1" si="4"/>
        <v>32426.359904960482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29141.23154997961</v>
      </c>
      <c r="D46" s="706">
        <f t="shared" ref="D46:Q46" ca="1" si="5">SUM(D39:D45)</f>
        <v>0</v>
      </c>
      <c r="E46" s="706">
        <f t="shared" ca="1" si="5"/>
        <v>39483.725943232042</v>
      </c>
      <c r="F46" s="706">
        <f t="shared" si="5"/>
        <v>7318.5848349435637</v>
      </c>
      <c r="G46" s="706">
        <f t="shared" ca="1" si="5"/>
        <v>10398.118341077789</v>
      </c>
      <c r="H46" s="706">
        <f t="shared" si="5"/>
        <v>0</v>
      </c>
      <c r="I46" s="706">
        <f t="shared" si="5"/>
        <v>0</v>
      </c>
      <c r="J46" s="706">
        <f t="shared" si="5"/>
        <v>0</v>
      </c>
      <c r="K46" s="706">
        <f t="shared" si="5"/>
        <v>8.1609813364364499</v>
      </c>
      <c r="L46" s="706">
        <f t="shared" si="5"/>
        <v>0</v>
      </c>
      <c r="M46" s="706">
        <f t="shared" ca="1" si="5"/>
        <v>0</v>
      </c>
      <c r="N46" s="706">
        <f t="shared" si="5"/>
        <v>0</v>
      </c>
      <c r="O46" s="706">
        <f t="shared" ca="1" si="5"/>
        <v>0</v>
      </c>
      <c r="P46" s="706">
        <f t="shared" si="5"/>
        <v>0</v>
      </c>
      <c r="Q46" s="706">
        <f t="shared" si="5"/>
        <v>0</v>
      </c>
      <c r="R46" s="706">
        <f ca="1">SUM(R39:R45)</f>
        <v>86349.821650569444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173.5436601723475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173.5436601723475</v>
      </c>
    </row>
    <row r="50" spans="1:18">
      <c r="A50" s="799" t="s">
        <v>306</v>
      </c>
      <c r="B50" s="809"/>
      <c r="C50" s="677">
        <f ca="1">transport!B18</f>
        <v>5.0738353678856374</v>
      </c>
      <c r="D50" s="677">
        <f>transport!C18</f>
        <v>0</v>
      </c>
      <c r="E50" s="677">
        <f>transport!D18</f>
        <v>12.508581172426505</v>
      </c>
      <c r="F50" s="677">
        <f>transport!E18</f>
        <v>66.192848856494066</v>
      </c>
      <c r="G50" s="677">
        <f>transport!F18</f>
        <v>0</v>
      </c>
      <c r="H50" s="677">
        <f>transport!G18</f>
        <v>33579.039459227723</v>
      </c>
      <c r="I50" s="677">
        <f>transport!H18</f>
        <v>5291.0236949525652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38953.838419577092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5.0738353678856374</v>
      </c>
      <c r="D52" s="706">
        <f t="shared" ref="D52:Q52" ca="1" si="6">SUM(D48:D51)</f>
        <v>0</v>
      </c>
      <c r="E52" s="706">
        <f t="shared" si="6"/>
        <v>12.508581172426505</v>
      </c>
      <c r="F52" s="706">
        <f t="shared" si="6"/>
        <v>66.192848856494066</v>
      </c>
      <c r="G52" s="706">
        <f t="shared" si="6"/>
        <v>0</v>
      </c>
      <c r="H52" s="706">
        <f t="shared" si="6"/>
        <v>33752.583119400071</v>
      </c>
      <c r="I52" s="706">
        <f t="shared" si="6"/>
        <v>5291.0236949525652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39127.382079749441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360.30951542456347</v>
      </c>
      <c r="D54" s="677">
        <f ca="1">+landbouw!C12</f>
        <v>1274.127731092437</v>
      </c>
      <c r="E54" s="677">
        <f>+landbouw!D12</f>
        <v>0</v>
      </c>
      <c r="F54" s="677">
        <f>+landbouw!E12</f>
        <v>11.635785614805677</v>
      </c>
      <c r="G54" s="677">
        <f>+landbouw!F12</f>
        <v>1940.0121229389233</v>
      </c>
      <c r="H54" s="677">
        <f>+landbouw!G12</f>
        <v>0</v>
      </c>
      <c r="I54" s="677">
        <f>+landbouw!H12</f>
        <v>0</v>
      </c>
      <c r="J54" s="677">
        <f>+landbouw!I12</f>
        <v>0</v>
      </c>
      <c r="K54" s="677">
        <f>+landbouw!J12</f>
        <v>101.30665294392723</v>
      </c>
      <c r="L54" s="677">
        <f>+landbouw!K12</f>
        <v>0</v>
      </c>
      <c r="M54" s="677">
        <f>+landbouw!L12</f>
        <v>0</v>
      </c>
      <c r="N54" s="677">
        <f>+landbouw!M12</f>
        <v>0</v>
      </c>
      <c r="O54" s="677">
        <f>+landbouw!N12</f>
        <v>0</v>
      </c>
      <c r="P54" s="677">
        <f>+landbouw!O12</f>
        <v>0</v>
      </c>
      <c r="Q54" s="678">
        <f>+landbouw!P12</f>
        <v>0</v>
      </c>
      <c r="R54" s="705">
        <f ca="1">SUM(C54:Q54)</f>
        <v>3687.3918080146564</v>
      </c>
    </row>
    <row r="55" spans="1:18" ht="15" thickBot="1">
      <c r="A55" s="799" t="s">
        <v>834</v>
      </c>
      <c r="B55" s="809"/>
      <c r="C55" s="677">
        <f ca="1">C25*'EF ele_warmte'!B12</f>
        <v>241.05063438853111</v>
      </c>
      <c r="D55" s="677"/>
      <c r="E55" s="677">
        <f>E25*EF_CO2_aardgas</f>
        <v>1713.3677331418</v>
      </c>
      <c r="F55" s="677"/>
      <c r="G55" s="677"/>
      <c r="H55" s="677"/>
      <c r="I55" s="677"/>
      <c r="J55" s="677"/>
      <c r="K55" s="677"/>
      <c r="L55" s="677"/>
      <c r="M55" s="677"/>
      <c r="N55" s="677"/>
      <c r="O55" s="677"/>
      <c r="P55" s="677"/>
      <c r="Q55" s="678"/>
      <c r="R55" s="705">
        <f ca="1">SUM(C55:Q55)</f>
        <v>1954.4183675303311</v>
      </c>
    </row>
    <row r="56" spans="1:18" ht="15.75" thickBot="1">
      <c r="A56" s="797" t="s">
        <v>835</v>
      </c>
      <c r="B56" s="810"/>
      <c r="C56" s="706">
        <f ca="1">SUM(C54:C55)</f>
        <v>601.36014981309461</v>
      </c>
      <c r="D56" s="706">
        <f t="shared" ref="D56:Q56" ca="1" si="7">SUM(D54:D55)</f>
        <v>1274.127731092437</v>
      </c>
      <c r="E56" s="706">
        <f t="shared" si="7"/>
        <v>1713.3677331418</v>
      </c>
      <c r="F56" s="706">
        <f t="shared" si="7"/>
        <v>11.635785614805677</v>
      </c>
      <c r="G56" s="706">
        <f t="shared" si="7"/>
        <v>1940.0121229389233</v>
      </c>
      <c r="H56" s="706">
        <f t="shared" si="7"/>
        <v>0</v>
      </c>
      <c r="I56" s="706">
        <f t="shared" si="7"/>
        <v>0</v>
      </c>
      <c r="J56" s="706">
        <f t="shared" si="7"/>
        <v>0</v>
      </c>
      <c r="K56" s="706">
        <f t="shared" si="7"/>
        <v>101.30665294392723</v>
      </c>
      <c r="L56" s="706">
        <f t="shared" si="7"/>
        <v>0</v>
      </c>
      <c r="M56" s="706">
        <f t="shared" si="7"/>
        <v>0</v>
      </c>
      <c r="N56" s="706">
        <f t="shared" si="7"/>
        <v>0</v>
      </c>
      <c r="O56" s="706">
        <f t="shared" si="7"/>
        <v>0</v>
      </c>
      <c r="P56" s="706">
        <f t="shared" si="7"/>
        <v>0</v>
      </c>
      <c r="Q56" s="707">
        <f t="shared" si="7"/>
        <v>0</v>
      </c>
      <c r="R56" s="708">
        <f ca="1">SUM(R54:R55)</f>
        <v>5641.8101755449879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29747.665535160591</v>
      </c>
      <c r="D61" s="714">
        <f t="shared" ref="D61:Q61" ca="1" si="8">D46+D52+D56</f>
        <v>1274.127731092437</v>
      </c>
      <c r="E61" s="714">
        <f t="shared" ca="1" si="8"/>
        <v>41209.60225754627</v>
      </c>
      <c r="F61" s="714">
        <f t="shared" si="8"/>
        <v>7396.4134694148643</v>
      </c>
      <c r="G61" s="714">
        <f t="shared" ca="1" si="8"/>
        <v>12338.130464016711</v>
      </c>
      <c r="H61" s="714">
        <f t="shared" si="8"/>
        <v>33752.583119400071</v>
      </c>
      <c r="I61" s="714">
        <f t="shared" si="8"/>
        <v>5291.0236949525652</v>
      </c>
      <c r="J61" s="714">
        <f t="shared" si="8"/>
        <v>0</v>
      </c>
      <c r="K61" s="714">
        <f t="shared" si="8"/>
        <v>109.46763428036368</v>
      </c>
      <c r="L61" s="714">
        <f t="shared" si="8"/>
        <v>0</v>
      </c>
      <c r="M61" s="714">
        <f t="shared" ca="1" si="8"/>
        <v>0</v>
      </c>
      <c r="N61" s="714">
        <f t="shared" si="8"/>
        <v>0</v>
      </c>
      <c r="O61" s="714">
        <f t="shared" ca="1" si="8"/>
        <v>0</v>
      </c>
      <c r="P61" s="714">
        <f t="shared" si="8"/>
        <v>0</v>
      </c>
      <c r="Q61" s="714">
        <f t="shared" si="8"/>
        <v>0</v>
      </c>
      <c r="R61" s="714">
        <f ca="1">R46+R52+R56</f>
        <v>131119.01390586386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0.18125606959111737</v>
      </c>
      <c r="D63" s="755">
        <f t="shared" ca="1" si="9"/>
        <v>0.23764705882352941</v>
      </c>
      <c r="E63" s="989">
        <f t="shared" ca="1" si="9"/>
        <v>0.20200000000000001</v>
      </c>
      <c r="F63" s="755">
        <f t="shared" si="9"/>
        <v>0.22700000000000004</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22224.526317281263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7572.906243817064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3753</v>
      </c>
      <c r="D76" s="999">
        <f>'lokale energieproductie'!C8</f>
        <v>4415.2941176470586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891.88941176470587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29797.432561098329</v>
      </c>
      <c r="C78" s="729">
        <f>SUM(C72:C77)</f>
        <v>3753</v>
      </c>
      <c r="D78" s="730">
        <f t="shared" ref="D78:H78" si="10">SUM(D76:D77)</f>
        <v>4415.2941176470586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891.88941176470587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5361.4285714285716</v>
      </c>
      <c r="D87" s="751">
        <f>'lokale energieproductie'!C17</f>
        <v>6307.5630252100837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1274.127731092437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5361.4285714285716</v>
      </c>
      <c r="D90" s="729">
        <f t="shared" ref="D90:H90" si="12">SUM(D87:D89)</f>
        <v>6307.5630252100837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1274.127731092437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22224.526317281263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7572.906243817064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3753</v>
      </c>
      <c r="C8" s="544">
        <f>B48</f>
        <v>4415.2941176470586</v>
      </c>
      <c r="D8" s="1009"/>
      <c r="E8" s="1009">
        <f>E48</f>
        <v>0</v>
      </c>
      <c r="F8" s="1010"/>
      <c r="G8" s="545"/>
      <c r="H8" s="1009">
        <f>I48</f>
        <v>0</v>
      </c>
      <c r="I8" s="1009">
        <f>G48+F48</f>
        <v>0</v>
      </c>
      <c r="J8" s="1009">
        <f>H48+D48+C48</f>
        <v>0</v>
      </c>
      <c r="K8" s="1009"/>
      <c r="L8" s="1009"/>
      <c r="M8" s="1009"/>
      <c r="N8" s="546"/>
      <c r="O8" s="547">
        <f>C8*$C$12+D8*$D$12+E8*$E$12+F8*$F$12+G8*$G$12+H8*$H$12+I8*$I$12+J8*$J$12</f>
        <v>891.88941176470587</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33550.432561098329</v>
      </c>
      <c r="C10" s="557">
        <f t="shared" ref="C10:L10" si="0">SUM(C8:C9)</f>
        <v>4415.2941176470586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891.88941176470587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5361.4285714285716</v>
      </c>
      <c r="C17" s="569">
        <f>B49</f>
        <v>6307.5630252100837</v>
      </c>
      <c r="D17" s="570"/>
      <c r="E17" s="570">
        <f>E49</f>
        <v>0</v>
      </c>
      <c r="F17" s="1015"/>
      <c r="G17" s="571"/>
      <c r="H17" s="569">
        <f>I49</f>
        <v>0</v>
      </c>
      <c r="I17" s="570">
        <f>G49+F49</f>
        <v>0</v>
      </c>
      <c r="J17" s="570">
        <f>H49+D49+C49</f>
        <v>0</v>
      </c>
      <c r="K17" s="570"/>
      <c r="L17" s="570"/>
      <c r="M17" s="570"/>
      <c r="N17" s="1016"/>
      <c r="O17" s="572">
        <f>C17*$C$22+E17*$E$22+H17*$H$22+I17*$I$22+J17*$J$22+D17*$D$22+F17*$F$22+G17*$G$22+K17*$K$22+L17*$L$22</f>
        <v>1274.127731092437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5361.4285714285716</v>
      </c>
      <c r="C20" s="556">
        <f>SUM(C17:C19)</f>
        <v>6307.5630252100837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1274.127731092437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36008</v>
      </c>
      <c r="C28" s="770">
        <v>8870</v>
      </c>
      <c r="D28" s="627" t="s">
        <v>896</v>
      </c>
      <c r="E28" s="626" t="s">
        <v>897</v>
      </c>
      <c r="F28" s="626" t="s">
        <v>898</v>
      </c>
      <c r="G28" s="626" t="s">
        <v>899</v>
      </c>
      <c r="H28" s="626" t="s">
        <v>900</v>
      </c>
      <c r="I28" s="626" t="s">
        <v>901</v>
      </c>
      <c r="J28" s="769">
        <v>41264</v>
      </c>
      <c r="K28" s="769">
        <v>41689</v>
      </c>
      <c r="L28" s="626" t="s">
        <v>902</v>
      </c>
      <c r="M28" s="626">
        <v>834</v>
      </c>
      <c r="N28" s="626">
        <v>3753</v>
      </c>
      <c r="O28" s="626">
        <v>5361.4285714285716</v>
      </c>
      <c r="P28" s="626">
        <v>10722.857142857143</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834</v>
      </c>
      <c r="N29" s="584">
        <f>SUM(N28:N28)</f>
        <v>3753</v>
      </c>
      <c r="O29" s="584">
        <f>SUM(O28:O28)</f>
        <v>5361.4285714285716</v>
      </c>
      <c r="P29" s="584">
        <f>SUM(P28:P28)</f>
        <v>10722.857142857143</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834</v>
      </c>
      <c r="N32" s="589">
        <f>SUMIF($Z$28:$Z$28,"landbouw",N28:N28)</f>
        <v>3753</v>
      </c>
      <c r="O32" s="589">
        <f>SUMIF($Z$28:$Z$28,"landbouw",O28:O28)</f>
        <v>5361.4285714285716</v>
      </c>
      <c r="P32" s="589">
        <f>SUMIF($Z$28:$Z$28,"landbouw",P28:P28)</f>
        <v>10722.857142857143</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4415.2941176470586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6307.5630252100837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43281.842654353561</v>
      </c>
      <c r="C4" s="451">
        <f>huishoudens!C8</f>
        <v>0</v>
      </c>
      <c r="D4" s="451">
        <f>huishoudens!D8</f>
        <v>120980.65495626</v>
      </c>
      <c r="E4" s="451">
        <f>huishoudens!E8</f>
        <v>25775.356060030364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29505.356597108235</v>
      </c>
      <c r="O4" s="451">
        <f>huishoudens!O8</f>
        <v>504.95666666666671</v>
      </c>
      <c r="P4" s="452">
        <f>huishoudens!P8</f>
        <v>400.4</v>
      </c>
      <c r="Q4" s="453">
        <f>SUM(B4:P4)</f>
        <v>220448.56693441884</v>
      </c>
    </row>
    <row r="5" spans="1:17">
      <c r="A5" s="450" t="s">
        <v>155</v>
      </c>
      <c r="B5" s="451">
        <f ca="1">tertiair!B16</f>
        <v>35107.775999999998</v>
      </c>
      <c r="C5" s="451">
        <f ca="1">tertiair!C16</f>
        <v>0</v>
      </c>
      <c r="D5" s="451">
        <f ca="1">tertiair!D16</f>
        <v>32785.449267813005</v>
      </c>
      <c r="E5" s="451">
        <f>tertiair!E16</f>
        <v>695.11290521287253</v>
      </c>
      <c r="F5" s="451">
        <f ca="1">tertiair!F16</f>
        <v>8407.766142529661</v>
      </c>
      <c r="G5" s="451">
        <f>tertiair!G16</f>
        <v>0</v>
      </c>
      <c r="H5" s="451">
        <f>tertiair!H16</f>
        <v>0</v>
      </c>
      <c r="I5" s="451">
        <f>tertiair!I16</f>
        <v>0</v>
      </c>
      <c r="J5" s="451">
        <f>tertiair!J16</f>
        <v>0</v>
      </c>
      <c r="K5" s="451">
        <f>tertiair!K16</f>
        <v>0</v>
      </c>
      <c r="L5" s="451">
        <f ca="1">tertiair!L16</f>
        <v>0</v>
      </c>
      <c r="M5" s="451">
        <f>tertiair!M16</f>
        <v>0</v>
      </c>
      <c r="N5" s="451">
        <f ca="1">tertiair!N16</f>
        <v>2279.1425415942517</v>
      </c>
      <c r="O5" s="451">
        <f>tertiair!O16</f>
        <v>4.6900000000000004</v>
      </c>
      <c r="P5" s="452">
        <f>tertiair!P16</f>
        <v>57.2</v>
      </c>
      <c r="Q5" s="450">
        <f t="shared" ref="Q5:Q14" ca="1" si="0">SUM(B5:P5)</f>
        <v>79337.136857149788</v>
      </c>
    </row>
    <row r="6" spans="1:17">
      <c r="A6" s="450" t="s">
        <v>193</v>
      </c>
      <c r="B6" s="451">
        <f>'openbare verlichting'!B8</f>
        <v>2209.2750000000001</v>
      </c>
      <c r="C6" s="451"/>
      <c r="D6" s="451"/>
      <c r="E6" s="451"/>
      <c r="F6" s="451"/>
      <c r="G6" s="451"/>
      <c r="H6" s="451"/>
      <c r="I6" s="451"/>
      <c r="J6" s="451"/>
      <c r="K6" s="451"/>
      <c r="L6" s="451"/>
      <c r="M6" s="451"/>
      <c r="N6" s="451"/>
      <c r="O6" s="451"/>
      <c r="P6" s="452"/>
      <c r="Q6" s="450">
        <f t="shared" si="0"/>
        <v>2209.2750000000001</v>
      </c>
    </row>
    <row r="7" spans="1:17">
      <c r="A7" s="450" t="s">
        <v>111</v>
      </c>
      <c r="B7" s="451">
        <f>landbouw!B8</f>
        <v>1987.848</v>
      </c>
      <c r="C7" s="451">
        <f>landbouw!C8</f>
        <v>5361.4285714285716</v>
      </c>
      <c r="D7" s="451">
        <f>landbouw!D8</f>
        <v>0</v>
      </c>
      <c r="E7" s="451">
        <f>landbouw!E8</f>
        <v>51.258967466104302</v>
      </c>
      <c r="F7" s="451">
        <f>landbouw!F8</f>
        <v>7265.9630072618847</v>
      </c>
      <c r="G7" s="451">
        <f>landbouw!G8</f>
        <v>0</v>
      </c>
      <c r="H7" s="451">
        <f>landbouw!H8</f>
        <v>0</v>
      </c>
      <c r="I7" s="451">
        <f>landbouw!I8</f>
        <v>0</v>
      </c>
      <c r="J7" s="451">
        <f>landbouw!J8</f>
        <v>286.17698571730858</v>
      </c>
      <c r="K7" s="451">
        <f>landbouw!K8</f>
        <v>0</v>
      </c>
      <c r="L7" s="451">
        <f>landbouw!L8</f>
        <v>0</v>
      </c>
      <c r="M7" s="451">
        <f>landbouw!M8</f>
        <v>0</v>
      </c>
      <c r="N7" s="451">
        <f>landbouw!N8</f>
        <v>0</v>
      </c>
      <c r="O7" s="451">
        <f>landbouw!O8</f>
        <v>0</v>
      </c>
      <c r="P7" s="452">
        <f>landbouw!P8</f>
        <v>0</v>
      </c>
      <c r="Q7" s="450">
        <f t="shared" si="0"/>
        <v>14952.675531873869</v>
      </c>
    </row>
    <row r="8" spans="1:17">
      <c r="A8" s="450" t="s">
        <v>637</v>
      </c>
      <c r="B8" s="451">
        <f>industrie!B18</f>
        <v>80174.930999999997</v>
      </c>
      <c r="C8" s="451">
        <f>industrie!C18</f>
        <v>0</v>
      </c>
      <c r="D8" s="451">
        <f>industrie!D18</f>
        <v>41697.885593907398</v>
      </c>
      <c r="E8" s="451">
        <f>industrie!E18</f>
        <v>5769.9928627019772</v>
      </c>
      <c r="F8" s="451">
        <f>industrie!F18</f>
        <v>30536.497307199879</v>
      </c>
      <c r="G8" s="451">
        <f>industrie!G18</f>
        <v>0</v>
      </c>
      <c r="H8" s="451">
        <f>industrie!H18</f>
        <v>0</v>
      </c>
      <c r="I8" s="451">
        <f>industrie!I18</f>
        <v>0</v>
      </c>
      <c r="J8" s="451">
        <f>industrie!J18</f>
        <v>23.053619594453249</v>
      </c>
      <c r="K8" s="451">
        <f>industrie!K18</f>
        <v>0</v>
      </c>
      <c r="L8" s="451">
        <f>industrie!L18</f>
        <v>0</v>
      </c>
      <c r="M8" s="451">
        <f>industrie!M18</f>
        <v>0</v>
      </c>
      <c r="N8" s="451">
        <f>industrie!N18</f>
        <v>17564.613288944958</v>
      </c>
      <c r="O8" s="451">
        <f>industrie!O18</f>
        <v>0</v>
      </c>
      <c r="P8" s="452">
        <f>industrie!P18</f>
        <v>0</v>
      </c>
      <c r="Q8" s="450">
        <f t="shared" si="0"/>
        <v>175766.97367234869</v>
      </c>
    </row>
    <row r="9" spans="1:17" s="456" customFormat="1">
      <c r="A9" s="454" t="s">
        <v>563</v>
      </c>
      <c r="B9" s="455">
        <f>transport!B14</f>
        <v>27.992637042893737</v>
      </c>
      <c r="C9" s="455">
        <f>transport!C14</f>
        <v>0</v>
      </c>
      <c r="D9" s="455">
        <f>transport!D14</f>
        <v>61.923669170428241</v>
      </c>
      <c r="E9" s="455">
        <f>transport!E14</f>
        <v>291.59845311230868</v>
      </c>
      <c r="F9" s="455">
        <f>transport!F14</f>
        <v>0</v>
      </c>
      <c r="G9" s="455">
        <f>transport!G14</f>
        <v>125764.19273118996</v>
      </c>
      <c r="H9" s="455">
        <f>transport!H14</f>
        <v>21249.09114438781</v>
      </c>
      <c r="I9" s="455">
        <f>transport!I14</f>
        <v>0</v>
      </c>
      <c r="J9" s="455">
        <f>transport!J14</f>
        <v>0</v>
      </c>
      <c r="K9" s="455">
        <f>transport!K14</f>
        <v>0</v>
      </c>
      <c r="L9" s="455">
        <f>transport!L14</f>
        <v>0</v>
      </c>
      <c r="M9" s="455">
        <f>transport!M14</f>
        <v>4593.3623476685843</v>
      </c>
      <c r="N9" s="455">
        <f>transport!N14</f>
        <v>0</v>
      </c>
      <c r="O9" s="455">
        <f>transport!O14</f>
        <v>0</v>
      </c>
      <c r="P9" s="455">
        <f>transport!P14</f>
        <v>0</v>
      </c>
      <c r="Q9" s="454">
        <f>SUM(B9:P9)</f>
        <v>151988.16098257198</v>
      </c>
    </row>
    <row r="10" spans="1:17">
      <c r="A10" s="450" t="s">
        <v>553</v>
      </c>
      <c r="B10" s="451">
        <f>transport!B54</f>
        <v>0</v>
      </c>
      <c r="C10" s="451">
        <f>transport!C54</f>
        <v>0</v>
      </c>
      <c r="D10" s="451">
        <f>transport!D54</f>
        <v>0</v>
      </c>
      <c r="E10" s="451">
        <f>transport!E54</f>
        <v>0</v>
      </c>
      <c r="F10" s="451">
        <f>transport!F54</f>
        <v>0</v>
      </c>
      <c r="G10" s="451">
        <f>transport!G54</f>
        <v>649.97625532714414</v>
      </c>
      <c r="H10" s="451">
        <f>transport!H54</f>
        <v>0</v>
      </c>
      <c r="I10" s="451">
        <f>transport!I54</f>
        <v>0</v>
      </c>
      <c r="J10" s="451">
        <f>transport!J54</f>
        <v>0</v>
      </c>
      <c r="K10" s="451">
        <f>transport!K54</f>
        <v>0</v>
      </c>
      <c r="L10" s="451">
        <f>transport!L54</f>
        <v>0</v>
      </c>
      <c r="M10" s="451">
        <f>transport!M54</f>
        <v>20.135358989391882</v>
      </c>
      <c r="N10" s="451">
        <f>transport!N54</f>
        <v>0</v>
      </c>
      <c r="O10" s="451">
        <f>transport!O54</f>
        <v>0</v>
      </c>
      <c r="P10" s="452">
        <f>transport!P54</f>
        <v>0</v>
      </c>
      <c r="Q10" s="450">
        <f t="shared" si="0"/>
        <v>670.11161431653602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1329.89</v>
      </c>
      <c r="C14" s="458"/>
      <c r="D14" s="458">
        <f>'SEAP template'!E25</f>
        <v>8482.0184809000002</v>
      </c>
      <c r="E14" s="458"/>
      <c r="F14" s="458"/>
      <c r="G14" s="458"/>
      <c r="H14" s="458"/>
      <c r="I14" s="458"/>
      <c r="J14" s="458"/>
      <c r="K14" s="458"/>
      <c r="L14" s="458"/>
      <c r="M14" s="458"/>
      <c r="N14" s="458"/>
      <c r="O14" s="458"/>
      <c r="P14" s="459"/>
      <c r="Q14" s="450">
        <f t="shared" si="0"/>
        <v>9811.9084808999996</v>
      </c>
    </row>
    <row r="15" spans="1:17" s="460" customFormat="1">
      <c r="A15" s="1004" t="s">
        <v>557</v>
      </c>
      <c r="B15" s="944">
        <f ca="1">SUM(B4:B14)</f>
        <v>164119.55529139645</v>
      </c>
      <c r="C15" s="944">
        <f t="shared" ref="C15:Q15" ca="1" si="1">SUM(C4:C14)</f>
        <v>5361.4285714285716</v>
      </c>
      <c r="D15" s="944">
        <f t="shared" ca="1" si="1"/>
        <v>204007.93196805083</v>
      </c>
      <c r="E15" s="944">
        <f t="shared" si="1"/>
        <v>32583.319248523625</v>
      </c>
      <c r="F15" s="944">
        <f t="shared" ca="1" si="1"/>
        <v>46210.226456991426</v>
      </c>
      <c r="G15" s="944">
        <f t="shared" si="1"/>
        <v>126414.16898651711</v>
      </c>
      <c r="H15" s="944">
        <f t="shared" si="1"/>
        <v>21249.09114438781</v>
      </c>
      <c r="I15" s="944">
        <f t="shared" si="1"/>
        <v>0</v>
      </c>
      <c r="J15" s="944">
        <f t="shared" si="1"/>
        <v>309.23060531176185</v>
      </c>
      <c r="K15" s="944">
        <f t="shared" si="1"/>
        <v>0</v>
      </c>
      <c r="L15" s="944">
        <f t="shared" ca="1" si="1"/>
        <v>0</v>
      </c>
      <c r="M15" s="944">
        <f t="shared" si="1"/>
        <v>4613.4977066579759</v>
      </c>
      <c r="N15" s="944">
        <f t="shared" ca="1" si="1"/>
        <v>49349.112427647444</v>
      </c>
      <c r="O15" s="944">
        <f t="shared" si="1"/>
        <v>509.6466666666667</v>
      </c>
      <c r="P15" s="944">
        <f t="shared" si="1"/>
        <v>457.59999999999997</v>
      </c>
      <c r="Q15" s="944">
        <f t="shared" ca="1" si="1"/>
        <v>655184.80907357985</v>
      </c>
    </row>
    <row r="17" spans="1:17">
      <c r="A17" s="461" t="s">
        <v>558</v>
      </c>
      <c r="B17" s="760">
        <f ca="1">huishoudens!B10</f>
        <v>0.18125606959111737</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7845.0966841893014</v>
      </c>
      <c r="C22" s="451">
        <f t="shared" ref="C22:C32" ca="1" si="3">C4*$C$17</f>
        <v>0</v>
      </c>
      <c r="D22" s="451">
        <f t="shared" ref="D22:D32" si="4">D4*$D$17</f>
        <v>24438.092301164521</v>
      </c>
      <c r="E22" s="451">
        <f t="shared" ref="E22:E32" si="5">E4*$E$17</f>
        <v>5851.0058256268931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38134.194810980713</v>
      </c>
    </row>
    <row r="23" spans="1:17">
      <c r="A23" s="450" t="s">
        <v>155</v>
      </c>
      <c r="B23" s="451">
        <f t="shared" ca="1" si="2"/>
        <v>6363.4974898453602</v>
      </c>
      <c r="C23" s="451">
        <f t="shared" ca="1" si="3"/>
        <v>0</v>
      </c>
      <c r="D23" s="451">
        <f t="shared" ca="1" si="4"/>
        <v>6622.660752098227</v>
      </c>
      <c r="E23" s="451">
        <f t="shared" si="5"/>
        <v>157.79062948332208</v>
      </c>
      <c r="F23" s="451">
        <f t="shared" ca="1" si="6"/>
        <v>2244.8735600554196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15388.822431482329</v>
      </c>
    </row>
    <row r="24" spans="1:17">
      <c r="A24" s="450" t="s">
        <v>193</v>
      </c>
      <c r="B24" s="451">
        <f t="shared" ca="1" si="2"/>
        <v>400.44450314591586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400.44450314591586</v>
      </c>
    </row>
    <row r="25" spans="1:17">
      <c r="A25" s="450" t="s">
        <v>111</v>
      </c>
      <c r="B25" s="451">
        <f t="shared" ca="1" si="2"/>
        <v>360.30951542456347</v>
      </c>
      <c r="C25" s="451">
        <f t="shared" ca="1" si="3"/>
        <v>1274.127731092437</v>
      </c>
      <c r="D25" s="451">
        <f t="shared" si="4"/>
        <v>0</v>
      </c>
      <c r="E25" s="451">
        <f t="shared" si="5"/>
        <v>11.635785614805677</v>
      </c>
      <c r="F25" s="451">
        <f t="shared" si="6"/>
        <v>1940.0121229389233</v>
      </c>
      <c r="G25" s="451">
        <f t="shared" si="7"/>
        <v>0</v>
      </c>
      <c r="H25" s="451">
        <f t="shared" si="8"/>
        <v>0</v>
      </c>
      <c r="I25" s="451">
        <f t="shared" si="9"/>
        <v>0</v>
      </c>
      <c r="J25" s="451">
        <f t="shared" si="10"/>
        <v>101.30665294392723</v>
      </c>
      <c r="K25" s="451">
        <f t="shared" si="11"/>
        <v>0</v>
      </c>
      <c r="L25" s="451">
        <f t="shared" si="12"/>
        <v>0</v>
      </c>
      <c r="M25" s="451">
        <f t="shared" si="13"/>
        <v>0</v>
      </c>
      <c r="N25" s="451">
        <f t="shared" si="14"/>
        <v>0</v>
      </c>
      <c r="O25" s="451">
        <f t="shared" si="15"/>
        <v>0</v>
      </c>
      <c r="P25" s="452">
        <f t="shared" si="16"/>
        <v>0</v>
      </c>
      <c r="Q25" s="450">
        <f t="shared" ca="1" si="17"/>
        <v>3687.3918080146564</v>
      </c>
    </row>
    <row r="26" spans="1:17">
      <c r="A26" s="450" t="s">
        <v>637</v>
      </c>
      <c r="B26" s="451">
        <f t="shared" ca="1" si="2"/>
        <v>14532.192872799033</v>
      </c>
      <c r="C26" s="451">
        <f t="shared" ca="1" si="3"/>
        <v>0</v>
      </c>
      <c r="D26" s="451">
        <f t="shared" si="4"/>
        <v>8422.9728899692946</v>
      </c>
      <c r="E26" s="451">
        <f t="shared" si="5"/>
        <v>1309.7883798333489</v>
      </c>
      <c r="F26" s="451">
        <f t="shared" si="6"/>
        <v>8153.2447810223684</v>
      </c>
      <c r="G26" s="451">
        <f t="shared" si="7"/>
        <v>0</v>
      </c>
      <c r="H26" s="451">
        <f t="shared" si="8"/>
        <v>0</v>
      </c>
      <c r="I26" s="451">
        <f t="shared" si="9"/>
        <v>0</v>
      </c>
      <c r="J26" s="451">
        <f t="shared" si="10"/>
        <v>8.1609813364364499</v>
      </c>
      <c r="K26" s="451">
        <f t="shared" si="11"/>
        <v>0</v>
      </c>
      <c r="L26" s="451">
        <f t="shared" si="12"/>
        <v>0</v>
      </c>
      <c r="M26" s="451">
        <f t="shared" si="13"/>
        <v>0</v>
      </c>
      <c r="N26" s="451">
        <f t="shared" si="14"/>
        <v>0</v>
      </c>
      <c r="O26" s="451">
        <f t="shared" si="15"/>
        <v>0</v>
      </c>
      <c r="P26" s="452">
        <f t="shared" si="16"/>
        <v>0</v>
      </c>
      <c r="Q26" s="450">
        <f t="shared" ca="1" si="17"/>
        <v>32426.359904960482</v>
      </c>
    </row>
    <row r="27" spans="1:17" s="456" customFormat="1">
      <c r="A27" s="454" t="s">
        <v>563</v>
      </c>
      <c r="B27" s="754">
        <f t="shared" ca="1" si="2"/>
        <v>5.0738353678856374</v>
      </c>
      <c r="C27" s="455">
        <f t="shared" ca="1" si="3"/>
        <v>0</v>
      </c>
      <c r="D27" s="455">
        <f t="shared" si="4"/>
        <v>12.508581172426505</v>
      </c>
      <c r="E27" s="455">
        <f t="shared" si="5"/>
        <v>66.192848856494066</v>
      </c>
      <c r="F27" s="455">
        <f t="shared" si="6"/>
        <v>0</v>
      </c>
      <c r="G27" s="455">
        <f t="shared" si="7"/>
        <v>33579.039459227723</v>
      </c>
      <c r="H27" s="455">
        <f t="shared" si="8"/>
        <v>5291.0236949525652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38953.838419577092</v>
      </c>
    </row>
    <row r="28" spans="1:17">
      <c r="A28" s="450" t="s">
        <v>553</v>
      </c>
      <c r="B28" s="451">
        <f t="shared" ca="1" si="2"/>
        <v>0</v>
      </c>
      <c r="C28" s="451">
        <f t="shared" ca="1" si="3"/>
        <v>0</v>
      </c>
      <c r="D28" s="451">
        <f t="shared" si="4"/>
        <v>0</v>
      </c>
      <c r="E28" s="451">
        <f t="shared" si="5"/>
        <v>0</v>
      </c>
      <c r="F28" s="451">
        <f t="shared" si="6"/>
        <v>0</v>
      </c>
      <c r="G28" s="451">
        <f t="shared" si="7"/>
        <v>173.5436601723475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173.5436601723475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241.05063438853111</v>
      </c>
      <c r="C32" s="451">
        <f t="shared" ca="1" si="3"/>
        <v>0</v>
      </c>
      <c r="D32" s="451">
        <f t="shared" si="4"/>
        <v>1713.3677331418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1954.4183675303311</v>
      </c>
    </row>
    <row r="33" spans="1:17" s="460" customFormat="1">
      <c r="A33" s="1004" t="s">
        <v>557</v>
      </c>
      <c r="B33" s="944">
        <f ca="1">SUM(B22:B32)</f>
        <v>29747.665535160591</v>
      </c>
      <c r="C33" s="944">
        <f t="shared" ref="C33:Q33" ca="1" si="18">SUM(C22:C32)</f>
        <v>1274.127731092437</v>
      </c>
      <c r="D33" s="944">
        <f t="shared" ca="1" si="18"/>
        <v>41209.60225754627</v>
      </c>
      <c r="E33" s="944">
        <f t="shared" si="18"/>
        <v>7396.4134694148643</v>
      </c>
      <c r="F33" s="944">
        <f t="shared" ca="1" si="18"/>
        <v>12338.130464016711</v>
      </c>
      <c r="G33" s="944">
        <f t="shared" si="18"/>
        <v>33752.583119400071</v>
      </c>
      <c r="H33" s="944">
        <f t="shared" si="18"/>
        <v>5291.0236949525652</v>
      </c>
      <c r="I33" s="944">
        <f t="shared" si="18"/>
        <v>0</v>
      </c>
      <c r="J33" s="944">
        <f t="shared" si="18"/>
        <v>109.46763428036368</v>
      </c>
      <c r="K33" s="944">
        <f t="shared" si="18"/>
        <v>0</v>
      </c>
      <c r="L33" s="944">
        <f t="shared" ca="1" si="18"/>
        <v>0</v>
      </c>
      <c r="M33" s="944">
        <f t="shared" si="18"/>
        <v>0</v>
      </c>
      <c r="N33" s="944">
        <f t="shared" ca="1" si="18"/>
        <v>0</v>
      </c>
      <c r="O33" s="944">
        <f t="shared" si="18"/>
        <v>0</v>
      </c>
      <c r="P33" s="944">
        <f t="shared" si="18"/>
        <v>0</v>
      </c>
      <c r="Q33" s="944">
        <f t="shared" ca="1" si="18"/>
        <v>131119.01390586386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22224.526317281263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7572.906243817064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3753</v>
      </c>
      <c r="D8" s="1021">
        <f>'SEAP template'!D76</f>
        <v>4415.2941176470586</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891.88941176470587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29797.432561098329</v>
      </c>
      <c r="C10" s="1025">
        <f>SUM(C4:C9)</f>
        <v>3753</v>
      </c>
      <c r="D10" s="1025">
        <f t="shared" ref="D10:H10" si="0">SUM(D8:D9)</f>
        <v>4415.2941176470586</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891.88941176470587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0.18125606959111737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5361.4285714285716</v>
      </c>
      <c r="D17" s="1022">
        <f>'SEAP template'!D87</f>
        <v>6307.5630252100837</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1274.127731092437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5361.4285714285716</v>
      </c>
      <c r="D20" s="1025">
        <f t="shared" ref="D20:H20" si="2">SUM(D17:D19)</f>
        <v>6307.5630252100837</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1274.127731092437</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0.18125606959111737</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2020-06-20T15:56:13Z</dcterms:modified>
</cp:coreProperties>
</file>