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9" i="18" l="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63" i="14" l="1"/>
  <c r="O15" i="48"/>
  <c r="J5" i="48"/>
  <c r="J23" i="48" s="1"/>
  <c r="K10" i="14"/>
  <c r="F10" i="14"/>
  <c r="E5" i="48"/>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33" i="48" l="1"/>
  <c r="R22" i="14"/>
  <c r="J15" i="48"/>
  <c r="F13" i="14"/>
  <c r="F16" i="14" s="1"/>
  <c r="F27" i="14" s="1"/>
  <c r="F63" i="14" s="1"/>
  <c r="E8" i="48"/>
  <c r="E26" i="48" s="1"/>
  <c r="J22" i="16"/>
  <c r="K43" i="14" s="1"/>
  <c r="K46" i="14" s="1"/>
  <c r="K61" i="14" s="1"/>
  <c r="J8" i="48"/>
  <c r="J26" i="48" s="1"/>
  <c r="K13" i="14"/>
  <c r="K16" i="14" s="1"/>
  <c r="K27" i="14" s="1"/>
  <c r="E23" i="48"/>
  <c r="N8" i="48"/>
  <c r="N26" i="48" s="1"/>
  <c r="O13" i="14"/>
  <c r="N22" i="16"/>
  <c r="O43" i="14" s="1"/>
  <c r="G13" i="14"/>
  <c r="F8" i="48"/>
  <c r="E15" i="48" l="1"/>
  <c r="E33"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<sst xmlns="http://schemas.openxmlformats.org/spreadsheetml/2006/main" count="2414" uniqueCount="901">
  <si>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</si>
  <si>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</si>
  <si>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</si>
  <si>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</si>
  <si>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</si>
  <si>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</si>
  <si>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</si>
  <si>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</si>
  <si>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</si>
  <si>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</si>
  <si>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</si>
  <si>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</si>
  <si>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</si>
  <si>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</si>
  <si>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</si>
  <si>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</si>
  <si>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</si>
  <si>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</si>
  <si>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</si>
  <si>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</si>
  <si>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</si>
  <si>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</si>
  <si>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</si>
  <si>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</si>
  <si>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</si>
  <si>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</si>
  <si>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</si>
  <si>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</si>
  <si>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</si>
  <si>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</si>
  <si>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</si>
  <si>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</si>
  <si>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</si>
  <si>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</si>
  <si>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</si>
  <si>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</si>
  <si>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</si>
  <si>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</si>
  <si>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</si>
  <si>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</si>
  <si>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</si>
  <si>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</si>
  <si>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</si>
  <si>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</si>
  <si>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</si>
  <si>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</si>
  <si>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</si>
  <si>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</si>
  <si>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</si>
  <si>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</si>
  <si>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</si>
  <si>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</si>
  <si>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</si>
  <si>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</si>
  <si>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</si>
  <si>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</si>
  <si>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</si>
  <si>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</si>
  <si>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</si>
  <si>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</si>
  <si>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</si>
  <si>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</si>
  <si>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</si>
  <si>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</si>
  <si>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</si>
  <si>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</si>
  <si>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</si>
  <si>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</si>
  <si>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</si>
  <si>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</si>
  <si>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</si>
  <si>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</si>
  <si>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</si>
  <si>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</si>
  <si>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</si>
  <si>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</si>
  <si>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</si>
  <si>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</si>
  <si>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</si>
  <si>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</si>
  <si>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</si>
  <si>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</si>
  <si>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</si>
  <si>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</si>
  <si>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</si>
  <si>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</si>
  <si>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</si>
  <si>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</si>
  <si>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</si>
  <si>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</si>
  <si>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</si>
  <si>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</si>
  <si>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</si>
  <si>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</si>
  <si>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</si>
  <si>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</si>
  <si>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</si>
  <si>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</si>
  <si>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</si>
  <si>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</si>
  <si>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</si>
  <si>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</si>
  <si>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</si>
  <si>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</si>
  <si>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</si>
  <si>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</si>
  <si>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</si>
  <si>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</si>
  <si>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</si>
  <si>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</si>
  <si>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</si>
  <si>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</si>
  <si>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</si>
  <si>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</si>
  <si>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</si>
  <si>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</si>
  <si>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</si>
  <si>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</si>
  <si>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</si>
  <si>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</si>
  <si>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</si>
  <si>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</si>
  <si>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</si>
  <si>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</si>
  <si>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</si>
  <si>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</si>
  <si>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</si>
  <si>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</si>
  <si>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</si>
  <si>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</si>
  <si>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</si>
  <si>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</si>
  <si>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</si>
  <si>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</si>
  <si>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</si>
  <si>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</si>
  <si>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</si>
  <si>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</si>
  <si>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</si>
  <si>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</si>
  <si>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</si>
  <si>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</si>
  <si>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</si>
  <si>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</si>
  <si>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</si>
  <si>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</si>
  <si>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</si>
  <si>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</si>
  <si>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</si>
  <si>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</si>
  <si>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</si>
  <si>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</si>
  <si>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</si>
  <si>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</si>
  <si>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</si>
  <si>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</si>
  <si>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</si>
  <si>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</si>
  <si>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</si>
  <si>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</si>
  <si>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</si>
  <si>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</si>
  <si>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</si>
  <si>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</si>
  <si>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</si>
  <si>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</si>
  <si>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</si>
  <si>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</si>
  <si>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</si>
  <si>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</si>
  <si>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</si>
  <si>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</si>
  <si>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</si>
  <si>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</si>
  <si>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</si>
  <si>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</si>
  <si>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</si>
  <si>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</si>
  <si>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</si>
  <si>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</si>
  <si>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</si>
  <si>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</si>
  <si>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</si>
  <si>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</si>
  <si>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</si>
  <si>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</si>
  <si>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</si>
  <si>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</si>
  <si>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</si>
  <si>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</si>
  <si>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</si>
  <si>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</si>
  <si>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</si>
  <si>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</si>
  <si>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</si>
  <si>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</si>
  <si>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</si>
  <si>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</si>
  <si>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</si>
  <si>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</si>
  <si>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</si>
  <si>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</si>
  <si>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</si>
  <si>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</si>
  <si>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</si>
  <si>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</si>
  <si>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</si>
  <si>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</si>
  <si>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</si>
  <si>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</si>
  <si>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</si>
  <si>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</si>
  <si>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</si>
  <si>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</si>
  <si>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</si>
  <si>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</si>
  <si>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</si>
  <si>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</si>
  <si>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</si>
  <si>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</si>
  <si>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</si>
  <si>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</si>
  <si>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</si>
  <si>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</si>
  <si>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</si>
  <si>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</si>
  <si>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</si>
  <si>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</si>
  <si>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</si>
  <si>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</si>
  <si>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</si>
  <si>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</si>
  <si>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</si>
  <si>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</si>
  <si>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</si>
  <si>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</si>
  <si>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</si>
  <si>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</si>
  <si>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</si>
  <si>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</si>
  <si>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</si>
  <si>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</si>
  <si>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</si>
  <si>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</si>
  <si>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</si>
  <si>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</si>
  <si>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</si>
  <si>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</si>
  <si>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</si>
  <si>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</si>
  <si>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</si>
  <si>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</si>
  <si>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</si>
  <si>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</si>
  <si>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</si>
  <si>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</si>
  <si>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</si>
  <si>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</si>
  <si>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</si>
  <si>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</si>
  <si>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</si>
  <si>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</si>
  <si>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</si>
  <si>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</si>
  <si>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</si>
  <si>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</si>
  <si>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</si>
  <si>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</si>
  <si>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</si>
  <si>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</si>
  <si>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</si>
  <si>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</si>
  <si>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</si>
  <si>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</si>
  <si>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</si>
  <si>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</si>
  <si>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</si>
  <si>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</si>
  <si>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</si>
  <si>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</si>
  <si>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</si>
  <si>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</si>
  <si>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</si>
  <si>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</si>
  <si>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</si>
  <si>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</si>
  <si>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</si>
  <si>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</si>
  <si>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</si>
  <si>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</si>
  <si>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</si>
  <si>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</si>
  <si>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</si>
  <si>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</si>
  <si>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</si>
  <si>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</si>
  <si>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</si>
  <si>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</si>
  <si>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</si>
  <si>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</si>
  <si>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</si>
  <si>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</si>
  <si>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</si>
  <si>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</si>
  <si>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</si>
  <si>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</si>
  <si>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</si>
  <si>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</si>
  <si>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</si>
  <si>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</si>
  <si>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</si>
  <si>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</si>
  <si>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</si>
  <si>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</si>
  <si>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</si>
  <si>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</si>
  <si>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</si>
  <si>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</si>
  <si>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</si>
  <si>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</si>
  <si>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</si>
  <si>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</si>
  <si>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</si>
  <si>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</si>
  <si>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</si>
  <si>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</si>
  <si>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</si>
  <si>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</si>
  <si>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</si>
  <si>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</si>
  <si>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</si>
  <si>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</si>
  <si>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</si>
  <si>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</si>
  <si>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</si>
  <si>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</si>
  <si>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</si>
  <si>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</si>
  <si>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</si>
  <si>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</si>
  <si>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</si>
  <si>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</si>
  <si>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</si>
  <si>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</si>
  <si>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</si>
  <si>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</si>
  <si>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</si>
  <si>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</si>
  <si>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</si>
  <si>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</si>
  <si>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</si>
  <si>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</si>
  <si>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</si>
  <si>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</si>
  <si>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</si>
  <si>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</si>
  <si>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</si>
  <si>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</si>
  <si>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</si>
  <si>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</si>
  <si>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</si>
  <si>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</si>
  <si>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</si>
  <si>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</si>
  <si>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</si>
  <si>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</si>
  <si>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</si>
  <si>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</si>
  <si>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</si>
  <si>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</si>
  <si>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</si>
  <si>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</si>
  <si>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</si>
  <si>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</si>
  <si>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</si>
  <si>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</si>
  <si>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</si>
  <si>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</si>
  <si>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</si>
  <si>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</si>
  <si>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</si>
  <si>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</si>
  <si>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</si>
  <si>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</si>
  <si>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</si>
  <si>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</si>
  <si>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</si>
  <si>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</si>
  <si>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</si>
  <si>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</si>
  <si>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</si>
  <si>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</si>
  <si>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</si>
  <si>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</si>
  <si>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</si>
  <si>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</si>
  <si>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</si>
  <si>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</si>
  <si>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</si>
  <si>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</si>
  <si>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</si>
  <si>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</si>
  <si>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</si>
  <si>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</si>
  <si>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</si>
  <si>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</si>
  <si>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</si>
  <si>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</si>
  <si>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</si>
  <si>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</si>
  <si>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</si>
  <si>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</si>
  <si>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</si>
  <si>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</si>
  <si>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</si>
  <si>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</si>
  <si>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</si>
  <si>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</si>
  <si>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</si>
  <si>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</si>
  <si>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</si>
  <si>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</si>
  <si>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</si>
  <si>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</si>
  <si>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</si>
  <si>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</si>
  <si>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</si>
  <si>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</si>
  <si>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</si>
  <si>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</si>
  <si>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</si>
  <si>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</si>
  <si>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</si>
  <si>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</si>
  <si>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</si>
  <si>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</si>
  <si>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</si>
  <si>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</si>
  <si>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</si>
  <si>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</si>
  <si>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</si>
  <si>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</si>
  <si>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</si>
  <si>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</si>
  <si>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</si>
  <si>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</si>
  <si>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</si>
  <si>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</si>
  <si>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</si>
  <si>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</si>
  <si>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</si>
  <si>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</si>
  <si>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</si>
  <si>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</si>
  <si>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</si>
  <si>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</si>
  <si>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</si>
  <si>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</si>
  <si>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</si>
  <si>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</si>
  <si>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</si>
  <si>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</si>
  <si>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</si>
  <si>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</si>
  <si>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</si>
  <si>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</si>
  <si>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</si>
  <si>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</si>
  <si>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</si>
  <si>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</si>
  <si>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</si>
  <si>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</si>
  <si>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</si>
  <si>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</si>
  <si>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</si>
  <si>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</si>
  <si>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</si>
  <si>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</si>
  <si>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</si>
  <si>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</si>
  <si>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</si>
  <si>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</si>
  <si>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</si>
  <si>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</si>
  <si>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</si>
  <si>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</si>
  <si>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</si>
  <si>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</si>
  <si>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</si>
  <si>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</si>
  <si>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</si>
  <si>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</si>
  <si>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</si>
  <si>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</si>
  <si>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</si>
  <si>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</si>
  <si>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</si>
  <si>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</si>
  <si>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</si>
  <si>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</si>
  <si>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</si>
  <si>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</si>
  <si>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</si>
  <si>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</si>
  <si>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</si>
  <si>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</si>
  <si>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</si>
  <si>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</si>
  <si>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</si>
  <si>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</si>
  <si>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</si>
  <si>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</si>
  <si>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</si>
  <si>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</si>
  <si>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</si>
  <si>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</si>
  <si>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</si>
  <si>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</si>
  <si>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</si>
  <si>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</si>
  <si>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</si>
  <si>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</si>
  <si>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</si>
  <si>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</si>
  <si>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</si>
  <si>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</si>
  <si>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</si>
  <si>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</si>
  <si>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</si>
  <si>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</si>
  <si>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</si>
  <si>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</si>
  <si>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</si>
  <si>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</si>
  <si>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</si>
  <si>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</si>
  <si>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</si>
  <si>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</si>
  <si>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</si>
  <si>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</si>
  <si>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</si>
  <si>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</si>
  <si>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</si>
  <si>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</si>
  <si>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</si>
  <si>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</si>
  <si>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</si>
  <si>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</si>
  <si>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</si>
  <si>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</si>
  <si>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</si>
  <si>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</si>
  <si>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</si>
  <si>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</si>
  <si>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</si>
  <si>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</si>
  <si>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</si>
  <si>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</si>
  <si>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</si>
  <si>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</si>
  <si>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</si>
  <si>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</si>
  <si>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</si>
  <si>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</si>
  <si>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</si>
  <si>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</si>
  <si>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</si>
  <si>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</si>
  <si>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</si>
  <si>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</si>
  <si>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</si>
  <si>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</si>
  <si>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</si>
  <si>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</si>
  <si>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</si>
  <si>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</si>
  <si>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</si>
  <si>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</si>
  <si>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</si>
  <si>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</si>
  <si>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</si>
  <si>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</si>
  <si>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</si>
  <si>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</si>
  <si>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</si>
  <si>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</si>
  <si>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</si>
  <si>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</si>
  <si>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</si>
  <si>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</si>
  <si>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</si>
  <si>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</si>
  <si>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</si>
  <si>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</si>
  <si>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</si>
  <si>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</si>
  <si>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</si>
  <si>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</si>
  <si>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</si>
  <si>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</si>
  <si>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</si>
  <si>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</si>
  <si>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</si>
  <si>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</si>
  <si>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</si>
  <si>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</si>
  <si>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</si>
  <si>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</si>
  <si>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</si>
  <si>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</si>
  <si>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</si>
  <si>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</si>
  <si>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</si>
  <si>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</si>
  <si>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</si>
  <si>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</si>
  <si>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</si>
  <si>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</si>
  <si>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</si>
  <si>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</si>
  <si>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</si>
  <si>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</si>
  <si>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</si>
  <si>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</si>
  <si>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</si>
  <si>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</si>
  <si>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</si>
  <si>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</si>
  <si>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</si>
  <si>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</si>
  <si>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</si>
  <si>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</si>
  <si>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</si>
  <si>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</si>
  <si>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</si>
  <si>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</si>
  <si>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</si>
  <si>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</si>
  <si>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</si>
  <si>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</si>
  <si>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</si>
  <si>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</si>
  <si>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</si>
  <si>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</si>
  <si>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</si>
  <si>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</si>
  <si>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</si>
  <si>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</si>
  <si>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</si>
  <si>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</si>
  <si>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</si>
  <si>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</si>
  <si>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</si>
  <si>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</si>
  <si>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</si>
  <si>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</si>
  <si>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</si>
  <si>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</si>
  <si>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</si>
  <si>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</si>
  <si>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</si>
  <si>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</si>
  <si>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</si>
  <si>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</si>
  <si>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</si>
  <si>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</si>
  <si>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</si>
  <si>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</si>
  <si>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</si>
  <si>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</si>
  <si>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</si>
  <si>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</si>
  <si>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</si>
  <si>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</si>
  <si>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</si>
  <si>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</si>
  <si>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</si>
  <si>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</si>
  <si>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</si>
  <si>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</si>
  <si>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</si>
  <si>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</si>
  <si>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</si>
  <si>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</si>
  <si>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</si>
  <si>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</si>
  <si>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</si>
  <si>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</si>
  <si>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</si>
  <si>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</si>
  <si>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</si>
  <si>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</si>
  <si>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</si>
  <si>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</si>
  <si>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</si>
  <si>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</si>
  <si>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</si>
  <si>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</si>
  <si>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</si>
  <si>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</si>
  <si>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</si>
  <si>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</si>
  <si>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</si>
  <si>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</si>
  <si>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</si>
  <si>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</si>
  <si>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</si>
  <si>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</si>
  <si>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</si>
  <si>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</si>
  <si>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</si>
  <si>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</si>
  <si>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</si>
  <si>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</si>
  <si>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</si>
  <si>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</si>
  <si>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</si>
  <si>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</si>
  <si>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</si>
  <si>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</si>
  <si>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</si>
  <si>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</si>
  <si>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</si>
  <si>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</si>
  <si>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</si>
  <si>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</si>
  <si>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</si>
  <si>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</si>
  <si>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</si>
  <si>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</si>
  <si>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</si>
  <si>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</si>
  <si>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</si>
  <si>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</si>
  <si>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</si>
  <si>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</si>
  <si>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</si>
  <si>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</si>
  <si>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</si>
  <si>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</si>
  <si>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</si>
  <si>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</si>
  <si>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</si>
  <si>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</si>
  <si>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</si>
  <si>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</si>
  <si>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</si>
  <si>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</si>
  <si>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</si>
  <si>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</si>
  <si>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</si>
  <si>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</si>
  <si>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</si>
  <si>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</si>
  <si>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</si>
  <si>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</si>
  <si>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</si>
  <si>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</si>
  <si>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</si>
  <si>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</si>
  <si>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</si>
  <si>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</si>
  <si>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</si>
  <si>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</si>
  <si>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</si>
  <si>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</si>
  <si>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</si>
  <si>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</si>
  <si>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</si>
  <si>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</si>
  <si>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</si>
  <si>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</si>
  <si>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</si>
  <si>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</si>
  <si>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</si>
  <si>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</si>
  <si>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</si>
  <si>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</si>
  <si>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</si>
  <si>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</si>
  <si>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</si>
  <si>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</si>
  <si>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</si>
  <si>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</si>
  <si>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</si>
  <si>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</si>
  <si>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</si>
  <si>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</si>
  <si>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</si>
  <si>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</si>
  <si>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</si>
  <si>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</si>
  <si>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</si>
  <si>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</si>
  <si>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</si>
  <si>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</si>
  <si>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</si>
  <si>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</si>
  <si>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</si>
  <si>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</si>
  <si>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</si>
  <si>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</si>
  <si>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</si>
  <si>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</si>
  <si>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</si>
  <si>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</si>
  <si>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</si>
  <si>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</si>
  <si>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</si>
  <si>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</si>
  <si>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</si>
  <si>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</si>
  <si>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</si>
  <si>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</si>
  <si>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</si>
  <si>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</si>
  <si>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</si>
  <si>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</si>
  <si>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</si>
  <si>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</si>
  <si>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</si>
  <si>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</si>
  <si>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</si>
  <si>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</si>
  <si>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</si>
  <si>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</si>
  <si>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</si>
  <si>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</si>
  <si>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</si>
  <si>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</si>
  <si>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</si>
  <si>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</si>
  <si>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</si>
  <si>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</si>
  <si>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</si>
  <si>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</si>
  <si>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</si>
  <si>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</si>
  <si>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</si>
  <si>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</si>
  <si>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</si>
  <si>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</si>
  <si>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</si>
  <si>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</si>
  <si>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</si>
  <si>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</si>
  <si>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</si>
  <si>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</si>
  <si>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</si>
  <si>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</si>
  <si>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</si>
  <si>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</si>
  <si>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</si>
  <si>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</si>
  <si>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</si>
  <si>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</si>
  <si>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</si>
  <si>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</si>
  <si>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</si>
  <si>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</si>
  <si>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</si>
  <si>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</si>
  <si>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</si>
  <si>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</si>
  <si>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</si>
  <si>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</si>
  <si>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</si>
  <si>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</si>
  <si>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</si>
  <si>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</si>
  <si>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</si>
  <si>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</si>
  <si>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</si>
  <si>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</si>
  <si>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</si>
  <si>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</si>
  <si>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</si>
  <si>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</si>
  <si>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</si>
  <si>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</si>
  <si>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</si>
  <si>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</si>
  <si>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</si>
  <si>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</si>
  <si>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</si>
  <si>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</si>
  <si>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</si>
  <si>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</si>
  <si>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</si>
  <si>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</si>
  <si>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34042</t>
  </si>
  <si>
    <t>ZWEVEGEM</t>
  </si>
  <si>
    <t>Paarden&amp;pony's 200 - 600 kg</t>
  </si>
  <si>
    <t>Paarden&amp;pony's &lt; 200 kg</t>
  </si>
  <si>
    <t>Fluvius</t>
  </si>
  <si>
    <t>referentietaak LNE (2017); Jaarverslag De Lijn</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</si>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</sst>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192041.49417220851</c:v>
                </c:pt>
                <c:pt idx="1">
                  <c:v>49699.689687779552</c:v>
                </c:pt>
                <c:pt idx="2">
                  <c:v>1896.258</c:v>
                </c:pt>
                <c:pt idx="3">
                  <c:v>12077.853398871659</c:v>
                </c:pt>
                <c:pt idx="4">
                  <c:v>167751.47612124254</c:v>
                </c:pt>
                <c:pt idx="5">
                  <c:v>84902.318587305053</c:v>
                </c:pt>
                <c:pt idx="6">
                  <c:v>1166.1113315422169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192041.49417220851</c:v>
                </c:pt>
                <c:pt idx="1">
                  <c:v>49699.689687779552</c:v>
                </c:pt>
                <c:pt idx="2">
                  <c:v>1896.258</c:v>
                </c:pt>
                <c:pt idx="3">
                  <c:v>12077.853398871659</c:v>
                </c:pt>
                <c:pt idx="4">
                  <c:v>167751.47612124254</c:v>
                </c:pt>
                <c:pt idx="5">
                  <c:v>84902.318587305053</c:v>
                </c:pt>
                <c:pt idx="6">
                  <c:v>1166.1113315422169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37177.572649587142</c:v>
                </c:pt>
                <c:pt idx="2">
                  <c:v>9994.1515870575804</c:v>
                </c:pt>
                <c:pt idx="3">
                  <c:v>361.4102622222706</c:v>
                </c:pt>
                <c:pt idx="4">
                  <c:v>3037.7924523271768</c:v>
                </c:pt>
                <c:pt idx="5">
                  <c:v>33813.581259994731</c:v>
                </c:pt>
                <c:pt idx="6">
                  <c:v>21715.921215576775</c:v>
                </c:pt>
                <c:pt idx="7">
                  <c:v>301.99630079638257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37177.572649587142</c:v>
                </c:pt>
                <c:pt idx="2">
                  <c:v>9994.1515870575804</c:v>
                </c:pt>
                <c:pt idx="3">
                  <c:v>361.4102622222706</c:v>
                </c:pt>
                <c:pt idx="4">
                  <c:v>3037.7924523271768</c:v>
                </c:pt>
                <c:pt idx="5">
                  <c:v>33813.581259994731</c:v>
                </c:pt>
                <c:pt idx="6">
                  <c:v>21715.921215576775</c:v>
                </c:pt>
                <c:pt idx="7">
                  <c:v>301.99630079638257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34042</v>
      </c>
      <c r="B6" s="390"/>
      <c r="C6" s="391"/>
    </row>
    <row r="7" spans="1:7" s="388" customFormat="1" ht="15.75" customHeight="1">
      <c r="A7" s="392" t="str">
        <f>txtMunicipality</f>
        <v>ZWEVEGEM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24424.828651110001</v>
      </c>
      <c r="D10" s="978">
        <f ca="1">tertiair!C16</f>
        <v>642.85714285714289</v>
      </c>
      <c r="E10" s="978">
        <f ca="1">tertiair!D16</f>
        <v>20493.987180898617</v>
      </c>
      <c r="F10" s="978">
        <f>tertiair!E16</f>
        <v>411.62227548598128</v>
      </c>
      <c r="G10" s="978">
        <f ca="1">tertiair!F16</f>
        <v>5495.0506825228586</v>
      </c>
      <c r="H10" s="978">
        <f>tertiair!G16</f>
        <v>0</v>
      </c>
      <c r="I10" s="978">
        <f>tertiair!H16</f>
        <v>0</v>
      </c>
      <c r="J10" s="978">
        <f>tertiair!I16</f>
        <v>0</v>
      </c>
      <c r="K10" s="978">
        <f>tertiair!J16</f>
        <v>0</v>
      </c>
      <c r="L10" s="978">
        <f>tertiair!K16</f>
        <v>0</v>
      </c>
      <c r="M10" s="978">
        <f ca="1">tertiair!L16</f>
        <v>0</v>
      </c>
      <c r="N10" s="978">
        <f>tertiair!M16</f>
        <v>0</v>
      </c>
      <c r="O10" s="978">
        <f ca="1">tertiair!N16</f>
        <v>100.71842157162132</v>
      </c>
      <c r="P10" s="978">
        <f>tertiair!O16</f>
        <v>7.8166666666666664</v>
      </c>
      <c r="Q10" s="979">
        <f>tertiair!P16</f>
        <v>19.066666666666666</v>
      </c>
      <c r="R10" s="674">
        <f ca="1">SUM(C10:Q10)</f>
        <v>51595.947687779553</v>
      </c>
      <c r="S10" s="67"/>
    </row>
    <row r="11" spans="1:19" s="447" customFormat="1">
      <c r="A11" s="783" t="s">
        <v>224</v>
      </c>
      <c r="B11" s="788"/>
      <c r="C11" s="978">
        <f>huishoudens!B8</f>
        <v>43113.406872649437</v>
      </c>
      <c r="D11" s="978">
        <f>huishoudens!C8</f>
        <v>0</v>
      </c>
      <c r="E11" s="978">
        <f>huishoudens!D8</f>
        <v>71055.537702379996</v>
      </c>
      <c r="F11" s="978">
        <f>huishoudens!E8</f>
        <v>16714.013645696203</v>
      </c>
      <c r="G11" s="978">
        <f>huishoudens!F8</f>
        <v>39656.368225065249</v>
      </c>
      <c r="H11" s="978">
        <f>huishoudens!G8</f>
        <v>0</v>
      </c>
      <c r="I11" s="978">
        <f>huishoudens!H8</f>
        <v>0</v>
      </c>
      <c r="J11" s="978">
        <f>huishoudens!I8</f>
        <v>0</v>
      </c>
      <c r="K11" s="978">
        <f>huishoudens!J8</f>
        <v>635.54435260237301</v>
      </c>
      <c r="L11" s="978">
        <f>huishoudens!K8</f>
        <v>0</v>
      </c>
      <c r="M11" s="978">
        <f>huishoudens!L8</f>
        <v>0</v>
      </c>
      <c r="N11" s="978">
        <f>huishoudens!M8</f>
        <v>0</v>
      </c>
      <c r="O11" s="978">
        <f>huishoudens!N8</f>
        <v>19140.173373815283</v>
      </c>
      <c r="P11" s="978">
        <f>huishoudens!O8</f>
        <v>429.91666666666669</v>
      </c>
      <c r="Q11" s="979">
        <f>huishoudens!P8</f>
        <v>1296.5333333333333</v>
      </c>
      <c r="R11" s="674">
        <f>SUM(C11:Q11)</f>
        <v>192041.49417220851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18488.675748149999</v>
      </c>
      <c r="D13" s="978">
        <f>industrie!C18</f>
        <v>0</v>
      </c>
      <c r="E13" s="978">
        <f>industrie!D18</f>
        <v>141225.06489273312</v>
      </c>
      <c r="F13" s="978">
        <f>industrie!E18</f>
        <v>1282.7207115355025</v>
      </c>
      <c r="G13" s="978">
        <f>industrie!F18</f>
        <v>5342.1173342245575</v>
      </c>
      <c r="H13" s="978">
        <f>industrie!G18</f>
        <v>0</v>
      </c>
      <c r="I13" s="978">
        <f>industrie!H18</f>
        <v>0</v>
      </c>
      <c r="J13" s="978">
        <f>industrie!I18</f>
        <v>0</v>
      </c>
      <c r="K13" s="978">
        <f>industrie!J18</f>
        <v>126.59498117804452</v>
      </c>
      <c r="L13" s="978">
        <f>industrie!K18</f>
        <v>0</v>
      </c>
      <c r="M13" s="978">
        <f>industrie!L18</f>
        <v>0</v>
      </c>
      <c r="N13" s="978">
        <f>industrie!M18</f>
        <v>0</v>
      </c>
      <c r="O13" s="978">
        <f>industrie!N18</f>
        <v>1286.3024534213105</v>
      </c>
      <c r="P13" s="978">
        <f>industrie!O18</f>
        <v>0</v>
      </c>
      <c r="Q13" s="979">
        <f>industrie!P18</f>
        <v>0</v>
      </c>
      <c r="R13" s="674">
        <f>SUM(C13:Q13)</f>
        <v>167751.47612124254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86026.911271909441</v>
      </c>
      <c r="D16" s="706">
        <f t="shared" ref="D16:R16" ca="1" si="0">SUM(D9:D15)</f>
        <v>642.85714285714289</v>
      </c>
      <c r="E16" s="706">
        <f t="shared" ca="1" si="0"/>
        <v>232774.58977601174</v>
      </c>
      <c r="F16" s="706">
        <f t="shared" si="0"/>
        <v>18408.356632717685</v>
      </c>
      <c r="G16" s="706">
        <f t="shared" ca="1" si="0"/>
        <v>50493.536241812668</v>
      </c>
      <c r="H16" s="706">
        <f t="shared" si="0"/>
        <v>0</v>
      </c>
      <c r="I16" s="706">
        <f t="shared" si="0"/>
        <v>0</v>
      </c>
      <c r="J16" s="706">
        <f t="shared" si="0"/>
        <v>0</v>
      </c>
      <c r="K16" s="706">
        <f t="shared" si="0"/>
        <v>762.13933378041747</v>
      </c>
      <c r="L16" s="706">
        <f t="shared" si="0"/>
        <v>0</v>
      </c>
      <c r="M16" s="706">
        <f t="shared" ca="1" si="0"/>
        <v>0</v>
      </c>
      <c r="N16" s="706">
        <f t="shared" si="0"/>
        <v>0</v>
      </c>
      <c r="O16" s="706">
        <f t="shared" ca="1" si="0"/>
        <v>20527.194248808217</v>
      </c>
      <c r="P16" s="706">
        <f t="shared" si="0"/>
        <v>437.73333333333335</v>
      </c>
      <c r="Q16" s="706">
        <f t="shared" si="0"/>
        <v>1315.6</v>
      </c>
      <c r="R16" s="706">
        <f t="shared" ca="1" si="0"/>
        <v>411388.9179812306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1131.072287626901</v>
      </c>
      <c r="I19" s="978">
        <f>transport!H54</f>
        <v>0</v>
      </c>
      <c r="J19" s="978">
        <f>transport!I54</f>
        <v>0</v>
      </c>
      <c r="K19" s="978">
        <f>transport!J54</f>
        <v>0</v>
      </c>
      <c r="L19" s="978">
        <f>transport!K54</f>
        <v>0</v>
      </c>
      <c r="M19" s="978">
        <f>transport!L54</f>
        <v>0</v>
      </c>
      <c r="N19" s="978">
        <f>transport!M54</f>
        <v>35.039043915315865</v>
      </c>
      <c r="O19" s="978">
        <f>transport!N54</f>
        <v>0</v>
      </c>
      <c r="P19" s="978">
        <f>transport!O54</f>
        <v>0</v>
      </c>
      <c r="Q19" s="979">
        <f>transport!P54</f>
        <v>0</v>
      </c>
      <c r="R19" s="674">
        <f>SUM(C19:Q19)</f>
        <v>1166.1113315422169</v>
      </c>
      <c r="S19" s="67"/>
    </row>
    <row r="20" spans="1:19" s="447" customFormat="1">
      <c r="A20" s="783" t="s">
        <v>306</v>
      </c>
      <c r="B20" s="788"/>
      <c r="C20" s="978">
        <f>transport!B14</f>
        <v>17.321560886392611</v>
      </c>
      <c r="D20" s="978">
        <f>transport!C14</f>
        <v>0</v>
      </c>
      <c r="E20" s="978">
        <f>transport!D14</f>
        <v>42.448876508336468</v>
      </c>
      <c r="F20" s="978">
        <f>transport!E14</f>
        <v>185.50465466968845</v>
      </c>
      <c r="G20" s="978">
        <f>transport!F14</f>
        <v>0</v>
      </c>
      <c r="H20" s="978">
        <f>transport!G14</f>
        <v>67784.519458922645</v>
      </c>
      <c r="I20" s="978">
        <f>transport!H14</f>
        <v>14311.120287994334</v>
      </c>
      <c r="J20" s="978">
        <f>transport!I14</f>
        <v>0</v>
      </c>
      <c r="K20" s="978">
        <f>transport!J14</f>
        <v>0</v>
      </c>
      <c r="L20" s="978">
        <f>transport!K14</f>
        <v>0</v>
      </c>
      <c r="M20" s="978">
        <f>transport!L14</f>
        <v>0</v>
      </c>
      <c r="N20" s="978">
        <f>transport!M14</f>
        <v>2561.4037483236652</v>
      </c>
      <c r="O20" s="978">
        <f>transport!N14</f>
        <v>0</v>
      </c>
      <c r="P20" s="978">
        <f>transport!O14</f>
        <v>0</v>
      </c>
      <c r="Q20" s="979">
        <f>transport!P14</f>
        <v>0</v>
      </c>
      <c r="R20" s="674">
        <f>SUM(C20:Q20)</f>
        <v>84902.318587305053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17.321560886392611</v>
      </c>
      <c r="D22" s="786">
        <f t="shared" ref="D22:R22" si="1">SUM(D18:D21)</f>
        <v>0</v>
      </c>
      <c r="E22" s="786">
        <f t="shared" si="1"/>
        <v>42.448876508336468</v>
      </c>
      <c r="F22" s="786">
        <f t="shared" si="1"/>
        <v>185.50465466968845</v>
      </c>
      <c r="G22" s="786">
        <f t="shared" si="1"/>
        <v>0</v>
      </c>
      <c r="H22" s="786">
        <f t="shared" si="1"/>
        <v>68915.591746549544</v>
      </c>
      <c r="I22" s="786">
        <f t="shared" si="1"/>
        <v>14311.120287994334</v>
      </c>
      <c r="J22" s="786">
        <f t="shared" si="1"/>
        <v>0</v>
      </c>
      <c r="K22" s="786">
        <f t="shared" si="1"/>
        <v>0</v>
      </c>
      <c r="L22" s="786">
        <f t="shared" si="1"/>
        <v>0</v>
      </c>
      <c r="M22" s="786">
        <f t="shared" si="1"/>
        <v>0</v>
      </c>
      <c r="N22" s="786">
        <f t="shared" si="1"/>
        <v>2596.4427922389809</v>
      </c>
      <c r="O22" s="786">
        <f t="shared" si="1"/>
        <v>0</v>
      </c>
      <c r="P22" s="786">
        <f t="shared" si="1"/>
        <v>0</v>
      </c>
      <c r="Q22" s="786">
        <f t="shared" si="1"/>
        <v>0</v>
      </c>
      <c r="R22" s="786">
        <f t="shared" si="1"/>
        <v>86068.429918847265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2404.7136279600004</v>
      </c>
      <c r="D24" s="978">
        <f>+landbouw!C8</f>
        <v>0</v>
      </c>
      <c r="E24" s="978">
        <f>+landbouw!D8</f>
        <v>475.25487277070005</v>
      </c>
      <c r="F24" s="978">
        <f>+landbouw!E8</f>
        <v>62.008331432231891</v>
      </c>
      <c r="G24" s="978">
        <f>+landbouw!F8</f>
        <v>8789.6862656580797</v>
      </c>
      <c r="H24" s="978">
        <f>+landbouw!G8</f>
        <v>0</v>
      </c>
      <c r="I24" s="978">
        <f>+landbouw!H8</f>
        <v>0</v>
      </c>
      <c r="J24" s="978">
        <f>+landbouw!I8</f>
        <v>0</v>
      </c>
      <c r="K24" s="978">
        <f>+landbouw!J8</f>
        <v>346.19030105064689</v>
      </c>
      <c r="L24" s="978">
        <f>+landbouw!K8</f>
        <v>0</v>
      </c>
      <c r="M24" s="978">
        <f>+landbouw!L8</f>
        <v>0</v>
      </c>
      <c r="N24" s="978">
        <f>+landbouw!M8</f>
        <v>0</v>
      </c>
      <c r="O24" s="978">
        <f>+landbouw!N8</f>
        <v>0</v>
      </c>
      <c r="P24" s="978">
        <f>+landbouw!O8</f>
        <v>0</v>
      </c>
      <c r="Q24" s="979">
        <f>+landbouw!P8</f>
        <v>0</v>
      </c>
      <c r="R24" s="674">
        <f>SUM(C24:Q24)</f>
        <v>12077.853398871659</v>
      </c>
      <c r="S24" s="67"/>
    </row>
    <row r="25" spans="1:19" s="447" customFormat="1" ht="15" thickBot="1">
      <c r="A25" s="805" t="s">
        <v>834</v>
      </c>
      <c r="B25" s="981"/>
      <c r="C25" s="982">
        <f>IF(Onbekend_ele_kWh="---",0,Onbekend_ele_kWh)/1000+IF(REST_rest_ele_kWh="---",0,REST_rest_ele_kWh)/1000</f>
        <v>1194.0375649</v>
      </c>
      <c r="D25" s="982"/>
      <c r="E25" s="982">
        <f>IF(onbekend_gas_kWh="---",0,onbekend_gas_kWh)/1000+IF(REST_rest_gas_kWh="---",0,REST_rest_gas_kWh)/1000</f>
        <v>2177.1711513999999</v>
      </c>
      <c r="F25" s="982"/>
      <c r="G25" s="982"/>
      <c r="H25" s="982"/>
      <c r="I25" s="982"/>
      <c r="J25" s="982"/>
      <c r="K25" s="982"/>
      <c r="L25" s="982"/>
      <c r="M25" s="982"/>
      <c r="N25" s="982"/>
      <c r="O25" s="982"/>
      <c r="P25" s="982"/>
      <c r="Q25" s="983"/>
      <c r="R25" s="674">
        <f>SUM(C25:Q25)</f>
        <v>3371.2087162999997</v>
      </c>
      <c r="S25" s="67"/>
    </row>
    <row r="26" spans="1:19" s="447" customFormat="1" ht="15.75" thickBot="1">
      <c r="A26" s="679" t="s">
        <v>835</v>
      </c>
      <c r="B26" s="791"/>
      <c r="C26" s="786">
        <f>SUM(C24:C25)</f>
        <v>3598.7511928600006</v>
      </c>
      <c r="D26" s="786">
        <f t="shared" ref="D26:R26" si="2">SUM(D24:D25)</f>
        <v>0</v>
      </c>
      <c r="E26" s="786">
        <f t="shared" si="2"/>
        <v>2652.4260241706997</v>
      </c>
      <c r="F26" s="786">
        <f t="shared" si="2"/>
        <v>62.008331432231891</v>
      </c>
      <c r="G26" s="786">
        <f t="shared" si="2"/>
        <v>8789.6862656580797</v>
      </c>
      <c r="H26" s="786">
        <f t="shared" si="2"/>
        <v>0</v>
      </c>
      <c r="I26" s="786">
        <f t="shared" si="2"/>
        <v>0</v>
      </c>
      <c r="J26" s="786">
        <f t="shared" si="2"/>
        <v>0</v>
      </c>
      <c r="K26" s="786">
        <f t="shared" si="2"/>
        <v>346.19030105064689</v>
      </c>
      <c r="L26" s="786">
        <f t="shared" si="2"/>
        <v>0</v>
      </c>
      <c r="M26" s="786">
        <f t="shared" si="2"/>
        <v>0</v>
      </c>
      <c r="N26" s="786">
        <f t="shared" si="2"/>
        <v>0</v>
      </c>
      <c r="O26" s="786">
        <f t="shared" si="2"/>
        <v>0</v>
      </c>
      <c r="P26" s="786">
        <f t="shared" si="2"/>
        <v>0</v>
      </c>
      <c r="Q26" s="786">
        <f t="shared" si="2"/>
        <v>0</v>
      </c>
      <c r="R26" s="786">
        <f t="shared" si="2"/>
        <v>15449.062115171659</v>
      </c>
      <c r="S26" s="67"/>
    </row>
    <row r="27" spans="1:19" s="447" customFormat="1" ht="17.25" thickTop="1" thickBot="1">
      <c r="A27" s="680" t="s">
        <v>115</v>
      </c>
      <c r="B27" s="779"/>
      <c r="C27" s="681">
        <f ca="1">C22+C16+C26</f>
        <v>89642.984025655838</v>
      </c>
      <c r="D27" s="681">
        <f t="shared" ref="D27:R27" ca="1" si="3">D22+D16+D26</f>
        <v>642.85714285714289</v>
      </c>
      <c r="E27" s="681">
        <f t="shared" ca="1" si="3"/>
        <v>235469.46467669078</v>
      </c>
      <c r="F27" s="681">
        <f t="shared" si="3"/>
        <v>18655.869618819605</v>
      </c>
      <c r="G27" s="681">
        <f t="shared" ca="1" si="3"/>
        <v>59283.222507470746</v>
      </c>
      <c r="H27" s="681">
        <f t="shared" si="3"/>
        <v>68915.591746549544</v>
      </c>
      <c r="I27" s="681">
        <f t="shared" si="3"/>
        <v>14311.120287994334</v>
      </c>
      <c r="J27" s="681">
        <f t="shared" si="3"/>
        <v>0</v>
      </c>
      <c r="K27" s="681">
        <f t="shared" si="3"/>
        <v>1108.3296348310644</v>
      </c>
      <c r="L27" s="681">
        <f t="shared" si="3"/>
        <v>0</v>
      </c>
      <c r="M27" s="681">
        <f t="shared" ca="1" si="3"/>
        <v>0</v>
      </c>
      <c r="N27" s="681">
        <f t="shared" si="3"/>
        <v>2596.4427922389809</v>
      </c>
      <c r="O27" s="681">
        <f t="shared" ca="1" si="3"/>
        <v>20527.194248808217</v>
      </c>
      <c r="P27" s="681">
        <f t="shared" si="3"/>
        <v>437.73333333333335</v>
      </c>
      <c r="Q27" s="681">
        <f t="shared" si="3"/>
        <v>1315.6</v>
      </c>
      <c r="R27" s="681">
        <f t="shared" ca="1" si="3"/>
        <v>512906.41001524951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4655.1596499694097</v>
      </c>
      <c r="D40" s="978">
        <f ca="1">tertiair!C20</f>
        <v>0</v>
      </c>
      <c r="E40" s="978">
        <f ca="1">tertiair!D20</f>
        <v>4139.7854105415208</v>
      </c>
      <c r="F40" s="978">
        <f>tertiair!E20</f>
        <v>93.438256535317748</v>
      </c>
      <c r="G40" s="978">
        <f ca="1">tertiair!F20</f>
        <v>1467.1785322336034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10355.561849279851</v>
      </c>
    </row>
    <row r="41" spans="1:18">
      <c r="A41" s="796" t="s">
        <v>224</v>
      </c>
      <c r="B41" s="803"/>
      <c r="C41" s="978">
        <f ca="1">huishoudens!B12</f>
        <v>8217.0399192196819</v>
      </c>
      <c r="D41" s="978">
        <f ca="1">huishoudens!C12</f>
        <v>0</v>
      </c>
      <c r="E41" s="978">
        <f>huishoudens!D12</f>
        <v>14353.21861588076</v>
      </c>
      <c r="F41" s="978">
        <f>huishoudens!E12</f>
        <v>3794.0810975730383</v>
      </c>
      <c r="G41" s="978">
        <f>huishoudens!F12</f>
        <v>10588.250316092423</v>
      </c>
      <c r="H41" s="978">
        <f>huishoudens!G12</f>
        <v>0</v>
      </c>
      <c r="I41" s="978">
        <f>huishoudens!H12</f>
        <v>0</v>
      </c>
      <c r="J41" s="978">
        <f>huishoudens!I12</f>
        <v>0</v>
      </c>
      <c r="K41" s="978">
        <f>huishoudens!J12</f>
        <v>224.98270082124003</v>
      </c>
      <c r="L41" s="978">
        <f>huishoudens!K12</f>
        <v>0</v>
      </c>
      <c r="M41" s="978">
        <f>huishoudens!L12</f>
        <v>0</v>
      </c>
      <c r="N41" s="978">
        <f>huishoudens!M12</f>
        <v>0</v>
      </c>
      <c r="O41" s="978">
        <f>huishoudens!N12</f>
        <v>0</v>
      </c>
      <c r="P41" s="978">
        <f>huishoudens!O12</f>
        <v>0</v>
      </c>
      <c r="Q41" s="748">
        <f>huishoudens!P12</f>
        <v>0</v>
      </c>
      <c r="R41" s="824">
        <f t="shared" ca="1" si="4"/>
        <v>37177.572649587142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3523.7805985690902</v>
      </c>
      <c r="D43" s="978">
        <f ca="1">industrie!C22</f>
        <v>0</v>
      </c>
      <c r="E43" s="978">
        <f>industrie!D22</f>
        <v>28527.463108332093</v>
      </c>
      <c r="F43" s="978">
        <f>industrie!E22</f>
        <v>291.17760151855907</v>
      </c>
      <c r="G43" s="978">
        <f>industrie!F22</f>
        <v>1426.3453282379569</v>
      </c>
      <c r="H43" s="978">
        <f>industrie!G22</f>
        <v>0</v>
      </c>
      <c r="I43" s="978">
        <f>industrie!H22</f>
        <v>0</v>
      </c>
      <c r="J43" s="978">
        <f>industrie!I22</f>
        <v>0</v>
      </c>
      <c r="K43" s="978">
        <f>industrie!J22</f>
        <v>44.814623337027754</v>
      </c>
      <c r="L43" s="978">
        <f>industrie!K22</f>
        <v>0</v>
      </c>
      <c r="M43" s="978">
        <f>industrie!L22</f>
        <v>0</v>
      </c>
      <c r="N43" s="978">
        <f>industrie!M22</f>
        <v>0</v>
      </c>
      <c r="O43" s="978">
        <f>industrie!N22</f>
        <v>0</v>
      </c>
      <c r="P43" s="978">
        <f>industrie!O22</f>
        <v>0</v>
      </c>
      <c r="Q43" s="748">
        <f>industrie!P22</f>
        <v>0</v>
      </c>
      <c r="R43" s="823">
        <f t="shared" ca="1" si="4"/>
        <v>33813.581259994731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16395.980167758182</v>
      </c>
      <c r="D46" s="706">
        <f t="shared" ref="D46:Q46" ca="1" si="5">SUM(D39:D45)</f>
        <v>0</v>
      </c>
      <c r="E46" s="706">
        <f t="shared" ca="1" si="5"/>
        <v>47020.467134754377</v>
      </c>
      <c r="F46" s="706">
        <f t="shared" si="5"/>
        <v>4178.696955626915</v>
      </c>
      <c r="G46" s="706">
        <f t="shared" ca="1" si="5"/>
        <v>13481.774176563984</v>
      </c>
      <c r="H46" s="706">
        <f t="shared" si="5"/>
        <v>0</v>
      </c>
      <c r="I46" s="706">
        <f t="shared" si="5"/>
        <v>0</v>
      </c>
      <c r="J46" s="706">
        <f t="shared" si="5"/>
        <v>0</v>
      </c>
      <c r="K46" s="706">
        <f t="shared" si="5"/>
        <v>269.79732415826777</v>
      </c>
      <c r="L46" s="706">
        <f t="shared" si="5"/>
        <v>0</v>
      </c>
      <c r="M46" s="706">
        <f t="shared" ca="1" si="5"/>
        <v>0</v>
      </c>
      <c r="N46" s="706">
        <f t="shared" si="5"/>
        <v>0</v>
      </c>
      <c r="O46" s="706">
        <f t="shared" ca="1" si="5"/>
        <v>0</v>
      </c>
      <c r="P46" s="706">
        <f t="shared" si="5"/>
        <v>0</v>
      </c>
      <c r="Q46" s="706">
        <f t="shared" si="5"/>
        <v>0</v>
      </c>
      <c r="R46" s="706">
        <f ca="1">SUM(R39:R45)</f>
        <v>81346.715758861726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301.99630079638257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301.99630079638257</v>
      </c>
    </row>
    <row r="50" spans="1:18">
      <c r="A50" s="799" t="s">
        <v>306</v>
      </c>
      <c r="B50" s="809"/>
      <c r="C50" s="677">
        <f ca="1">transport!B18</f>
        <v>3.3013386691316153</v>
      </c>
      <c r="D50" s="677">
        <f>transport!C18</f>
        <v>0</v>
      </c>
      <c r="E50" s="677">
        <f>transport!D18</f>
        <v>8.5746730546839665</v>
      </c>
      <c r="F50" s="677">
        <f>transport!E18</f>
        <v>42.109556610019283</v>
      </c>
      <c r="G50" s="677">
        <f>transport!F18</f>
        <v>0</v>
      </c>
      <c r="H50" s="677">
        <f>transport!G18</f>
        <v>18098.466695532348</v>
      </c>
      <c r="I50" s="677">
        <f>transport!H18</f>
        <v>3563.468951710589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21715.921215576775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3.3013386691316153</v>
      </c>
      <c r="D52" s="706">
        <f t="shared" ref="D52:Q52" ca="1" si="6">SUM(D48:D51)</f>
        <v>0</v>
      </c>
      <c r="E52" s="706">
        <f t="shared" si="6"/>
        <v>8.5746730546839665</v>
      </c>
      <c r="F52" s="706">
        <f t="shared" si="6"/>
        <v>42.109556610019283</v>
      </c>
      <c r="G52" s="706">
        <f t="shared" si="6"/>
        <v>0</v>
      </c>
      <c r="H52" s="706">
        <f t="shared" si="6"/>
        <v>18400.46299632873</v>
      </c>
      <c r="I52" s="706">
        <f t="shared" si="6"/>
        <v>3563.468951710589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22017.917516373156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458.31747728974187</v>
      </c>
      <c r="D54" s="677">
        <f ca="1">+landbouw!C12</f>
        <v>0</v>
      </c>
      <c r="E54" s="677">
        <f>+landbouw!D12</f>
        <v>96.001484299681422</v>
      </c>
      <c r="F54" s="677">
        <f>+landbouw!E12</f>
        <v>14.075891235116639</v>
      </c>
      <c r="G54" s="677">
        <f>+landbouw!F12</f>
        <v>2346.8462329307076</v>
      </c>
      <c r="H54" s="677">
        <f>+landbouw!G12</f>
        <v>0</v>
      </c>
      <c r="I54" s="677">
        <f>+landbouw!H12</f>
        <v>0</v>
      </c>
      <c r="J54" s="677">
        <f>+landbouw!I12</f>
        <v>0</v>
      </c>
      <c r="K54" s="677">
        <f>+landbouw!J12</f>
        <v>122.55136657192899</v>
      </c>
      <c r="L54" s="677">
        <f>+landbouw!K12</f>
        <v>0</v>
      </c>
      <c r="M54" s="677">
        <f>+landbouw!L12</f>
        <v>0</v>
      </c>
      <c r="N54" s="677">
        <f>+landbouw!M12</f>
        <v>0</v>
      </c>
      <c r="O54" s="677">
        <f>+landbouw!N12</f>
        <v>0</v>
      </c>
      <c r="P54" s="677">
        <f>+landbouw!O12</f>
        <v>0</v>
      </c>
      <c r="Q54" s="678">
        <f>+landbouw!P12</f>
        <v>0</v>
      </c>
      <c r="R54" s="705">
        <f ca="1">SUM(C54:Q54)</f>
        <v>3037.7924523271768</v>
      </c>
    </row>
    <row r="55" spans="1:18" ht="15" thickBot="1">
      <c r="A55" s="799" t="s">
        <v>834</v>
      </c>
      <c r="B55" s="809"/>
      <c r="C55" s="677">
        <f ca="1">C25*'EF ele_warmte'!B12</f>
        <v>227.57316221408186</v>
      </c>
      <c r="D55" s="677"/>
      <c r="E55" s="677">
        <f>E25*EF_CO2_aardgas</f>
        <v>439.78857258279999</v>
      </c>
      <c r="F55" s="677"/>
      <c r="G55" s="677"/>
      <c r="H55" s="677"/>
      <c r="I55" s="677"/>
      <c r="J55" s="677"/>
      <c r="K55" s="677"/>
      <c r="L55" s="677"/>
      <c r="M55" s="677"/>
      <c r="N55" s="677"/>
      <c r="O55" s="677"/>
      <c r="P55" s="677"/>
      <c r="Q55" s="678"/>
      <c r="R55" s="705">
        <f ca="1">SUM(C55:Q55)</f>
        <v>667.36173479688182</v>
      </c>
    </row>
    <row r="56" spans="1:18" ht="15.75" thickBot="1">
      <c r="A56" s="797" t="s">
        <v>835</v>
      </c>
      <c r="B56" s="810"/>
      <c r="C56" s="706">
        <f ca="1">SUM(C54:C55)</f>
        <v>685.89063950382376</v>
      </c>
      <c r="D56" s="706">
        <f t="shared" ref="D56:Q56" ca="1" si="7">SUM(D54:D55)</f>
        <v>0</v>
      </c>
      <c r="E56" s="706">
        <f t="shared" si="7"/>
        <v>535.79005688248139</v>
      </c>
      <c r="F56" s="706">
        <f t="shared" si="7"/>
        <v>14.075891235116639</v>
      </c>
      <c r="G56" s="706">
        <f t="shared" si="7"/>
        <v>2346.8462329307076</v>
      </c>
      <c r="H56" s="706">
        <f t="shared" si="7"/>
        <v>0</v>
      </c>
      <c r="I56" s="706">
        <f t="shared" si="7"/>
        <v>0</v>
      </c>
      <c r="J56" s="706">
        <f t="shared" si="7"/>
        <v>0</v>
      </c>
      <c r="K56" s="706">
        <f t="shared" si="7"/>
        <v>122.55136657192899</v>
      </c>
      <c r="L56" s="706">
        <f t="shared" si="7"/>
        <v>0</v>
      </c>
      <c r="M56" s="706">
        <f t="shared" si="7"/>
        <v>0</v>
      </c>
      <c r="N56" s="706">
        <f t="shared" si="7"/>
        <v>0</v>
      </c>
      <c r="O56" s="706">
        <f t="shared" si="7"/>
        <v>0</v>
      </c>
      <c r="P56" s="706">
        <f t="shared" si="7"/>
        <v>0</v>
      </c>
      <c r="Q56" s="707">
        <f t="shared" si="7"/>
        <v>0</v>
      </c>
      <c r="R56" s="708">
        <f ca="1">SUM(R54:R55)</f>
        <v>3705.1541871240588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17085.172145931137</v>
      </c>
      <c r="D61" s="714">
        <f t="shared" ref="D61:Q61" ca="1" si="8">D46+D52+D56</f>
        <v>0</v>
      </c>
      <c r="E61" s="714">
        <f t="shared" ca="1" si="8"/>
        <v>47564.831864691543</v>
      </c>
      <c r="F61" s="714">
        <f t="shared" si="8"/>
        <v>4234.882403472051</v>
      </c>
      <c r="G61" s="714">
        <f t="shared" ca="1" si="8"/>
        <v>15828.620409494692</v>
      </c>
      <c r="H61" s="714">
        <f t="shared" si="8"/>
        <v>18400.46299632873</v>
      </c>
      <c r="I61" s="714">
        <f t="shared" si="8"/>
        <v>3563.468951710589</v>
      </c>
      <c r="J61" s="714">
        <f t="shared" si="8"/>
        <v>0</v>
      </c>
      <c r="K61" s="714">
        <f t="shared" si="8"/>
        <v>392.34869073019678</v>
      </c>
      <c r="L61" s="714">
        <f t="shared" si="8"/>
        <v>0</v>
      </c>
      <c r="M61" s="714">
        <f t="shared" ca="1" si="8"/>
        <v>0</v>
      </c>
      <c r="N61" s="714">
        <f t="shared" si="8"/>
        <v>0</v>
      </c>
      <c r="O61" s="714">
        <f t="shared" ca="1" si="8"/>
        <v>0</v>
      </c>
      <c r="P61" s="714">
        <f t="shared" si="8"/>
        <v>0</v>
      </c>
      <c r="Q61" s="714">
        <f t="shared" si="8"/>
        <v>0</v>
      </c>
      <c r="R61" s="714">
        <f ca="1">R46+R52+R56</f>
        <v>107069.78746235895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0.19059129201947761</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3615.8951547957604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8268.6176223028997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450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529.41176470588232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12334.51277709866</v>
      </c>
      <c r="C78" s="729">
        <f>SUM(C72:C77)</f>
        <v>0</v>
      </c>
      <c r="D78" s="730">
        <f t="shared" ref="D78:H78" si="10">SUM(D76:D77)</f>
        <v>0</v>
      </c>
      <c r="E78" s="730">
        <f t="shared" si="10"/>
        <v>0</v>
      </c>
      <c r="F78" s="730">
        <f t="shared" si="10"/>
        <v>0</v>
      </c>
      <c r="G78" s="730">
        <f t="shared" si="10"/>
        <v>0</v>
      </c>
      <c r="H78" s="730">
        <f t="shared" si="10"/>
        <v>0</v>
      </c>
      <c r="I78" s="730">
        <f>SUM(I76:I77)</f>
        <v>0</v>
      </c>
      <c r="J78" s="730">
        <f>SUM(J76:J77)</f>
        <v>529.41176470588232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642.85714285714289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756.30252100840346</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642.85714285714289</v>
      </c>
      <c r="C90" s="729">
        <f>SUM(C87:C89)</f>
        <v>0</v>
      </c>
      <c r="D90" s="729">
        <f t="shared" ref="D90:H90" si="12">SUM(D87:D89)</f>
        <v>0</v>
      </c>
      <c r="E90" s="729">
        <f t="shared" si="12"/>
        <v>0</v>
      </c>
      <c r="F90" s="729">
        <f t="shared" si="12"/>
        <v>0</v>
      </c>
      <c r="G90" s="729">
        <f t="shared" si="12"/>
        <v>0</v>
      </c>
      <c r="H90" s="729">
        <f t="shared" si="12"/>
        <v>0</v>
      </c>
      <c r="I90" s="729">
        <f>SUM(I87:I89)</f>
        <v>0</v>
      </c>
      <c r="J90" s="729">
        <f>SUM(J87:J89)</f>
        <v>756.30252100840346</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43113.406872649437</v>
      </c>
      <c r="C4" s="451">
        <f>huishoudens!C8</f>
        <v>0</v>
      </c>
      <c r="D4" s="451">
        <f>huishoudens!D8</f>
        <v>71055.537702379996</v>
      </c>
      <c r="E4" s="451">
        <f>huishoudens!E8</f>
        <v>16714.013645696203</v>
      </c>
      <c r="F4" s="451">
        <f>huishoudens!F8</f>
        <v>39656.368225065249</v>
      </c>
      <c r="G4" s="451">
        <f>huishoudens!G8</f>
        <v>0</v>
      </c>
      <c r="H4" s="451">
        <f>huishoudens!H8</f>
        <v>0</v>
      </c>
      <c r="I4" s="451">
        <f>huishoudens!I8</f>
        <v>0</v>
      </c>
      <c r="J4" s="451">
        <f>huishoudens!J8</f>
        <v>635.54435260237301</v>
      </c>
      <c r="K4" s="451">
        <f>huishoudens!K8</f>
        <v>0</v>
      </c>
      <c r="L4" s="451">
        <f>huishoudens!L8</f>
        <v>0</v>
      </c>
      <c r="M4" s="451">
        <f>huishoudens!M8</f>
        <v>0</v>
      </c>
      <c r="N4" s="451">
        <f>huishoudens!N8</f>
        <v>19140.173373815283</v>
      </c>
      <c r="O4" s="451">
        <f>huishoudens!O8</f>
        <v>429.91666666666669</v>
      </c>
      <c r="P4" s="452">
        <f>huishoudens!P8</f>
        <v>1296.5333333333333</v>
      </c>
      <c r="Q4" s="453">
        <f>SUM(B4:P4)</f>
        <v>192041.49417220851</v>
      </c>
    </row>
    <row r="5" spans="1:17">
      <c r="A5" s="450" t="s">
        <v>155</v>
      </c>
      <c r="B5" s="451">
        <f ca="1">tertiair!B16</f>
        <v>22528.57065111</v>
      </c>
      <c r="C5" s="451">
        <f ca="1">tertiair!C16</f>
        <v>642.85714285714289</v>
      </c>
      <c r="D5" s="451">
        <f ca="1">tertiair!D16</f>
        <v>20493.987180898617</v>
      </c>
      <c r="E5" s="451">
        <f>tertiair!E16</f>
        <v>411.62227548598128</v>
      </c>
      <c r="F5" s="451">
        <f ca="1">tertiair!F16</f>
        <v>5495.0506825228586</v>
      </c>
      <c r="G5" s="451">
        <f>tertiair!G16</f>
        <v>0</v>
      </c>
      <c r="H5" s="451">
        <f>tertiair!H16</f>
        <v>0</v>
      </c>
      <c r="I5" s="451">
        <f>tertiair!I16</f>
        <v>0</v>
      </c>
      <c r="J5" s="451">
        <f>tertiair!J16</f>
        <v>0</v>
      </c>
      <c r="K5" s="451">
        <f>tertiair!K16</f>
        <v>0</v>
      </c>
      <c r="L5" s="451">
        <f ca="1">tertiair!L16</f>
        <v>0</v>
      </c>
      <c r="M5" s="451">
        <f>tertiair!M16</f>
        <v>0</v>
      </c>
      <c r="N5" s="451">
        <f ca="1">tertiair!N16</f>
        <v>100.71842157162132</v>
      </c>
      <c r="O5" s="451">
        <f>tertiair!O16</f>
        <v>7.8166666666666664</v>
      </c>
      <c r="P5" s="452">
        <f>tertiair!P16</f>
        <v>19.066666666666666</v>
      </c>
      <c r="Q5" s="450">
        <f t="shared" ref="Q5:Q14" ca="1" si="0">SUM(B5:P5)</f>
        <v>49699.689687779552</v>
      </c>
    </row>
    <row r="6" spans="1:17">
      <c r="A6" s="450" t="s">
        <v>193</v>
      </c>
      <c r="B6" s="451">
        <f>'openbare verlichting'!B8</f>
        <v>1896.258</v>
      </c>
      <c r="C6" s="451"/>
      <c r="D6" s="451"/>
      <c r="E6" s="451"/>
      <c r="F6" s="451"/>
      <c r="G6" s="451"/>
      <c r="H6" s="451"/>
      <c r="I6" s="451"/>
      <c r="J6" s="451"/>
      <c r="K6" s="451"/>
      <c r="L6" s="451"/>
      <c r="M6" s="451"/>
      <c r="N6" s="451"/>
      <c r="O6" s="451"/>
      <c r="P6" s="452"/>
      <c r="Q6" s="450">
        <f t="shared" si="0"/>
        <v>1896.258</v>
      </c>
    </row>
    <row r="7" spans="1:17">
      <c r="A7" s="450" t="s">
        <v>111</v>
      </c>
      <c r="B7" s="451">
        <f>landbouw!B8</f>
        <v>2404.7136279600004</v>
      </c>
      <c r="C7" s="451">
        <f>landbouw!C8</f>
        <v>0</v>
      </c>
      <c r="D7" s="451">
        <f>landbouw!D8</f>
        <v>475.25487277070005</v>
      </c>
      <c r="E7" s="451">
        <f>landbouw!E8</f>
        <v>62.008331432231891</v>
      </c>
      <c r="F7" s="451">
        <f>landbouw!F8</f>
        <v>8789.6862656580797</v>
      </c>
      <c r="G7" s="451">
        <f>landbouw!G8</f>
        <v>0</v>
      </c>
      <c r="H7" s="451">
        <f>landbouw!H8</f>
        <v>0</v>
      </c>
      <c r="I7" s="451">
        <f>landbouw!I8</f>
        <v>0</v>
      </c>
      <c r="J7" s="451">
        <f>landbouw!J8</f>
        <v>346.19030105064689</v>
      </c>
      <c r="K7" s="451">
        <f>landbouw!K8</f>
        <v>0</v>
      </c>
      <c r="L7" s="451">
        <f>landbouw!L8</f>
        <v>0</v>
      </c>
      <c r="M7" s="451">
        <f>landbouw!M8</f>
        <v>0</v>
      </c>
      <c r="N7" s="451">
        <f>landbouw!N8</f>
        <v>0</v>
      </c>
      <c r="O7" s="451">
        <f>landbouw!O8</f>
        <v>0</v>
      </c>
      <c r="P7" s="452">
        <f>landbouw!P8</f>
        <v>0</v>
      </c>
      <c r="Q7" s="450">
        <f t="shared" si="0"/>
        <v>12077.853398871659</v>
      </c>
    </row>
    <row r="8" spans="1:17">
      <c r="A8" s="450" t="s">
        <v>637</v>
      </c>
      <c r="B8" s="451">
        <f>industrie!B18</f>
        <v>18488.675748149999</v>
      </c>
      <c r="C8" s="451">
        <f>industrie!C18</f>
        <v>0</v>
      </c>
      <c r="D8" s="451">
        <f>industrie!D18</f>
        <v>141225.06489273312</v>
      </c>
      <c r="E8" s="451">
        <f>industrie!E18</f>
        <v>1282.7207115355025</v>
      </c>
      <c r="F8" s="451">
        <f>industrie!F18</f>
        <v>5342.1173342245575</v>
      </c>
      <c r="G8" s="451">
        <f>industrie!G18</f>
        <v>0</v>
      </c>
      <c r="H8" s="451">
        <f>industrie!H18</f>
        <v>0</v>
      </c>
      <c r="I8" s="451">
        <f>industrie!I18</f>
        <v>0</v>
      </c>
      <c r="J8" s="451">
        <f>industrie!J18</f>
        <v>126.59498117804452</v>
      </c>
      <c r="K8" s="451">
        <f>industrie!K18</f>
        <v>0</v>
      </c>
      <c r="L8" s="451">
        <f>industrie!L18</f>
        <v>0</v>
      </c>
      <c r="M8" s="451">
        <f>industrie!M18</f>
        <v>0</v>
      </c>
      <c r="N8" s="451">
        <f>industrie!N18</f>
        <v>1286.3024534213105</v>
      </c>
      <c r="O8" s="451">
        <f>industrie!O18</f>
        <v>0</v>
      </c>
      <c r="P8" s="452">
        <f>industrie!P18</f>
        <v>0</v>
      </c>
      <c r="Q8" s="450">
        <f t="shared" si="0"/>
        <v>167751.47612124254</v>
      </c>
    </row>
    <row r="9" spans="1:17" s="456" customFormat="1">
      <c r="A9" s="454" t="s">
        <v>563</v>
      </c>
      <c r="B9" s="455">
        <f>transport!B14</f>
        <v>17.321560886392611</v>
      </c>
      <c r="C9" s="455">
        <f>transport!C14</f>
        <v>0</v>
      </c>
      <c r="D9" s="455">
        <f>transport!D14</f>
        <v>42.448876508336468</v>
      </c>
      <c r="E9" s="455">
        <f>transport!E14</f>
        <v>185.50465466968845</v>
      </c>
      <c r="F9" s="455">
        <f>transport!F14</f>
        <v>0</v>
      </c>
      <c r="G9" s="455">
        <f>transport!G14</f>
        <v>67784.519458922645</v>
      </c>
      <c r="H9" s="455">
        <f>transport!H14</f>
        <v>14311.120287994334</v>
      </c>
      <c r="I9" s="455">
        <f>transport!I14</f>
        <v>0</v>
      </c>
      <c r="J9" s="455">
        <f>transport!J14</f>
        <v>0</v>
      </c>
      <c r="K9" s="455">
        <f>transport!K14</f>
        <v>0</v>
      </c>
      <c r="L9" s="455">
        <f>transport!L14</f>
        <v>0</v>
      </c>
      <c r="M9" s="455">
        <f>transport!M14</f>
        <v>2561.4037483236652</v>
      </c>
      <c r="N9" s="455">
        <f>transport!N14</f>
        <v>0</v>
      </c>
      <c r="O9" s="455">
        <f>transport!O14</f>
        <v>0</v>
      </c>
      <c r="P9" s="455">
        <f>transport!P14</f>
        <v>0</v>
      </c>
      <c r="Q9" s="454">
        <f>SUM(B9:P9)</f>
        <v>84902.318587305053</v>
      </c>
    </row>
    <row r="10" spans="1:17">
      <c r="A10" s="450" t="s">
        <v>553</v>
      </c>
      <c r="B10" s="451">
        <f>transport!B54</f>
        <v>0</v>
      </c>
      <c r="C10" s="451">
        <f>transport!C54</f>
        <v>0</v>
      </c>
      <c r="D10" s="451">
        <f>transport!D54</f>
        <v>0</v>
      </c>
      <c r="E10" s="451">
        <f>transport!E54</f>
        <v>0</v>
      </c>
      <c r="F10" s="451">
        <f>transport!F54</f>
        <v>0</v>
      </c>
      <c r="G10" s="451">
        <f>transport!G54</f>
        <v>1131.072287626901</v>
      </c>
      <c r="H10" s="451">
        <f>transport!H54</f>
        <v>0</v>
      </c>
      <c r="I10" s="451">
        <f>transport!I54</f>
        <v>0</v>
      </c>
      <c r="J10" s="451">
        <f>transport!J54</f>
        <v>0</v>
      </c>
      <c r="K10" s="451">
        <f>transport!K54</f>
        <v>0</v>
      </c>
      <c r="L10" s="451">
        <f>transport!L54</f>
        <v>0</v>
      </c>
      <c r="M10" s="451">
        <f>transport!M54</f>
        <v>35.039043915315865</v>
      </c>
      <c r="N10" s="451">
        <f>transport!N54</f>
        <v>0</v>
      </c>
      <c r="O10" s="451">
        <f>transport!O54</f>
        <v>0</v>
      </c>
      <c r="P10" s="452">
        <f>transport!P54</f>
        <v>0</v>
      </c>
      <c r="Q10" s="450">
        <f t="shared" si="0"/>
        <v>1166.1113315422169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1194.0375649</v>
      </c>
      <c r="C14" s="458"/>
      <c r="D14" s="458">
        <f>'SEAP template'!E25</f>
        <v>2177.1711513999999</v>
      </c>
      <c r="E14" s="458"/>
      <c r="F14" s="458"/>
      <c r="G14" s="458"/>
      <c r="H14" s="458"/>
      <c r="I14" s="458"/>
      <c r="J14" s="458"/>
      <c r="K14" s="458"/>
      <c r="L14" s="458"/>
      <c r="M14" s="458"/>
      <c r="N14" s="458"/>
      <c r="O14" s="458"/>
      <c r="P14" s="459"/>
      <c r="Q14" s="450">
        <f t="shared" si="0"/>
        <v>3371.2087162999997</v>
      </c>
    </row>
    <row r="15" spans="1:17" s="460" customFormat="1">
      <c r="A15" s="1004" t="s">
        <v>557</v>
      </c>
      <c r="B15" s="944">
        <f ca="1">SUM(B4:B14)</f>
        <v>89642.984025655838</v>
      </c>
      <c r="C15" s="944">
        <f t="shared" ref="C15:Q15" ca="1" si="1">SUM(C4:C14)</f>
        <v>642.85714285714289</v>
      </c>
      <c r="D15" s="944">
        <f t="shared" ca="1" si="1"/>
        <v>235469.46467669078</v>
      </c>
      <c r="E15" s="944">
        <f t="shared" si="1"/>
        <v>18655.869618819605</v>
      </c>
      <c r="F15" s="944">
        <f t="shared" ca="1" si="1"/>
        <v>59283.222507470746</v>
      </c>
      <c r="G15" s="944">
        <f t="shared" si="1"/>
        <v>68915.591746549544</v>
      </c>
      <c r="H15" s="944">
        <f t="shared" si="1"/>
        <v>14311.120287994334</v>
      </c>
      <c r="I15" s="944">
        <f t="shared" si="1"/>
        <v>0</v>
      </c>
      <c r="J15" s="944">
        <f t="shared" si="1"/>
        <v>1108.3296348310644</v>
      </c>
      <c r="K15" s="944">
        <f t="shared" si="1"/>
        <v>0</v>
      </c>
      <c r="L15" s="944">
        <f t="shared" ca="1" si="1"/>
        <v>0</v>
      </c>
      <c r="M15" s="944">
        <f t="shared" si="1"/>
        <v>2596.4427922389809</v>
      </c>
      <c r="N15" s="944">
        <f t="shared" ca="1" si="1"/>
        <v>20527.194248808217</v>
      </c>
      <c r="O15" s="944">
        <f t="shared" si="1"/>
        <v>437.73333333333335</v>
      </c>
      <c r="P15" s="944">
        <f t="shared" si="1"/>
        <v>1315.6</v>
      </c>
      <c r="Q15" s="944">
        <f t="shared" ca="1" si="1"/>
        <v>512906.41001524951</v>
      </c>
    </row>
    <row r="17" spans="1:17">
      <c r="A17" s="461" t="s">
        <v>558</v>
      </c>
      <c r="B17" s="760">
        <f ca="1">huishoudens!B10</f>
        <v>0.19059129201947761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8217.0399192196819</v>
      </c>
      <c r="C22" s="451">
        <f t="shared" ref="C22:C32" ca="1" si="3">C4*$C$17</f>
        <v>0</v>
      </c>
      <c r="D22" s="451">
        <f t="shared" ref="D22:D32" si="4">D4*$D$17</f>
        <v>14353.21861588076</v>
      </c>
      <c r="E22" s="451">
        <f t="shared" ref="E22:E32" si="5">E4*$E$17</f>
        <v>3794.0810975730383</v>
      </c>
      <c r="F22" s="451">
        <f t="shared" ref="F22:F32" si="6">F4*$F$17</f>
        <v>10588.250316092423</v>
      </c>
      <c r="G22" s="451">
        <f t="shared" ref="G22:G32" si="7">G4*$G$17</f>
        <v>0</v>
      </c>
      <c r="H22" s="451">
        <f t="shared" ref="H22:H32" si="8">H4*$H$17</f>
        <v>0</v>
      </c>
      <c r="I22" s="451">
        <f t="shared" ref="I22:I32" si="9">I4*$I$17</f>
        <v>0</v>
      </c>
      <c r="J22" s="451">
        <f t="shared" ref="J22:J32" si="10">J4*$J$17</f>
        <v>224.98270082124003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37177.572649587142</v>
      </c>
    </row>
    <row r="23" spans="1:17">
      <c r="A23" s="450" t="s">
        <v>155</v>
      </c>
      <c r="B23" s="451">
        <f t="shared" ca="1" si="2"/>
        <v>4293.7493877471388</v>
      </c>
      <c r="C23" s="451">
        <f t="shared" ca="1" si="3"/>
        <v>0</v>
      </c>
      <c r="D23" s="451">
        <f t="shared" ca="1" si="4"/>
        <v>4139.7854105415208</v>
      </c>
      <c r="E23" s="451">
        <f t="shared" si="5"/>
        <v>93.438256535317748</v>
      </c>
      <c r="F23" s="451">
        <f t="shared" ca="1" si="6"/>
        <v>1467.1785322336034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9994.1515870575804</v>
      </c>
    </row>
    <row r="24" spans="1:17">
      <c r="A24" s="450" t="s">
        <v>193</v>
      </c>
      <c r="B24" s="451">
        <f t="shared" ca="1" si="2"/>
        <v>361.4102622222706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361.4102622222706</v>
      </c>
    </row>
    <row r="25" spans="1:17">
      <c r="A25" s="450" t="s">
        <v>111</v>
      </c>
      <c r="B25" s="451">
        <f t="shared" ca="1" si="2"/>
        <v>458.31747728974187</v>
      </c>
      <c r="C25" s="451">
        <f t="shared" ca="1" si="3"/>
        <v>0</v>
      </c>
      <c r="D25" s="451">
        <f t="shared" si="4"/>
        <v>96.001484299681422</v>
      </c>
      <c r="E25" s="451">
        <f t="shared" si="5"/>
        <v>14.075891235116639</v>
      </c>
      <c r="F25" s="451">
        <f t="shared" si="6"/>
        <v>2346.8462329307076</v>
      </c>
      <c r="G25" s="451">
        <f t="shared" si="7"/>
        <v>0</v>
      </c>
      <c r="H25" s="451">
        <f t="shared" si="8"/>
        <v>0</v>
      </c>
      <c r="I25" s="451">
        <f t="shared" si="9"/>
        <v>0</v>
      </c>
      <c r="J25" s="451">
        <f t="shared" si="10"/>
        <v>122.55136657192899</v>
      </c>
      <c r="K25" s="451">
        <f t="shared" si="11"/>
        <v>0</v>
      </c>
      <c r="L25" s="451">
        <f t="shared" si="12"/>
        <v>0</v>
      </c>
      <c r="M25" s="451">
        <f t="shared" si="13"/>
        <v>0</v>
      </c>
      <c r="N25" s="451">
        <f t="shared" si="14"/>
        <v>0</v>
      </c>
      <c r="O25" s="451">
        <f t="shared" si="15"/>
        <v>0</v>
      </c>
      <c r="P25" s="452">
        <f t="shared" si="16"/>
        <v>0</v>
      </c>
      <c r="Q25" s="450">
        <f t="shared" ca="1" si="17"/>
        <v>3037.7924523271768</v>
      </c>
    </row>
    <row r="26" spans="1:17">
      <c r="A26" s="450" t="s">
        <v>637</v>
      </c>
      <c r="B26" s="451">
        <f t="shared" ca="1" si="2"/>
        <v>3523.7805985690902</v>
      </c>
      <c r="C26" s="451">
        <f t="shared" ca="1" si="3"/>
        <v>0</v>
      </c>
      <c r="D26" s="451">
        <f t="shared" si="4"/>
        <v>28527.463108332093</v>
      </c>
      <c r="E26" s="451">
        <f t="shared" si="5"/>
        <v>291.17760151855907</v>
      </c>
      <c r="F26" s="451">
        <f t="shared" si="6"/>
        <v>1426.3453282379569</v>
      </c>
      <c r="G26" s="451">
        <f t="shared" si="7"/>
        <v>0</v>
      </c>
      <c r="H26" s="451">
        <f t="shared" si="8"/>
        <v>0</v>
      </c>
      <c r="I26" s="451">
        <f t="shared" si="9"/>
        <v>0</v>
      </c>
      <c r="J26" s="451">
        <f t="shared" si="10"/>
        <v>44.814623337027754</v>
      </c>
      <c r="K26" s="451">
        <f t="shared" si="11"/>
        <v>0</v>
      </c>
      <c r="L26" s="451">
        <f t="shared" si="12"/>
        <v>0</v>
      </c>
      <c r="M26" s="451">
        <f t="shared" si="13"/>
        <v>0</v>
      </c>
      <c r="N26" s="451">
        <f t="shared" si="14"/>
        <v>0</v>
      </c>
      <c r="O26" s="451">
        <f t="shared" si="15"/>
        <v>0</v>
      </c>
      <c r="P26" s="452">
        <f t="shared" si="16"/>
        <v>0</v>
      </c>
      <c r="Q26" s="450">
        <f t="shared" ca="1" si="17"/>
        <v>33813.581259994731</v>
      </c>
    </row>
    <row r="27" spans="1:17" s="456" customFormat="1">
      <c r="A27" s="454" t="s">
        <v>563</v>
      </c>
      <c r="B27" s="754">
        <f t="shared" ca="1" si="2"/>
        <v>3.3013386691316153</v>
      </c>
      <c r="C27" s="455">
        <f t="shared" ca="1" si="3"/>
        <v>0</v>
      </c>
      <c r="D27" s="455">
        <f t="shared" si="4"/>
        <v>8.5746730546839665</v>
      </c>
      <c r="E27" s="455">
        <f t="shared" si="5"/>
        <v>42.109556610019283</v>
      </c>
      <c r="F27" s="455">
        <f t="shared" si="6"/>
        <v>0</v>
      </c>
      <c r="G27" s="455">
        <f t="shared" si="7"/>
        <v>18098.466695532348</v>
      </c>
      <c r="H27" s="455">
        <f t="shared" si="8"/>
        <v>3563.468951710589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21715.921215576775</v>
      </c>
    </row>
    <row r="28" spans="1:17">
      <c r="A28" s="450" t="s">
        <v>553</v>
      </c>
      <c r="B28" s="451">
        <f t="shared" ca="1" si="2"/>
        <v>0</v>
      </c>
      <c r="C28" s="451">
        <f t="shared" ca="1" si="3"/>
        <v>0</v>
      </c>
      <c r="D28" s="451">
        <f t="shared" si="4"/>
        <v>0</v>
      </c>
      <c r="E28" s="451">
        <f t="shared" si="5"/>
        <v>0</v>
      </c>
      <c r="F28" s="451">
        <f t="shared" si="6"/>
        <v>0</v>
      </c>
      <c r="G28" s="451">
        <f t="shared" si="7"/>
        <v>301.99630079638257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301.99630079638257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227.57316221408186</v>
      </c>
      <c r="C32" s="451">
        <f t="shared" ca="1" si="3"/>
        <v>0</v>
      </c>
      <c r="D32" s="451">
        <f t="shared" si="4"/>
        <v>439.78857258279999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667.36173479688182</v>
      </c>
    </row>
    <row r="33" spans="1:17" s="460" customFormat="1">
      <c r="A33" s="1004" t="s">
        <v>557</v>
      </c>
      <c r="B33" s="944">
        <f ca="1">SUM(B22:B32)</f>
        <v>17085.172145931137</v>
      </c>
      <c r="C33" s="944">
        <f t="shared" ref="C33:Q33" ca="1" si="18">SUM(C22:C32)</f>
        <v>0</v>
      </c>
      <c r="D33" s="944">
        <f t="shared" ca="1" si="18"/>
        <v>47564.831864691536</v>
      </c>
      <c r="E33" s="944">
        <f t="shared" si="18"/>
        <v>4234.882403472051</v>
      </c>
      <c r="F33" s="944">
        <f t="shared" ca="1" si="18"/>
        <v>15828.620409494692</v>
      </c>
      <c r="G33" s="944">
        <f t="shared" si="18"/>
        <v>18400.46299632873</v>
      </c>
      <c r="H33" s="944">
        <f t="shared" si="18"/>
        <v>3563.468951710589</v>
      </c>
      <c r="I33" s="944">
        <f t="shared" si="18"/>
        <v>0</v>
      </c>
      <c r="J33" s="944">
        <f t="shared" si="18"/>
        <v>392.34869073019678</v>
      </c>
      <c r="K33" s="944">
        <f t="shared" si="18"/>
        <v>0</v>
      </c>
      <c r="L33" s="944">
        <f t="shared" ca="1" si="18"/>
        <v>0</v>
      </c>
      <c r="M33" s="944">
        <f t="shared" si="18"/>
        <v>0</v>
      </c>
      <c r="N33" s="944">
        <f t="shared" ca="1" si="18"/>
        <v>0</v>
      </c>
      <c r="O33" s="944">
        <f t="shared" si="18"/>
        <v>0</v>
      </c>
      <c r="P33" s="944">
        <f t="shared" si="18"/>
        <v>0</v>
      </c>
      <c r="Q33" s="944">
        <f t="shared" ca="1" si="18"/>
        <v>107069.78746235895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3615.8951547957604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8268.6176223028997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450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529.41176470588232</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12334.51277709866</v>
      </c>
      <c r="C10" s="1025">
        <f>SUM(C4:C9)</f>
        <v>0</v>
      </c>
      <c r="D10" s="1025">
        <f t="shared" ref="D10:H10" si="0">SUM(D8:D9)</f>
        <v>0</v>
      </c>
      <c r="E10" s="1025">
        <f t="shared" si="0"/>
        <v>0</v>
      </c>
      <c r="F10" s="1025">
        <f t="shared" si="0"/>
        <v>0</v>
      </c>
      <c r="G10" s="1025">
        <f t="shared" si="0"/>
        <v>0</v>
      </c>
      <c r="H10" s="1025">
        <f t="shared" si="0"/>
        <v>0</v>
      </c>
      <c r="I10" s="1025">
        <f>SUM(I8:I9)</f>
        <v>0</v>
      </c>
      <c r="J10" s="1025">
        <f>SUM(J8:J9)</f>
        <v>529.41176470588232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0.19059129201947761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642.85714285714289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756.30252100840346</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642.85714285714289</v>
      </c>
      <c r="C20" s="1025">
        <f>SUM(C17:C19)</f>
        <v>0</v>
      </c>
      <c r="D20" s="1025">
        <f t="shared" ref="D20:H20" si="2">SUM(D17:D19)</f>
        <v>0</v>
      </c>
      <c r="E20" s="1025">
        <f t="shared" si="2"/>
        <v>0</v>
      </c>
      <c r="F20" s="1025">
        <f t="shared" si="2"/>
        <v>0</v>
      </c>
      <c r="G20" s="1025">
        <f t="shared" si="2"/>
        <v>0</v>
      </c>
      <c r="H20" s="1025">
        <f t="shared" si="2"/>
        <v>0</v>
      </c>
      <c r="I20" s="1025">
        <f>SUM(I17:I19)</f>
        <v>0</v>
      </c>
      <c r="J20" s="1025">
        <f>SUM(J17:J19)</f>
        <v>756.30252100840346</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0.19059129201947761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0.19059129201947761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0.19059129201947761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10060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4270.8999999999996</v>
      </c>
      <c r="C14" s="330"/>
      <c r="D14" s="330"/>
      <c r="E14" s="330"/>
      <c r="F14" s="330"/>
    </row>
    <row r="15" spans="1:6">
      <c r="A15" s="1291" t="s">
        <v>183</v>
      </c>
      <c r="B15" s="1292">
        <v>23</v>
      </c>
      <c r="C15" s="330"/>
      <c r="D15" s="330"/>
      <c r="E15" s="330"/>
      <c r="F15" s="330"/>
    </row>
    <row r="16" spans="1:6">
      <c r="A16" s="1291" t="s">
        <v>6</v>
      </c>
      <c r="B16" s="1292">
        <v>750</v>
      </c>
      <c r="C16" s="330"/>
      <c r="D16" s="330"/>
      <c r="E16" s="330"/>
      <c r="F16" s="330"/>
    </row>
    <row r="17" spans="1:6">
      <c r="A17" s="1291" t="s">
        <v>7</v>
      </c>
      <c r="B17" s="1292">
        <v>867</v>
      </c>
      <c r="C17" s="330"/>
      <c r="D17" s="330"/>
      <c r="E17" s="330"/>
      <c r="F17" s="330"/>
    </row>
    <row r="18" spans="1:6">
      <c r="A18" s="1291" t="s">
        <v>8</v>
      </c>
      <c r="B18" s="1292">
        <v>1056</v>
      </c>
      <c r="C18" s="330"/>
      <c r="D18" s="330"/>
      <c r="E18" s="330"/>
      <c r="F18" s="330"/>
    </row>
    <row r="19" spans="1:6">
      <c r="A19" s="1291" t="s">
        <v>9</v>
      </c>
      <c r="B19" s="1292">
        <v>897</v>
      </c>
      <c r="C19" s="330"/>
      <c r="D19" s="330"/>
      <c r="E19" s="330"/>
      <c r="F19" s="330"/>
    </row>
    <row r="20" spans="1:6">
      <c r="A20" s="1291" t="s">
        <v>10</v>
      </c>
      <c r="B20" s="1292">
        <v>1041</v>
      </c>
      <c r="C20" s="330"/>
      <c r="D20" s="330"/>
      <c r="E20" s="330"/>
      <c r="F20" s="330"/>
    </row>
    <row r="21" spans="1:6">
      <c r="A21" s="1291" t="s">
        <v>11</v>
      </c>
      <c r="B21" s="1292">
        <v>2766</v>
      </c>
      <c r="C21" s="330"/>
      <c r="D21" s="330"/>
      <c r="E21" s="330"/>
      <c r="F21" s="330"/>
    </row>
    <row r="22" spans="1:6">
      <c r="A22" s="1291" t="s">
        <v>12</v>
      </c>
      <c r="B22" s="1292">
        <v>18679</v>
      </c>
      <c r="C22" s="330"/>
      <c r="D22" s="330"/>
      <c r="E22" s="330"/>
      <c r="F22" s="330"/>
    </row>
    <row r="23" spans="1:6">
      <c r="A23" s="1291" t="s">
        <v>13</v>
      </c>
      <c r="B23" s="1292">
        <v>94</v>
      </c>
      <c r="C23" s="330"/>
      <c r="D23" s="330"/>
      <c r="E23" s="330"/>
      <c r="F23" s="330"/>
    </row>
    <row r="24" spans="1:6">
      <c r="A24" s="1291" t="s">
        <v>14</v>
      </c>
      <c r="B24" s="1292">
        <v>17</v>
      </c>
      <c r="C24" s="330"/>
      <c r="D24" s="330"/>
      <c r="E24" s="330"/>
      <c r="F24" s="330"/>
    </row>
    <row r="25" spans="1:6">
      <c r="A25" s="1291" t="s">
        <v>15</v>
      </c>
      <c r="B25" s="1292">
        <v>928</v>
      </c>
      <c r="C25" s="330"/>
      <c r="D25" s="330"/>
      <c r="E25" s="330"/>
      <c r="F25" s="330"/>
    </row>
    <row r="26" spans="1:6">
      <c r="A26" s="1291" t="s">
        <v>16</v>
      </c>
      <c r="B26" s="1292">
        <v>219</v>
      </c>
      <c r="C26" s="330"/>
      <c r="D26" s="330"/>
      <c r="E26" s="330"/>
      <c r="F26" s="330"/>
    </row>
    <row r="27" spans="1:6">
      <c r="A27" s="1291" t="s">
        <v>17</v>
      </c>
      <c r="B27" s="1292">
        <v>13</v>
      </c>
      <c r="C27" s="330"/>
      <c r="D27" s="330"/>
      <c r="E27" s="330"/>
      <c r="F27" s="330"/>
    </row>
    <row r="28" spans="1:6" s="43" customFormat="1">
      <c r="A28" s="1293" t="s">
        <v>18</v>
      </c>
      <c r="B28" s="1294">
        <v>411399</v>
      </c>
      <c r="C28" s="336"/>
      <c r="D28" s="336"/>
      <c r="E28" s="336"/>
      <c r="F28" s="336"/>
    </row>
    <row r="29" spans="1:6">
      <c r="A29" s="1293" t="s">
        <v>892</v>
      </c>
      <c r="B29" s="1294">
        <v>116</v>
      </c>
      <c r="C29" s="336"/>
      <c r="D29" s="336"/>
      <c r="E29" s="336"/>
      <c r="F29" s="336"/>
    </row>
    <row r="30" spans="1:6">
      <c r="A30" s="1286" t="s">
        <v>893</v>
      </c>
      <c r="B30" s="1295">
        <v>54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2781</v>
      </c>
    </row>
    <row r="39" spans="1:6">
      <c r="A39" s="1291" t="s">
        <v>29</v>
      </c>
      <c r="B39" s="1291" t="s">
        <v>30</v>
      </c>
      <c r="C39" s="1292">
        <v>5547</v>
      </c>
      <c r="D39" s="1292">
        <v>78775540.689999998</v>
      </c>
      <c r="E39" s="1292">
        <v>9593</v>
      </c>
      <c r="F39" s="1292">
        <v>38267699.934</v>
      </c>
    </row>
    <row r="40" spans="1:6">
      <c r="A40" s="1291" t="s">
        <v>29</v>
      </c>
      <c r="B40" s="1291" t="s">
        <v>28</v>
      </c>
      <c r="C40" s="1292">
        <v>0</v>
      </c>
      <c r="D40" s="1292">
        <v>0</v>
      </c>
      <c r="E40" s="1292">
        <v>0</v>
      </c>
      <c r="F40" s="1292">
        <v>0</v>
      </c>
    </row>
    <row r="41" spans="1:6">
      <c r="A41" s="1291" t="s">
        <v>31</v>
      </c>
      <c r="B41" s="1291" t="s">
        <v>32</v>
      </c>
      <c r="C41" s="1292">
        <v>78</v>
      </c>
      <c r="D41" s="1292">
        <v>1313630.1096999999</v>
      </c>
      <c r="E41" s="1292">
        <v>228</v>
      </c>
      <c r="F41" s="1292">
        <v>1707695.8289000001</v>
      </c>
    </row>
    <row r="42" spans="1:6">
      <c r="A42" s="1291" t="s">
        <v>31</v>
      </c>
      <c r="B42" s="1291" t="s">
        <v>33</v>
      </c>
      <c r="C42" s="1292">
        <v>0</v>
      </c>
      <c r="D42" s="1292">
        <v>0</v>
      </c>
      <c r="E42" s="1292">
        <v>0</v>
      </c>
      <c r="F42" s="1292">
        <v>0</v>
      </c>
    </row>
    <row r="43" spans="1:6">
      <c r="A43" s="1291" t="s">
        <v>31</v>
      </c>
      <c r="B43" s="1291" t="s">
        <v>34</v>
      </c>
      <c r="C43" s="1292">
        <v>5</v>
      </c>
      <c r="D43" s="1292">
        <v>144422831.40000001</v>
      </c>
      <c r="E43" s="1292">
        <v>16</v>
      </c>
      <c r="F43" s="1292">
        <v>250278.49036</v>
      </c>
    </row>
    <row r="44" spans="1:6">
      <c r="A44" s="1291" t="s">
        <v>31</v>
      </c>
      <c r="B44" s="1291" t="s">
        <v>35</v>
      </c>
      <c r="C44" s="1292">
        <v>0</v>
      </c>
      <c r="D44" s="1292">
        <v>0</v>
      </c>
      <c r="E44" s="1292">
        <v>14</v>
      </c>
      <c r="F44" s="1292">
        <v>1334244.4746000001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209982.06943</v>
      </c>
      <c r="E47" s="1292">
        <v>5</v>
      </c>
      <c r="F47" s="1292">
        <v>146099.62354999999</v>
      </c>
    </row>
    <row r="48" spans="1:6">
      <c r="A48" s="1291" t="s">
        <v>31</v>
      </c>
      <c r="B48" s="1291" t="s">
        <v>28</v>
      </c>
      <c r="C48" s="1292">
        <v>57</v>
      </c>
      <c r="D48" s="1292">
        <v>10303363.989</v>
      </c>
      <c r="E48" s="1292">
        <v>112</v>
      </c>
      <c r="F48" s="1292">
        <v>14408874.767999999</v>
      </c>
    </row>
    <row r="49" spans="1:6">
      <c r="A49" s="1291" t="s">
        <v>31</v>
      </c>
      <c r="B49" s="1291" t="s">
        <v>39</v>
      </c>
      <c r="C49" s="1292">
        <v>0</v>
      </c>
      <c r="D49" s="1292">
        <v>0</v>
      </c>
      <c r="E49" s="1292">
        <v>0</v>
      </c>
      <c r="F49" s="1292">
        <v>0</v>
      </c>
    </row>
    <row r="50" spans="1:6">
      <c r="A50" s="1291" t="s">
        <v>31</v>
      </c>
      <c r="B50" s="1291" t="s">
        <v>40</v>
      </c>
      <c r="C50" s="1292">
        <v>3</v>
      </c>
      <c r="D50" s="1292">
        <v>319000.51694</v>
      </c>
      <c r="E50" s="1292">
        <v>15</v>
      </c>
      <c r="F50" s="1292">
        <v>641482.56273999996</v>
      </c>
    </row>
    <row r="51" spans="1:6">
      <c r="A51" s="1291" t="s">
        <v>41</v>
      </c>
      <c r="B51" s="1291" t="s">
        <v>42</v>
      </c>
      <c r="C51" s="1292">
        <v>0</v>
      </c>
      <c r="D51" s="1292">
        <v>0</v>
      </c>
      <c r="E51" s="1292">
        <v>108</v>
      </c>
      <c r="F51" s="1292">
        <v>1633542.8474999999</v>
      </c>
    </row>
    <row r="52" spans="1:6">
      <c r="A52" s="1291" t="s">
        <v>41</v>
      </c>
      <c r="B52" s="1291" t="s">
        <v>28</v>
      </c>
      <c r="C52" s="1292">
        <v>5</v>
      </c>
      <c r="D52" s="1292">
        <v>526890.10285000002</v>
      </c>
      <c r="E52" s="1292">
        <v>33</v>
      </c>
      <c r="F52" s="1292">
        <v>771170.78046000004</v>
      </c>
    </row>
    <row r="53" spans="1:6">
      <c r="A53" s="1291" t="s">
        <v>43</v>
      </c>
      <c r="B53" s="1291" t="s">
        <v>44</v>
      </c>
      <c r="C53" s="1292">
        <v>105</v>
      </c>
      <c r="D53" s="1292">
        <v>2177171.1513999999</v>
      </c>
      <c r="E53" s="1292">
        <v>271</v>
      </c>
      <c r="F53" s="1292">
        <v>1194037.5649000001</v>
      </c>
    </row>
    <row r="54" spans="1:6">
      <c r="A54" s="1291" t="s">
        <v>45</v>
      </c>
      <c r="B54" s="1291" t="s">
        <v>46</v>
      </c>
      <c r="C54" s="1292">
        <v>0</v>
      </c>
      <c r="D54" s="1292">
        <v>0</v>
      </c>
      <c r="E54" s="1292">
        <v>1</v>
      </c>
      <c r="F54" s="1292">
        <v>1896258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83</v>
      </c>
      <c r="D57" s="1292">
        <v>6546883.7267000005</v>
      </c>
      <c r="E57" s="1292">
        <v>69</v>
      </c>
      <c r="F57" s="1292">
        <v>936691.25116999994</v>
      </c>
    </row>
    <row r="58" spans="1:6">
      <c r="A58" s="1291" t="s">
        <v>48</v>
      </c>
      <c r="B58" s="1291" t="s">
        <v>50</v>
      </c>
      <c r="C58" s="1292">
        <v>5</v>
      </c>
      <c r="D58" s="1292">
        <v>82282.423808000007</v>
      </c>
      <c r="E58" s="1292">
        <v>29</v>
      </c>
      <c r="F58" s="1292">
        <v>953401.05721999996</v>
      </c>
    </row>
    <row r="59" spans="1:6">
      <c r="A59" s="1291" t="s">
        <v>48</v>
      </c>
      <c r="B59" s="1291" t="s">
        <v>51</v>
      </c>
      <c r="C59" s="1292">
        <v>72</v>
      </c>
      <c r="D59" s="1292">
        <v>2275945.6712000002</v>
      </c>
      <c r="E59" s="1292">
        <v>196</v>
      </c>
      <c r="F59" s="1292">
        <v>5070896.2860000003</v>
      </c>
    </row>
    <row r="60" spans="1:6">
      <c r="A60" s="1291" t="s">
        <v>48</v>
      </c>
      <c r="B60" s="1291" t="s">
        <v>52</v>
      </c>
      <c r="C60" s="1292">
        <v>30</v>
      </c>
      <c r="D60" s="1292">
        <v>1026336.6808</v>
      </c>
      <c r="E60" s="1292">
        <v>70</v>
      </c>
      <c r="F60" s="1292">
        <v>1093893.3337000001</v>
      </c>
    </row>
    <row r="61" spans="1:6">
      <c r="A61" s="1291" t="s">
        <v>48</v>
      </c>
      <c r="B61" s="1291" t="s">
        <v>53</v>
      </c>
      <c r="C61" s="1292">
        <v>106</v>
      </c>
      <c r="D61" s="1292">
        <v>4831914.9053999996</v>
      </c>
      <c r="E61" s="1292">
        <v>417</v>
      </c>
      <c r="F61" s="1292">
        <v>6809860.7231999999</v>
      </c>
    </row>
    <row r="62" spans="1:6">
      <c r="A62" s="1291" t="s">
        <v>48</v>
      </c>
      <c r="B62" s="1291" t="s">
        <v>54</v>
      </c>
      <c r="C62" s="1292">
        <v>6</v>
      </c>
      <c r="D62" s="1292">
        <v>1555115.7031</v>
      </c>
      <c r="E62" s="1292">
        <v>4</v>
      </c>
      <c r="F62" s="1292">
        <v>146074.51741999999</v>
      </c>
    </row>
    <row r="63" spans="1:6">
      <c r="A63" s="1291" t="s">
        <v>48</v>
      </c>
      <c r="B63" s="1291" t="s">
        <v>28</v>
      </c>
      <c r="C63" s="1292">
        <v>182</v>
      </c>
      <c r="D63" s="1292">
        <v>6402127.5197000001</v>
      </c>
      <c r="E63" s="1292">
        <v>314</v>
      </c>
      <c r="F63" s="1292">
        <v>7067753.4824000001</v>
      </c>
    </row>
    <row r="64" spans="1:6">
      <c r="A64" s="1291" t="s">
        <v>55</v>
      </c>
      <c r="B64" s="1291" t="s">
        <v>56</v>
      </c>
      <c r="C64" s="1292">
        <v>0</v>
      </c>
      <c r="D64" s="1292">
        <v>0</v>
      </c>
      <c r="E64" s="1292">
        <v>0</v>
      </c>
      <c r="F64" s="1292">
        <v>0</v>
      </c>
    </row>
    <row r="65" spans="1:6">
      <c r="A65" s="1291" t="s">
        <v>55</v>
      </c>
      <c r="B65" s="1291" t="s">
        <v>28</v>
      </c>
      <c r="C65" s="1292">
        <v>0</v>
      </c>
      <c r="D65" s="1292">
        <v>0</v>
      </c>
      <c r="E65" s="1292">
        <v>6</v>
      </c>
      <c r="F65" s="1292">
        <v>36265.957344000002</v>
      </c>
    </row>
    <row r="66" spans="1:6">
      <c r="A66" s="1291" t="s">
        <v>55</v>
      </c>
      <c r="B66" s="1291" t="s">
        <v>57</v>
      </c>
      <c r="C66" s="1292">
        <v>0</v>
      </c>
      <c r="D66" s="1292">
        <v>0</v>
      </c>
      <c r="E66" s="1292">
        <v>5</v>
      </c>
      <c r="F66" s="1292">
        <v>92526</v>
      </c>
    </row>
    <row r="67" spans="1:6">
      <c r="A67" s="1293" t="s">
        <v>55</v>
      </c>
      <c r="B67" s="1293" t="s">
        <v>58</v>
      </c>
      <c r="C67" s="1292">
        <v>0</v>
      </c>
      <c r="D67" s="1292">
        <v>0</v>
      </c>
      <c r="E67" s="1292">
        <v>0</v>
      </c>
      <c r="F67" s="1292">
        <v>0</v>
      </c>
    </row>
    <row r="68" spans="1:6">
      <c r="A68" s="1286" t="s">
        <v>55</v>
      </c>
      <c r="B68" s="1286" t="s">
        <v>59</v>
      </c>
      <c r="C68" s="1295">
        <v>4</v>
      </c>
      <c r="D68" s="1295">
        <v>59666.391323999997</v>
      </c>
      <c r="E68" s="1295">
        <v>17</v>
      </c>
      <c r="F68" s="1295">
        <v>342047.99105999997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40939685</v>
      </c>
      <c r="E73" s="449"/>
      <c r="F73" s="330"/>
    </row>
    <row r="74" spans="1:6">
      <c r="A74" s="1291" t="s">
        <v>63</v>
      </c>
      <c r="B74" s="1291" t="s">
        <v>664</v>
      </c>
      <c r="C74" s="1305" t="s">
        <v>666</v>
      </c>
      <c r="D74" s="1306">
        <v>4167509.3663904234</v>
      </c>
      <c r="E74" s="449"/>
      <c r="F74" s="330"/>
    </row>
    <row r="75" spans="1:6">
      <c r="A75" s="1291" t="s">
        <v>64</v>
      </c>
      <c r="B75" s="1291" t="s">
        <v>663</v>
      </c>
      <c r="C75" s="1305" t="s">
        <v>667</v>
      </c>
      <c r="D75" s="1306">
        <v>43246839</v>
      </c>
      <c r="E75" s="449"/>
      <c r="F75" s="330"/>
    </row>
    <row r="76" spans="1:6">
      <c r="A76" s="1291" t="s">
        <v>64</v>
      </c>
      <c r="B76" s="1291" t="s">
        <v>664</v>
      </c>
      <c r="C76" s="1305" t="s">
        <v>668</v>
      </c>
      <c r="D76" s="1306">
        <v>2283224.3663904234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316405.26721915358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3615.8951547957604</v>
      </c>
      <c r="C90" s="330"/>
      <c r="D90" s="330"/>
      <c r="E90" s="330"/>
      <c r="F90" s="330"/>
    </row>
    <row r="91" spans="1:6">
      <c r="A91" s="1291" t="s">
        <v>67</v>
      </c>
      <c r="B91" s="1292">
        <v>4845.7069386494331</v>
      </c>
      <c r="C91" s="330"/>
      <c r="D91" s="330"/>
      <c r="E91" s="330"/>
      <c r="F91" s="330"/>
    </row>
    <row r="92" spans="1:6">
      <c r="A92" s="1286" t="s">
        <v>68</v>
      </c>
      <c r="B92" s="1287">
        <v>3422.9106836534656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2964</v>
      </c>
      <c r="C97" s="330"/>
      <c r="D97" s="330"/>
      <c r="E97" s="330"/>
      <c r="F97" s="330"/>
    </row>
    <row r="98" spans="1:6">
      <c r="A98" s="1291" t="s">
        <v>71</v>
      </c>
      <c r="B98" s="1292">
        <v>3</v>
      </c>
      <c r="C98" s="330"/>
      <c r="D98" s="330"/>
      <c r="E98" s="330"/>
      <c r="F98" s="330"/>
    </row>
    <row r="99" spans="1:6">
      <c r="A99" s="1291" t="s">
        <v>72</v>
      </c>
      <c r="B99" s="1292">
        <v>97</v>
      </c>
      <c r="C99" s="330"/>
      <c r="D99" s="330"/>
      <c r="E99" s="330"/>
      <c r="F99" s="330"/>
    </row>
    <row r="100" spans="1:6">
      <c r="A100" s="1291" t="s">
        <v>73</v>
      </c>
      <c r="B100" s="1292">
        <v>931</v>
      </c>
      <c r="C100" s="330"/>
      <c r="D100" s="330"/>
      <c r="E100" s="330"/>
      <c r="F100" s="330"/>
    </row>
    <row r="101" spans="1:6">
      <c r="A101" s="1291" t="s">
        <v>74</v>
      </c>
      <c r="B101" s="1292">
        <v>139</v>
      </c>
      <c r="C101" s="330"/>
      <c r="D101" s="330"/>
      <c r="E101" s="330"/>
      <c r="F101" s="330"/>
    </row>
    <row r="102" spans="1:6">
      <c r="A102" s="1291" t="s">
        <v>75</v>
      </c>
      <c r="B102" s="1292">
        <v>150</v>
      </c>
      <c r="C102" s="330"/>
      <c r="D102" s="330"/>
      <c r="E102" s="330"/>
      <c r="F102" s="330"/>
    </row>
    <row r="103" spans="1:6">
      <c r="A103" s="1291" t="s">
        <v>76</v>
      </c>
      <c r="B103" s="1292">
        <v>294</v>
      </c>
      <c r="C103" s="330"/>
      <c r="D103" s="330"/>
      <c r="E103" s="330"/>
      <c r="F103" s="330"/>
    </row>
    <row r="104" spans="1:6">
      <c r="A104" s="1291" t="s">
        <v>77</v>
      </c>
      <c r="B104" s="1292">
        <v>4270</v>
      </c>
      <c r="C104" s="330"/>
      <c r="D104" s="330"/>
      <c r="E104" s="330"/>
      <c r="F104" s="330"/>
    </row>
    <row r="105" spans="1:6">
      <c r="A105" s="1286" t="s">
        <v>78</v>
      </c>
      <c r="B105" s="1295">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36</v>
      </c>
      <c r="C123" s="1292">
        <v>32</v>
      </c>
      <c r="D123" s="330"/>
      <c r="E123" s="330"/>
      <c r="F123" s="330"/>
    </row>
    <row r="124" spans="1:6" s="43" customFormat="1">
      <c r="A124" s="1293" t="s">
        <v>88</v>
      </c>
      <c r="B124" s="1314">
        <v>3</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239</v>
      </c>
      <c r="C129" s="330"/>
      <c r="D129" s="330"/>
      <c r="E129" s="330"/>
      <c r="F129" s="330"/>
    </row>
    <row r="130" spans="1:6">
      <c r="A130" s="1291" t="s">
        <v>294</v>
      </c>
      <c r="B130" s="1292">
        <v>5</v>
      </c>
      <c r="C130" s="330"/>
      <c r="D130" s="330"/>
      <c r="E130" s="330"/>
      <c r="F130" s="330"/>
    </row>
    <row r="131" spans="1:6">
      <c r="A131" s="1291" t="s">
        <v>295</v>
      </c>
      <c r="B131" s="1292">
        <v>1</v>
      </c>
      <c r="C131" s="330"/>
      <c r="D131" s="330"/>
      <c r="E131" s="330"/>
      <c r="F131" s="330"/>
    </row>
    <row r="132" spans="1:6">
      <c r="A132" s="1286" t="s">
        <v>296</v>
      </c>
      <c r="B132" s="1287">
        <v>29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89642.984025655838</v>
      </c>
      <c r="C3" s="43" t="s">
        <v>169</v>
      </c>
      <c r="D3" s="43"/>
      <c r="E3" s="154"/>
      <c r="F3" s="43"/>
      <c r="G3" s="43"/>
      <c r="H3" s="43"/>
      <c r="I3" s="43"/>
      <c r="J3" s="43"/>
      <c r="K3" s="96"/>
    </row>
    <row r="4" spans="1:11">
      <c r="A4" s="358" t="s">
        <v>170</v>
      </c>
      <c r="B4" s="49">
        <f>IF(ISERROR('SEAP template'!B78+'SEAP template'!C78),0,'SEAP template'!B78+'SEAP template'!C78)</f>
        <v>12334.51277709866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0.19059129201947761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642.85714285714289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1896.258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1896.258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0.19059129201947761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361.4102622222706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38267.699934000004</v>
      </c>
      <c r="C5" s="17">
        <f>IF(ISERROR('Eigen informatie GS &amp; warmtenet'!B57),0,'Eigen informatie GS &amp; warmtenet'!B57)</f>
        <v>0</v>
      </c>
      <c r="D5" s="30">
        <f>(SUM(HH_hh_gas_kWh,HH_rest_gas_kWh)/1000)*0.902</f>
        <v>71055.537702379996</v>
      </c>
      <c r="E5" s="17">
        <f>B46*B57</f>
        <v>16714.013645696203</v>
      </c>
      <c r="F5" s="17">
        <f>B51*B62</f>
        <v>39656.368225065249</v>
      </c>
      <c r="G5" s="18"/>
      <c r="H5" s="17"/>
      <c r="I5" s="17"/>
      <c r="J5" s="17">
        <f>B50*B61+C50*C61</f>
        <v>635.54435260237301</v>
      </c>
      <c r="K5" s="17"/>
      <c r="L5" s="17"/>
      <c r="M5" s="17"/>
      <c r="N5" s="17">
        <f>B48*B59+C48*C59</f>
        <v>19140.173373815283</v>
      </c>
      <c r="O5" s="17">
        <f>B69*B70*B71</f>
        <v>429.91666666666669</v>
      </c>
      <c r="P5" s="17">
        <f>B77*B78*B79/1000-B77*B78*B79/1000/B80</f>
        <v>1296.5333333333333</v>
      </c>
    </row>
    <row r="6" spans="1:16">
      <c r="A6" s="16" t="s">
        <v>623</v>
      </c>
      <c r="B6" s="762">
        <f>kWh_PV_kleiner_dan_10kW</f>
        <v>4845.7069386494331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43113.406872649437</v>
      </c>
      <c r="C8" s="21">
        <f>C5</f>
        <v>0</v>
      </c>
      <c r="D8" s="21">
        <f>D5</f>
        <v>71055.537702379996</v>
      </c>
      <c r="E8" s="21">
        <f>E5</f>
        <v>16714.013645696203</v>
      </c>
      <c r="F8" s="21">
        <f>F5</f>
        <v>39656.368225065249</v>
      </c>
      <c r="G8" s="21"/>
      <c r="H8" s="21"/>
      <c r="I8" s="21"/>
      <c r="J8" s="21">
        <f>J5</f>
        <v>635.54435260237301</v>
      </c>
      <c r="K8" s="21"/>
      <c r="L8" s="21">
        <f>L5</f>
        <v>0</v>
      </c>
      <c r="M8" s="21">
        <f>M5</f>
        <v>0</v>
      </c>
      <c r="N8" s="21">
        <f>N5</f>
        <v>19140.173373815283</v>
      </c>
      <c r="O8" s="21">
        <f>O5</f>
        <v>429.91666666666669</v>
      </c>
      <c r="P8" s="21">
        <f>P5</f>
        <v>1296.5333333333333</v>
      </c>
    </row>
    <row r="9" spans="1:16">
      <c r="B9" s="19"/>
      <c r="C9" s="19"/>
      <c r="D9" s="258"/>
      <c r="E9" s="19"/>
      <c r="F9" s="19"/>
      <c r="G9" s="19"/>
      <c r="H9" s="19"/>
      <c r="I9" s="19"/>
      <c r="J9" s="19"/>
      <c r="K9" s="19"/>
      <c r="L9" s="19"/>
      <c r="M9" s="19"/>
      <c r="N9" s="19"/>
      <c r="O9" s="19"/>
      <c r="P9" s="19"/>
    </row>
    <row r="10" spans="1:16">
      <c r="A10" s="24" t="s">
        <v>213</v>
      </c>
      <c r="B10" s="25">
        <f ca="1">'EF ele_warmte'!B12</f>
        <v>0.19059129201947761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8217.0399192196819</v>
      </c>
      <c r="C12" s="23">
        <f ca="1">C10*C8</f>
        <v>0</v>
      </c>
      <c r="D12" s="23">
        <f>D8*D10</f>
        <v>14353.21861588076</v>
      </c>
      <c r="E12" s="23">
        <f>E10*E8</f>
        <v>3794.0810975730383</v>
      </c>
      <c r="F12" s="23">
        <f>F10*F8</f>
        <v>10588.250316092423</v>
      </c>
      <c r="G12" s="23"/>
      <c r="H12" s="23"/>
      <c r="I12" s="23"/>
      <c r="J12" s="23">
        <f>J10*J8</f>
        <v>224.98270082124003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695</v>
      </c>
      <c r="B28" s="37">
        <f>aantalHuishoudens</f>
        <v>10060</v>
      </c>
      <c r="C28" s="36"/>
      <c r="D28" s="228"/>
    </row>
    <row r="29" spans="1:7" s="15" customFormat="1">
      <c r="A29" s="230" t="s">
        <v>696</v>
      </c>
      <c r="B29" s="37">
        <f>SUM(HH_hh_gas_aantal,HH_rest_gas_aantal)</f>
        <v>5547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5547</v>
      </c>
      <c r="C32" s="167">
        <f>IF(ISERROR(B32/SUM($B$32,$B$34,$B$35,$B$36,$B$38,$B$39)*100),0,B32/SUM($B$32,$B$34,$B$35,$B$36,$B$38,$B$39)*100)</f>
        <v>55.514411529223381</v>
      </c>
      <c r="D32" s="233"/>
      <c r="G32" s="15"/>
    </row>
    <row r="33" spans="1:7">
      <c r="A33" s="171" t="s">
        <v>71</v>
      </c>
      <c r="B33" s="34" t="s">
        <v>110</v>
      </c>
      <c r="C33" s="167"/>
      <c r="D33" s="233"/>
      <c r="G33" s="15"/>
    </row>
    <row r="34" spans="1:7">
      <c r="A34" s="171" t="s">
        <v>72</v>
      </c>
      <c r="B34" s="33">
        <f>IF((($B$28-$B$32-$B$39-$B$77-$B$38)*C20/100)&lt;0,0,($B$28-$B$32-$B$39-$B$77-$B$38)*C20/100)</f>
        <v>204.80548414738649</v>
      </c>
      <c r="C34" s="167">
        <f>IF(ISERROR(B34/SUM($B$32,$B$34,$B$35,$B$36,$B$38,$B$39)*100),0,B34/SUM($B$32,$B$34,$B$35,$B$36,$B$38,$B$39)*100)</f>
        <v>2.0496945971515865</v>
      </c>
      <c r="D34" s="233"/>
      <c r="G34" s="15"/>
    </row>
    <row r="35" spans="1:7">
      <c r="A35" s="171" t="s">
        <v>73</v>
      </c>
      <c r="B35" s="33">
        <f>IF((($B$28-$B$32-$B$39-$B$77-$B$38)*C21/100)&lt;0,0,($B$28-$B$32-$B$39-$B$77-$B$38)*C21/100)</f>
        <v>1965.7103684661529</v>
      </c>
      <c r="C35" s="167">
        <f>IF(ISERROR(B35/SUM($B$32,$B$34,$B$35,$B$36,$B$38,$B$39)*100),0,B35/SUM($B$32,$B$34,$B$35,$B$36,$B$38,$B$39)*100)</f>
        <v>19.672841958228108</v>
      </c>
      <c r="D35" s="233"/>
      <c r="G35" s="15"/>
    </row>
    <row r="36" spans="1:7">
      <c r="A36" s="171" t="s">
        <v>74</v>
      </c>
      <c r="B36" s="33">
        <f>IF((($B$28-$B$32-$B$39-$B$77-$B$38)*C22/100)&lt;0,0,($B$28-$B$32-$B$39-$B$77-$B$38)*C22/100)</f>
        <v>293.48414738646107</v>
      </c>
      <c r="C36" s="167">
        <f>IF(ISERROR(B36/SUM($B$32,$B$34,$B$35,$B$36,$B$38,$B$39)*100),0,B36/SUM($B$32,$B$34,$B$35,$B$36,$B$38,$B$39)*100)</f>
        <v>2.9371912268460876</v>
      </c>
      <c r="D36" s="233"/>
      <c r="G36" s="15"/>
    </row>
    <row r="37" spans="1:7">
      <c r="A37" s="171" t="s">
        <v>75</v>
      </c>
      <c r="B37" s="34" t="s">
        <v>110</v>
      </c>
      <c r="C37" s="167"/>
      <c r="D37" s="173"/>
      <c r="G37" s="15"/>
    </row>
    <row r="38" spans="1:7">
      <c r="A38" s="171" t="s">
        <v>76</v>
      </c>
      <c r="B38" s="33">
        <f>IF((B24-(B29-B18)*0.1)&lt;0,0,B24-(B29-B18)*0.1)</f>
        <v>35.699999999999989</v>
      </c>
      <c r="C38" s="167">
        <f>IF(ISERROR(B38/SUM($B$32,$B$34,$B$35,$B$36,$B$38,$B$39)*100),0,B38/SUM($B$32,$B$34,$B$35,$B$36,$B$38,$B$39)*100)</f>
        <v>0.35728582866293024</v>
      </c>
      <c r="D38" s="234"/>
      <c r="G38" s="15"/>
    </row>
    <row r="39" spans="1:7">
      <c r="A39" s="171" t="s">
        <v>77</v>
      </c>
      <c r="B39" s="33">
        <f>IF((B25-(B29-B18))&lt;0,0,B25-(B29-B18)*0.9)</f>
        <v>1945.2999999999997</v>
      </c>
      <c r="C39" s="167">
        <f>IF(ISERROR(B39/SUM($B$32,$B$34,$B$35,$B$36,$B$38,$B$39)*100),0,B39/SUM($B$32,$B$34,$B$35,$B$36,$B$38,$B$39)*100)</f>
        <v>19.468574859887909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5547</v>
      </c>
      <c r="C44" s="34" t="s">
        <v>110</v>
      </c>
      <c r="D44" s="174"/>
    </row>
    <row r="45" spans="1:7">
      <c r="A45" s="171" t="s">
        <v>71</v>
      </c>
      <c r="B45" s="33" t="str">
        <f t="shared" si="0"/>
        <v>-</v>
      </c>
      <c r="C45" s="34" t="s">
        <v>110</v>
      </c>
      <c r="D45" s="174"/>
    </row>
    <row r="46" spans="1:7">
      <c r="A46" s="171" t="s">
        <v>72</v>
      </c>
      <c r="B46" s="33">
        <f t="shared" si="0"/>
        <v>204.80548414738649</v>
      </c>
      <c r="C46" s="34" t="s">
        <v>110</v>
      </c>
      <c r="D46" s="174"/>
    </row>
    <row r="47" spans="1:7">
      <c r="A47" s="171" t="s">
        <v>73</v>
      </c>
      <c r="B47" s="33">
        <f t="shared" si="0"/>
        <v>1965.7103684661529</v>
      </c>
      <c r="C47" s="34" t="s">
        <v>110</v>
      </c>
      <c r="D47" s="174"/>
    </row>
    <row r="48" spans="1:7">
      <c r="A48" s="171" t="s">
        <v>74</v>
      </c>
      <c r="B48" s="33">
        <f t="shared" si="0"/>
        <v>293.48414738646107</v>
      </c>
      <c r="C48" s="33">
        <f>B48*10</f>
        <v>2934.8414738646106</v>
      </c>
      <c r="D48" s="234"/>
    </row>
    <row r="49" spans="1:6">
      <c r="A49" s="171" t="s">
        <v>75</v>
      </c>
      <c r="B49" s="33" t="str">
        <f t="shared" si="0"/>
        <v>-</v>
      </c>
      <c r="C49" s="34" t="s">
        <v>110</v>
      </c>
      <c r="D49" s="234"/>
    </row>
    <row r="50" spans="1:6">
      <c r="A50" s="171" t="s">
        <v>76</v>
      </c>
      <c r="B50" s="33">
        <f t="shared" si="0"/>
        <v>35.699999999999989</v>
      </c>
      <c r="C50" s="33">
        <f>B50*2</f>
        <v>71.399999999999977</v>
      </c>
      <c r="D50" s="234"/>
    </row>
    <row r="51" spans="1:6">
      <c r="A51" s="171" t="s">
        <v>77</v>
      </c>
      <c r="B51" s="33">
        <f t="shared" si="0"/>
        <v>1945.2999999999997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22078.57065111</v>
      </c>
      <c r="C5" s="17">
        <f>IF(ISERROR('Eigen informatie GS &amp; warmtenet'!B58),0,'Eigen informatie GS &amp; warmtenet'!B58)</f>
        <v>0</v>
      </c>
      <c r="D5" s="30">
        <f>SUM(D6:D12)</f>
        <v>20493.987180898617</v>
      </c>
      <c r="E5" s="17">
        <f>SUM(E6:E12)</f>
        <v>411.62227548598128</v>
      </c>
      <c r="F5" s="17">
        <f>SUM(F6:F12)</f>
        <v>5495.0506825228586</v>
      </c>
      <c r="G5" s="18"/>
      <c r="H5" s="17"/>
      <c r="I5" s="17"/>
      <c r="J5" s="17">
        <f>SUM(J6:J12)</f>
        <v>0</v>
      </c>
      <c r="K5" s="17"/>
      <c r="L5" s="17"/>
      <c r="M5" s="17"/>
      <c r="N5" s="17">
        <f>SUM(N6:N12)</f>
        <v>1386.4327072859071</v>
      </c>
      <c r="O5" s="17">
        <f>B38*B39*B40</f>
        <v>7.8166666666666664</v>
      </c>
      <c r="P5" s="17">
        <f>B46*B47*B48/1000-B46*B47*B48/1000/B49</f>
        <v>19.066666666666666</v>
      </c>
      <c r="R5" s="32"/>
    </row>
    <row r="6" spans="1:18">
      <c r="A6" s="32" t="s">
        <v>53</v>
      </c>
      <c r="B6" s="37">
        <f>B26</f>
        <v>6809.8607231999995</v>
      </c>
      <c r="C6" s="33"/>
      <c r="D6" s="37">
        <f>IF(ISERROR(TER_kantoor_gas_kWh/1000),0,TER_kantoor_gas_kWh/1000)*0.902</f>
        <v>4358.3872446708001</v>
      </c>
      <c r="E6" s="33">
        <f>$C$26*'E Balans VL '!I12/100/3.6*1000000</f>
        <v>89.149465398728083</v>
      </c>
      <c r="F6" s="33">
        <f>$C$26*('E Balans VL '!L12+'E Balans VL '!N12)/100/3.6*1000000</f>
        <v>1736.4441139439687</v>
      </c>
      <c r="G6" s="34"/>
      <c r="H6" s="33"/>
      <c r="I6" s="33"/>
      <c r="J6" s="33">
        <f>$C$26*('E Balans VL '!D12+'E Balans VL '!E12)/100/3.6*1000000</f>
        <v>0</v>
      </c>
      <c r="K6" s="33"/>
      <c r="L6" s="33"/>
      <c r="M6" s="33"/>
      <c r="N6" s="33">
        <f>$C$26*'E Balans VL '!Y12/100/3.6*1000000</f>
        <v>6.8327925644301049</v>
      </c>
      <c r="O6" s="33"/>
      <c r="P6" s="33"/>
      <c r="R6" s="32"/>
    </row>
    <row r="7" spans="1:18">
      <c r="A7" s="32" t="s">
        <v>52</v>
      </c>
      <c r="B7" s="37">
        <f t="shared" ref="B7:B12" si="0">B27</f>
        <v>1093.8933337000001</v>
      </c>
      <c r="C7" s="33"/>
      <c r="D7" s="37">
        <f>IF(ISERROR(TER_horeca_gas_kWh/1000),0,TER_horeca_gas_kWh/1000)*0.902</f>
        <v>925.75568608160006</v>
      </c>
      <c r="E7" s="33">
        <f>$C$27*'E Balans VL '!I9/100/3.6*1000000</f>
        <v>36.20121541553344</v>
      </c>
      <c r="F7" s="33">
        <f>$C$27*('E Balans VL '!L9+'E Balans VL '!N9)/100/3.6*1000000</f>
        <v>470.36994118393841</v>
      </c>
      <c r="G7" s="34"/>
      <c r="H7" s="33"/>
      <c r="I7" s="33"/>
      <c r="J7" s="33">
        <f>$C$27*('E Balans VL '!D9+'E Balans VL '!E9)/100/3.6*1000000</f>
        <v>0</v>
      </c>
      <c r="K7" s="33"/>
      <c r="L7" s="33"/>
      <c r="M7" s="33"/>
      <c r="N7" s="33">
        <f>$C$27*'E Balans VL '!Y9/100/3.6*1000000</f>
        <v>0.26331601049603742</v>
      </c>
      <c r="O7" s="33"/>
      <c r="P7" s="33"/>
      <c r="R7" s="32"/>
    </row>
    <row r="8" spans="1:18">
      <c r="A8" s="6" t="s">
        <v>51</v>
      </c>
      <c r="B8" s="37">
        <f t="shared" si="0"/>
        <v>5070.8962860000001</v>
      </c>
      <c r="C8" s="33"/>
      <c r="D8" s="37">
        <f>IF(ISERROR(TER_handel_gas_kWh/1000),0,TER_handel_gas_kWh/1000)*0.902</f>
        <v>2052.9029954224002</v>
      </c>
      <c r="E8" s="33">
        <f>$C$28*'E Balans VL '!I13/100/3.6*1000000</f>
        <v>160.04523488505058</v>
      </c>
      <c r="F8" s="33">
        <f>$C$28*('E Balans VL '!L13+'E Balans VL '!N13)/100/3.6*1000000</f>
        <v>994.49205462439943</v>
      </c>
      <c r="G8" s="34"/>
      <c r="H8" s="33"/>
      <c r="I8" s="33"/>
      <c r="J8" s="33">
        <f>$C$28*('E Balans VL '!D13+'E Balans VL '!E13)/100/3.6*1000000</f>
        <v>0</v>
      </c>
      <c r="K8" s="33"/>
      <c r="L8" s="33"/>
      <c r="M8" s="33"/>
      <c r="N8" s="33">
        <f>$C$28*'E Balans VL '!Y13/100/3.6*1000000</f>
        <v>6.0181693890542851</v>
      </c>
      <c r="O8" s="33"/>
      <c r="P8" s="33"/>
      <c r="R8" s="32"/>
    </row>
    <row r="9" spans="1:18">
      <c r="A9" s="32" t="s">
        <v>50</v>
      </c>
      <c r="B9" s="37">
        <f t="shared" si="0"/>
        <v>953.40105721999998</v>
      </c>
      <c r="C9" s="33"/>
      <c r="D9" s="37">
        <f>IF(ISERROR(TER_gezond_gas_kWh/1000),0,TER_gezond_gas_kWh/1000)*0.902</f>
        <v>74.218746274816013</v>
      </c>
      <c r="E9" s="33">
        <f>$C$29*'E Balans VL '!I10/100/3.6*1000000</f>
        <v>0.12206322645323708</v>
      </c>
      <c r="F9" s="33">
        <f>$C$29*('E Balans VL '!L10+'E Balans VL '!N10)/100/3.6*1000000</f>
        <v>198.63340091936783</v>
      </c>
      <c r="G9" s="34"/>
      <c r="H9" s="33"/>
      <c r="I9" s="33"/>
      <c r="J9" s="33">
        <f>$C$29*('E Balans VL '!D10+'E Balans VL '!E10)/100/3.6*1000000</f>
        <v>0</v>
      </c>
      <c r="K9" s="33"/>
      <c r="L9" s="33"/>
      <c r="M9" s="33"/>
      <c r="N9" s="33">
        <f>$C$29*'E Balans VL '!Y10/100/3.6*1000000</f>
        <v>11.198146053631849</v>
      </c>
      <c r="O9" s="33"/>
      <c r="P9" s="33"/>
      <c r="R9" s="32"/>
    </row>
    <row r="10" spans="1:18">
      <c r="A10" s="32" t="s">
        <v>49</v>
      </c>
      <c r="B10" s="37">
        <f t="shared" si="0"/>
        <v>936.69125116999999</v>
      </c>
      <c r="C10" s="33"/>
      <c r="D10" s="37">
        <f>IF(ISERROR(TER_ander_gas_kWh/1000),0,TER_ander_gas_kWh/1000)*0.902</f>
        <v>5905.2891214834008</v>
      </c>
      <c r="E10" s="33">
        <f>$C$30*'E Balans VL '!I14/100/3.6*1000000</f>
        <v>1.4085633642108988</v>
      </c>
      <c r="F10" s="33">
        <f>$C$30*('E Balans VL '!L14+'E Balans VL '!N14)/100/3.6*1000000</f>
        <v>206.79123439335277</v>
      </c>
      <c r="G10" s="34"/>
      <c r="H10" s="33"/>
      <c r="I10" s="33"/>
      <c r="J10" s="33">
        <f>$C$30*('E Balans VL '!D14+'E Balans VL '!E14)/100/3.6*1000000</f>
        <v>0</v>
      </c>
      <c r="K10" s="33"/>
      <c r="L10" s="33"/>
      <c r="M10" s="33"/>
      <c r="N10" s="33">
        <f>$C$30*'E Balans VL '!Y14/100/3.6*1000000</f>
        <v>738.17574286643423</v>
      </c>
      <c r="O10" s="33"/>
      <c r="P10" s="33"/>
      <c r="R10" s="32"/>
    </row>
    <row r="11" spans="1:18">
      <c r="A11" s="32" t="s">
        <v>54</v>
      </c>
      <c r="B11" s="37">
        <f t="shared" si="0"/>
        <v>146.07451741999998</v>
      </c>
      <c r="C11" s="33"/>
      <c r="D11" s="37">
        <f>IF(ISERROR(TER_onderwijs_gas_kWh/1000),0,TER_onderwijs_gas_kWh/1000)*0.902</f>
        <v>1402.7143641962</v>
      </c>
      <c r="E11" s="33">
        <f>$C$31*'E Balans VL '!I11/100/3.6*1000000</f>
        <v>0.25724946617886701</v>
      </c>
      <c r="F11" s="33">
        <f>$C$31*('E Balans VL '!L11+'E Balans VL '!N11)/100/3.6*1000000</f>
        <v>67.445247906835021</v>
      </c>
      <c r="G11" s="34"/>
      <c r="H11" s="33"/>
      <c r="I11" s="33"/>
      <c r="J11" s="33">
        <f>$C$31*('E Balans VL '!D11+'E Balans VL '!E11)/100/3.6*1000000</f>
        <v>0</v>
      </c>
      <c r="K11" s="33"/>
      <c r="L11" s="33"/>
      <c r="M11" s="33"/>
      <c r="N11" s="33">
        <f>$C$31*'E Balans VL '!Y11/100/3.6*1000000</f>
        <v>0.27213884598563665</v>
      </c>
      <c r="O11" s="33"/>
      <c r="P11" s="33"/>
      <c r="R11" s="32"/>
    </row>
    <row r="12" spans="1:18">
      <c r="A12" s="32" t="s">
        <v>259</v>
      </c>
      <c r="B12" s="37">
        <f t="shared" si="0"/>
        <v>7067.7534824000004</v>
      </c>
      <c r="C12" s="33"/>
      <c r="D12" s="37">
        <f>IF(ISERROR(TER_rest_gas_kWh/1000),0,TER_rest_gas_kWh/1000)*0.902</f>
        <v>5774.7190227694009</v>
      </c>
      <c r="E12" s="33">
        <f>$C$32*'E Balans VL '!I8/100/3.6*1000000</f>
        <v>124.43848372982612</v>
      </c>
      <c r="F12" s="33">
        <f>$C$32*('E Balans VL '!L8+'E Balans VL '!N8)/100/3.6*1000000</f>
        <v>1820.8746895509967</v>
      </c>
      <c r="G12" s="34"/>
      <c r="H12" s="33"/>
      <c r="I12" s="33"/>
      <c r="J12" s="33">
        <f>$C$32*('E Balans VL '!D8+'E Balans VL '!E8)/100/3.6*1000000</f>
        <v>0</v>
      </c>
      <c r="K12" s="33"/>
      <c r="L12" s="33"/>
      <c r="M12" s="33"/>
      <c r="N12" s="33">
        <f>$C$32*'E Balans VL '!Y8/100/3.6*1000000</f>
        <v>623.6724015558749</v>
      </c>
      <c r="O12" s="33"/>
      <c r="P12" s="33"/>
      <c r="R12" s="32"/>
    </row>
    <row r="13" spans="1:18">
      <c r="A13" s="16" t="s">
        <v>490</v>
      </c>
      <c r="B13" s="247">
        <f ca="1">'lokale energieproductie'!N38+'lokale energieproductie'!N31</f>
        <v>450</v>
      </c>
      <c r="C13" s="247">
        <f ca="1">'lokale energieproductie'!O38+'lokale energieproductie'!O31</f>
        <v>642.85714285714289</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-1285.7142857142858</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22528.57065111</v>
      </c>
      <c r="C16" s="21">
        <f t="shared" ca="1" si="1"/>
        <v>642.85714285714289</v>
      </c>
      <c r="D16" s="21">
        <f t="shared" ca="1" si="1"/>
        <v>20493.987180898617</v>
      </c>
      <c r="E16" s="21">
        <f t="shared" si="1"/>
        <v>411.62227548598128</v>
      </c>
      <c r="F16" s="21">
        <f t="shared" ca="1" si="1"/>
        <v>5495.0506825228586</v>
      </c>
      <c r="G16" s="21">
        <f t="shared" si="1"/>
        <v>0</v>
      </c>
      <c r="H16" s="21">
        <f t="shared" si="1"/>
        <v>0</v>
      </c>
      <c r="I16" s="21">
        <f t="shared" si="1"/>
        <v>0</v>
      </c>
      <c r="J16" s="21">
        <f t="shared" si="1"/>
        <v>0</v>
      </c>
      <c r="K16" s="21">
        <f t="shared" si="1"/>
        <v>0</v>
      </c>
      <c r="L16" s="21">
        <f t="shared" ca="1" si="1"/>
        <v>0</v>
      </c>
      <c r="M16" s="21">
        <f t="shared" si="1"/>
        <v>0</v>
      </c>
      <c r="N16" s="21">
        <f t="shared" ca="1" si="1"/>
        <v>100.71842157162132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0.19059129201947761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4293.7493877471388</v>
      </c>
      <c r="C20" s="23">
        <f t="shared" ref="C20:P20" ca="1" si="2">C16*C18</f>
        <v>0</v>
      </c>
      <c r="D20" s="23">
        <f t="shared" ca="1" si="2"/>
        <v>4139.7854105415208</v>
      </c>
      <c r="E20" s="23">
        <f t="shared" si="2"/>
        <v>93.438256535317748</v>
      </c>
      <c r="F20" s="23">
        <f t="shared" ca="1" si="2"/>
        <v>1467.1785322336034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6809.8607231999995</v>
      </c>
      <c r="C26" s="39">
        <f>IF(ISERROR(B26*3.6/1000000/'E Balans VL '!Z12*100),0,B26*3.6/1000000/'E Balans VL '!Z12*100)</f>
        <v>0.14587250706573515</v>
      </c>
      <c r="D26" s="237" t="s">
        <v>659</v>
      </c>
      <c r="F26" s="6"/>
    </row>
    <row r="27" spans="1:18">
      <c r="A27" s="231" t="s">
        <v>52</v>
      </c>
      <c r="B27" s="33">
        <f>IF(ISERROR(TER_horeca_ele_kWh/1000),0,TER_horeca_ele_kWh/1000)</f>
        <v>1093.8933337000001</v>
      </c>
      <c r="C27" s="39">
        <f>IF(ISERROR(B27*3.6/1000000/'E Balans VL '!Z9*100),0,B27*3.6/1000000/'E Balans VL '!Z9*100)</f>
        <v>8.7781137695008116E-2</v>
      </c>
      <c r="D27" s="237" t="s">
        <v>659</v>
      </c>
      <c r="F27" s="6"/>
    </row>
    <row r="28" spans="1:18">
      <c r="A28" s="171" t="s">
        <v>51</v>
      </c>
      <c r="B28" s="33">
        <f>IF(ISERROR(TER_handel_ele_kWh/1000),0,TER_handel_ele_kWh/1000)</f>
        <v>5070.8962860000001</v>
      </c>
      <c r="C28" s="39">
        <f>IF(ISERROR(B28*3.6/1000000/'E Balans VL '!Z13*100),0,B28*3.6/1000000/'E Balans VL '!Z13*100)</f>
        <v>0.1495623549360299</v>
      </c>
      <c r="D28" s="237" t="s">
        <v>659</v>
      </c>
      <c r="F28" s="6"/>
    </row>
    <row r="29" spans="1:18">
      <c r="A29" s="231" t="s">
        <v>50</v>
      </c>
      <c r="B29" s="33">
        <f>IF(ISERROR(TER_gezond_ele_kWh/1000),0,TER_gezond_ele_kWh/1000)</f>
        <v>953.40105721999998</v>
      </c>
      <c r="C29" s="39">
        <f>IF(ISERROR(B29*3.6/1000000/'E Balans VL '!Z10*100),0,B29*3.6/1000000/'E Balans VL '!Z10*100)</f>
        <v>0.10179767127019829</v>
      </c>
      <c r="D29" s="237" t="s">
        <v>659</v>
      </c>
      <c r="F29" s="6"/>
    </row>
    <row r="30" spans="1:18">
      <c r="A30" s="231" t="s">
        <v>49</v>
      </c>
      <c r="B30" s="33">
        <f>IF(ISERROR(TER_ander_ele_kWh/1000),0,TER_ander_ele_kWh/1000)</f>
        <v>936.69125116999999</v>
      </c>
      <c r="C30" s="39">
        <f>IF(ISERROR(B30*3.6/1000000/'E Balans VL '!Z14*100),0,B30*3.6/1000000/'E Balans VL '!Z14*100)</f>
        <v>7.0751968439045548E-2</v>
      </c>
      <c r="D30" s="237" t="s">
        <v>659</v>
      </c>
      <c r="F30" s="6"/>
    </row>
    <row r="31" spans="1:18">
      <c r="A31" s="231" t="s">
        <v>54</v>
      </c>
      <c r="B31" s="33">
        <f>IF(ISERROR(TER_onderwijs_ele_kWh/1000),0,TER_onderwijs_ele_kWh/1000)</f>
        <v>146.07451741999998</v>
      </c>
      <c r="C31" s="39">
        <f>IF(ISERROR(B31*3.6/1000000/'E Balans VL '!Z11*100),0,B31*3.6/1000000/'E Balans VL '!Z11*100)</f>
        <v>2.9497321411207596E-2</v>
      </c>
      <c r="D31" s="237" t="s">
        <v>659</v>
      </c>
    </row>
    <row r="32" spans="1:18">
      <c r="A32" s="231" t="s">
        <v>259</v>
      </c>
      <c r="B32" s="33">
        <f>IF(ISERROR(TER_rest_ele_kWh/1000),0,TER_rest_ele_kWh/1000)</f>
        <v>7067.7534824000004</v>
      </c>
      <c r="C32" s="39">
        <f>IF(ISERROR(B32*3.6/1000000/'E Balans VL '!Z8*100),0,B32*3.6/1000000/'E Balans VL '!Z8*100)</f>
        <v>5.860151814482048E-2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18488.675748149999</v>
      </c>
      <c r="C5" s="17">
        <f>IF(ISERROR('Eigen informatie GS &amp; warmtenet'!B59),0,'Eigen informatie GS &amp; warmtenet'!B59)</f>
        <v>0</v>
      </c>
      <c r="D5" s="30">
        <f>SUM(D6:D15)</f>
        <v>141225.06489273312</v>
      </c>
      <c r="E5" s="17">
        <f>SUM(E6:E15)</f>
        <v>1282.7207115355025</v>
      </c>
      <c r="F5" s="17">
        <f>SUM(F6:F15)</f>
        <v>5342.1173342245575</v>
      </c>
      <c r="G5" s="18"/>
      <c r="H5" s="17"/>
      <c r="I5" s="17"/>
      <c r="J5" s="17">
        <f>SUM(J6:J15)</f>
        <v>126.59498117804452</v>
      </c>
      <c r="K5" s="17"/>
      <c r="L5" s="17"/>
      <c r="M5" s="17"/>
      <c r="N5" s="17">
        <f>SUM(N6:N15)</f>
        <v>1286.3024534213105</v>
      </c>
      <c r="O5" s="17">
        <f>B43*B44*B45</f>
        <v>0</v>
      </c>
      <c r="P5" s="17">
        <f>B51*B52*B53/1000-B51*B52*B53/1000/B54</f>
        <v>0</v>
      </c>
      <c r="R5" s="32"/>
    </row>
    <row r="6" spans="1:18">
      <c r="A6" s="6" t="s">
        <v>34</v>
      </c>
      <c r="B6" s="37">
        <f>IF( ISERROR(IND_ijzer_ele_kWh/1000),0,IND_ijzer_ele_kWh/1000)</f>
        <v>250.27849036000001</v>
      </c>
      <c r="C6" s="33"/>
      <c r="D6" s="37">
        <f>IF( ISERROR(IND_ijzer_gas_kWh/1000),0,IND_ijzer_gas_kWh/1000)*0.902</f>
        <v>130269.39392279999</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1334.2444746000001</v>
      </c>
      <c r="C8" s="33"/>
      <c r="D8" s="37">
        <f>IF( ISERROR(IND_metaal_Gas_kWH/1000),0,IND_metaal_Gas_kWH/1000)*0.902</f>
        <v>0</v>
      </c>
      <c r="E8" s="33">
        <f>C30*'E Balans VL '!I18/100/3.6*1000000</f>
        <v>48.010152559260682</v>
      </c>
      <c r="F8" s="33">
        <f>C30*'E Balans VL '!L18/100/3.6*1000000+C30*'E Balans VL '!N18/100/3.6*1000000</f>
        <v>582.62131050538255</v>
      </c>
      <c r="G8" s="34"/>
      <c r="H8" s="33"/>
      <c r="I8" s="33"/>
      <c r="J8" s="40">
        <f>C30*'E Balans VL '!D18/100/3.6*1000000+C30*'E Balans VL '!E18/100/3.6*1000000</f>
        <v>0</v>
      </c>
      <c r="K8" s="33"/>
      <c r="L8" s="33"/>
      <c r="M8" s="33"/>
      <c r="N8" s="33">
        <f>C30*'E Balans VL '!Y18/100/3.6*1000000</f>
        <v>66.871426351756327</v>
      </c>
      <c r="O8" s="33"/>
      <c r="P8" s="33"/>
      <c r="R8" s="32"/>
    </row>
    <row r="9" spans="1:18">
      <c r="A9" s="6" t="s">
        <v>32</v>
      </c>
      <c r="B9" s="37">
        <f t="shared" si="0"/>
        <v>1707.6958289000002</v>
      </c>
      <c r="C9" s="33"/>
      <c r="D9" s="37">
        <f>IF( ISERROR(IND_andere_gas_kWh/1000),0,IND_andere_gas_kWh/1000)*0.902</f>
        <v>1184.8943589493999</v>
      </c>
      <c r="E9" s="33">
        <f>C31*'E Balans VL '!I19/100/3.6*1000000</f>
        <v>435.76533783494938</v>
      </c>
      <c r="F9" s="33">
        <f>C31*'E Balans VL '!L19/100/3.6*1000000+C31*'E Balans VL '!N19/100/3.6*1000000</f>
        <v>1470.1977532743701</v>
      </c>
      <c r="G9" s="34"/>
      <c r="H9" s="33"/>
      <c r="I9" s="33"/>
      <c r="J9" s="40">
        <f>C31*'E Balans VL '!D19/100/3.6*1000000+C31*'E Balans VL '!E19/100/3.6*1000000</f>
        <v>0</v>
      </c>
      <c r="K9" s="33"/>
      <c r="L9" s="33"/>
      <c r="M9" s="33"/>
      <c r="N9" s="33">
        <f>C31*'E Balans VL '!Y19/100/3.6*1000000</f>
        <v>134.71721792809322</v>
      </c>
      <c r="O9" s="33"/>
      <c r="P9" s="33"/>
      <c r="R9" s="32"/>
    </row>
    <row r="10" spans="1:18">
      <c r="A10" s="6" t="s">
        <v>40</v>
      </c>
      <c r="B10" s="37">
        <f t="shared" si="0"/>
        <v>641.48256273999993</v>
      </c>
      <c r="C10" s="33"/>
      <c r="D10" s="37">
        <f>IF( ISERROR(IND_voed_gas_kWh/1000),0,IND_voed_gas_kWh/1000)*0.902</f>
        <v>287.73846627988002</v>
      </c>
      <c r="E10" s="33">
        <f>C32*'E Balans VL '!I20/100/3.6*1000000</f>
        <v>16.307367572591783</v>
      </c>
      <c r="F10" s="33">
        <f>C32*'E Balans VL '!L20/100/3.6*1000000+C32*'E Balans VL '!N20/100/3.6*1000000</f>
        <v>145.15787446434803</v>
      </c>
      <c r="G10" s="34"/>
      <c r="H10" s="33"/>
      <c r="I10" s="33"/>
      <c r="J10" s="40">
        <f>C32*'E Balans VL '!D20/100/3.6*1000000+C32*'E Balans VL '!E20/100/3.6*1000000</f>
        <v>0</v>
      </c>
      <c r="K10" s="33"/>
      <c r="L10" s="33"/>
      <c r="M10" s="33"/>
      <c r="N10" s="33">
        <f>C32*'E Balans VL '!Y20/100/3.6*1000000</f>
        <v>240.57334909629941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146.09962354999999</v>
      </c>
      <c r="C13" s="33"/>
      <c r="D13" s="37">
        <f>IF( ISERROR(IND_papier_gas_kWh/1000),0,IND_papier_gas_kWh/1000)*0.902</f>
        <v>189.40382662586001</v>
      </c>
      <c r="E13" s="33">
        <f>C35*'E Balans VL '!I23/100/3.6*1000000</f>
        <v>0.62657878242728637</v>
      </c>
      <c r="F13" s="33">
        <f>C35*'E Balans VL '!L23/100/3.6*1000000+C35*'E Balans VL '!N23/100/3.6*1000000</f>
        <v>3.6719370041754384</v>
      </c>
      <c r="G13" s="34"/>
      <c r="H13" s="33"/>
      <c r="I13" s="33"/>
      <c r="J13" s="40">
        <f>C35*'E Balans VL '!D23/100/3.6*1000000+C35*'E Balans VL '!E23/100/3.6*1000000</f>
        <v>9.7805684732005371</v>
      </c>
      <c r="K13" s="33"/>
      <c r="L13" s="33"/>
      <c r="M13" s="33"/>
      <c r="N13" s="33">
        <f>C35*'E Balans VL '!Y23/100/3.6*1000000</f>
        <v>35.628387586916475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14408.874768</v>
      </c>
      <c r="C15" s="33"/>
      <c r="D15" s="37">
        <f>IF( ISERROR(IND_rest_gas_kWh/1000),0,IND_rest_gas_kWh/1000)*0.902</f>
        <v>9293.6343180780004</v>
      </c>
      <c r="E15" s="33">
        <f>C37*'E Balans VL '!I15/100/3.6*1000000</f>
        <v>782.01127478627336</v>
      </c>
      <c r="F15" s="33">
        <f>C37*'E Balans VL '!L15/100/3.6*1000000+C37*'E Balans VL '!N15/100/3.6*1000000</f>
        <v>3140.4684589762815</v>
      </c>
      <c r="G15" s="34"/>
      <c r="H15" s="33"/>
      <c r="I15" s="33"/>
      <c r="J15" s="40">
        <f>C37*'E Balans VL '!D15/100/3.6*1000000+C37*'E Balans VL '!E15/100/3.6*1000000</f>
        <v>116.81441270484399</v>
      </c>
      <c r="K15" s="33"/>
      <c r="L15" s="33"/>
      <c r="M15" s="33"/>
      <c r="N15" s="33">
        <f>C37*'E Balans VL '!Y15/100/3.6*1000000</f>
        <v>808.51207245824492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18488.675748149999</v>
      </c>
      <c r="C18" s="21">
        <f>C5+C16</f>
        <v>0</v>
      </c>
      <c r="D18" s="21">
        <f>MAX((D5+D16),0)</f>
        <v>141225.06489273312</v>
      </c>
      <c r="E18" s="21">
        <f>MAX((E5+E16),0)</f>
        <v>1282.7207115355025</v>
      </c>
      <c r="F18" s="21">
        <f>MAX((F5+F16),0)</f>
        <v>5342.1173342245575</v>
      </c>
      <c r="G18" s="21"/>
      <c r="H18" s="21"/>
      <c r="I18" s="21"/>
      <c r="J18" s="21">
        <f>MAX((J5+J16),0)</f>
        <v>126.59498117804452</v>
      </c>
      <c r="K18" s="21"/>
      <c r="L18" s="21">
        <f>MAX((L5+L16),0)</f>
        <v>0</v>
      </c>
      <c r="M18" s="21"/>
      <c r="N18" s="21">
        <f>MAX((N5+N16),0)</f>
        <v>1286.3024534213105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0.19059129201947761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3523.7805985690902</v>
      </c>
      <c r="C22" s="23">
        <f ca="1">C18*C20</f>
        <v>0</v>
      </c>
      <c r="D22" s="23">
        <f>D18*D20</f>
        <v>28527.463108332093</v>
      </c>
      <c r="E22" s="23">
        <f>E18*E20</f>
        <v>291.17760151855907</v>
      </c>
      <c r="F22" s="23">
        <f>F18*F20</f>
        <v>1426.3453282379569</v>
      </c>
      <c r="G22" s="23"/>
      <c r="H22" s="23"/>
      <c r="I22" s="23"/>
      <c r="J22" s="23">
        <f>J18*J20</f>
        <v>44.814623337027754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1334.2444746000001</v>
      </c>
      <c r="C30" s="39">
        <f>IF(ISERROR(B30*3.6/1000000/'E Balans VL '!Z18*100),0,B30*3.6/1000000/'E Balans VL '!Z18*100)</f>
        <v>0.28269779872011669</v>
      </c>
      <c r="D30" s="237" t="s">
        <v>659</v>
      </c>
    </row>
    <row r="31" spans="1:18">
      <c r="A31" s="6" t="s">
        <v>32</v>
      </c>
      <c r="B31" s="37">
        <f>IF( ISERROR(IND_ander_ele_kWh/1000),0,IND_ander_ele_kWh/1000)</f>
        <v>1707.6958289000002</v>
      </c>
      <c r="C31" s="39">
        <f>IF(ISERROR(B31*3.6/1000000/'E Balans VL '!Z19*100),0,B31*3.6/1000000/'E Balans VL '!Z19*100)</f>
        <v>7.1880795043782919E-2</v>
      </c>
      <c r="D31" s="237" t="s">
        <v>659</v>
      </c>
    </row>
    <row r="32" spans="1:18">
      <c r="A32" s="171" t="s">
        <v>40</v>
      </c>
      <c r="B32" s="37">
        <f>IF( ISERROR(IND_voed_ele_kWh/1000),0,IND_voed_ele_kWh/1000)</f>
        <v>641.48256273999993</v>
      </c>
      <c r="C32" s="39">
        <f>IF(ISERROR(B32*3.6/1000000/'E Balans VL '!Z20*100),0,B32*3.6/1000000/'E Balans VL '!Z20*100)</f>
        <v>0.10716691998174181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146.09962354999999</v>
      </c>
      <c r="C35" s="39">
        <f>IF(ISERROR(B35*3.6/1000000/'E Balans VL '!Z22*100),0,B35*3.6/1000000/'E Balans VL '!Z22*100)</f>
        <v>1.8518915197905234E-2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14408.874768</v>
      </c>
      <c r="C37" s="39">
        <f>IF(ISERROR(B37*3.6/1000000/'E Balans VL '!Z15*100),0,B37*3.6/1000000/'E Balans VL '!Z15*100)</f>
        <v>0.11632842537409767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2404.7136279600004</v>
      </c>
      <c r="C5" s="17">
        <f>'Eigen informatie GS &amp; warmtenet'!B60</f>
        <v>0</v>
      </c>
      <c r="D5" s="30">
        <f>IF(ISERROR(SUM(LB_lb_gas_kWh,LB_rest_gas_kWh)/1000),0,SUM(LB_lb_gas_kWh,LB_rest_gas_kWh)/1000)*0.902</f>
        <v>475.25487277070005</v>
      </c>
      <c r="E5" s="17">
        <f>B17*'E Balans VL '!I25/3.6*1000000/100</f>
        <v>62.008331432231891</v>
      </c>
      <c r="F5" s="17">
        <f>B17*('E Balans VL '!L25/3.6*1000000+'E Balans VL '!N25/3.6*1000000)/100</f>
        <v>8789.6862656580797</v>
      </c>
      <c r="G5" s="18"/>
      <c r="H5" s="17"/>
      <c r="I5" s="17"/>
      <c r="J5" s="17">
        <f>('E Balans VL '!D25+'E Balans VL '!E25)/3.6*1000000*landbouw!B17/100</f>
        <v>346.19030105064689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2404.7136279600004</v>
      </c>
      <c r="C8" s="21">
        <f>C5+C6</f>
        <v>0</v>
      </c>
      <c r="D8" s="21">
        <f>MAX((D5+D6),0)</f>
        <v>475.25487277070005</v>
      </c>
      <c r="E8" s="21">
        <f>MAX((E5+E6),0)</f>
        <v>62.008331432231891</v>
      </c>
      <c r="F8" s="21">
        <f>MAX((F5+F6),0)</f>
        <v>8789.6862656580797</v>
      </c>
      <c r="G8" s="21"/>
      <c r="H8" s="21"/>
      <c r="I8" s="21"/>
      <c r="J8" s="21">
        <f>MAX((J5+J6),0)</f>
        <v>346.19030105064689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0.19059129201947761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458.31747728974187</v>
      </c>
      <c r="C12" s="23">
        <f ca="1">C8*C10</f>
        <v>0</v>
      </c>
      <c r="D12" s="23">
        <f>D8*D10</f>
        <v>96.001484299681422</v>
      </c>
      <c r="E12" s="23">
        <f>E8*E10</f>
        <v>14.075891235116639</v>
      </c>
      <c r="F12" s="23">
        <f>F8*F10</f>
        <v>2346.8462329307076</v>
      </c>
      <c r="G12" s="23"/>
      <c r="H12" s="23"/>
      <c r="I12" s="23"/>
      <c r="J12" s="23">
        <f>J8*J10</f>
        <v>122.55136657192899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0.3390805500082697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358.3785881766438</v>
      </c>
      <c r="C26" s="247">
        <f>B26*'GWP N2O_CH4'!B5</f>
        <v>7525.95035170952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156.6638866362905</v>
      </c>
      <c r="C27" s="247">
        <f>B27*'GWP N2O_CH4'!B5</f>
        <v>3289.9416193621005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5.2787580179056848</v>
      </c>
      <c r="C28" s="247">
        <f>B28*'GWP N2O_CH4'!B4</f>
        <v>1636.4149855507624</v>
      </c>
      <c r="D28" s="50"/>
    </row>
    <row r="29" spans="1:4">
      <c r="A29" s="41" t="s">
        <v>276</v>
      </c>
      <c r="B29" s="247">
        <f>B34*'ha_N2O bodem landbouw'!B4</f>
        <v>28.175471602313813</v>
      </c>
      <c r="C29" s="247">
        <f>B29*'GWP N2O_CH4'!B4</f>
        <v>8734.3961967172818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6.3410122101862408E-3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6.2357619191013403E-5</v>
      </c>
      <c r="C5" s="437" t="s">
        <v>210</v>
      </c>
      <c r="D5" s="422">
        <f>SUM(D6:D11)</f>
        <v>1.528159554300113E-4</v>
      </c>
      <c r="E5" s="422">
        <f>SUM(E6:E11)</f>
        <v>6.678167568108784E-4</v>
      </c>
      <c r="F5" s="435" t="s">
        <v>210</v>
      </c>
      <c r="G5" s="422">
        <f>SUM(G6:G11)</f>
        <v>0.24402427005212152</v>
      </c>
      <c r="H5" s="422">
        <f>SUM(H6:H11)</f>
        <v>5.1520033036779607E-2</v>
      </c>
      <c r="I5" s="437" t="s">
        <v>210</v>
      </c>
      <c r="J5" s="437" t="s">
        <v>210</v>
      </c>
      <c r="K5" s="437" t="s">
        <v>210</v>
      </c>
      <c r="L5" s="437" t="s">
        <v>210</v>
      </c>
      <c r="M5" s="422">
        <f>SUM(M6:M11)</f>
        <v>9.221053493965195E-3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3.0324346056027251E-5</v>
      </c>
      <c r="C6" s="423"/>
      <c r="D6" s="865">
        <f>vkm_GW_PW*SUMIFS(TableVerdeelsleutelVkm[CNG],TableVerdeelsleutelVkm[Voertuigtype],"Lichte voertuigen")*SUMIFS(TableECFTransport[EnergieConsumptieFactor (PJ per km)],TableECFTransport[Index],CONCATENATE($A6,"_CNG_CNG"))</f>
        <v>5.4664991213989472E-5</v>
      </c>
      <c r="E6" s="865">
        <f>vkm_GW_PW*SUMIFS(TableVerdeelsleutelVkm[LPG],TableVerdeelsleutelVkm[Voertuigtype],"Lichte voertuigen")*SUMIFS(TableECFTransport[EnergieConsumptieFactor (PJ per km)],TableECFTransport[Index],CONCATENATE($A6,"_LPG_LPG"))</f>
        <v>2.4694506799807878E-4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6.746505551379052E-2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1.8769487908163043E-2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2.6849806122305566E-3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4.0224100927129476E-2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7.2583646813339789E-7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1.2654524699966983E-3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3.2033273134986149E-5</v>
      </c>
      <c r="C8" s="423"/>
      <c r="D8" s="425">
        <f>vkm_NGW_PW*SUMIFS(TableVerdeelsleutelVkm[CNG],TableVerdeelsleutelVkm[Voertuigtype],"Lichte voertuigen")*SUMIFS(TableECFTransport[EnergieConsumptieFactor (PJ per km)],TableECFTransport[Index],CONCATENATE($A8,"_CNG_CNG"))</f>
        <v>9.8150964216021846E-5</v>
      </c>
      <c r="E8" s="425">
        <f>vkm_NGW_PW*SUMIFS(TableVerdeelsleutelVkm[LPG],TableVerdeelsleutelVkm[Voertuigtype],"Lichte voertuigen")*SUMIFS(TableECFTransport[EnergieConsumptieFactor (PJ per km)],TableECFTransport[Index],CONCATENATE($A8,"_LPG_LPG"))</f>
        <v>4.2087168881279968E-4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0.10796313158300004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3.2749187289429563E-2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4.3780326689635664E-3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2.8371982028201456E-2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6.3200271887007463E-7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8.9258774277437339E-4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17.321560886392611</v>
      </c>
      <c r="C14" s="21"/>
      <c r="D14" s="21">
        <f t="shared" ref="D14:M14" si="0">((D5)*10^9/3600)+D12</f>
        <v>42.448876508336468</v>
      </c>
      <c r="E14" s="21">
        <f t="shared" si="0"/>
        <v>185.50465466968845</v>
      </c>
      <c r="F14" s="21"/>
      <c r="G14" s="21">
        <f t="shared" si="0"/>
        <v>67784.519458922645</v>
      </c>
      <c r="H14" s="21">
        <f t="shared" si="0"/>
        <v>14311.120287994334</v>
      </c>
      <c r="I14" s="21"/>
      <c r="J14" s="21"/>
      <c r="K14" s="21"/>
      <c r="L14" s="21"/>
      <c r="M14" s="21">
        <f t="shared" si="0"/>
        <v>2561.4037483236652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0.19059129201947761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3.3013386691316153</v>
      </c>
      <c r="C18" s="23"/>
      <c r="D18" s="23">
        <f t="shared" ref="D18:M18" si="1">D14*D16</f>
        <v>8.5746730546839665</v>
      </c>
      <c r="E18" s="23">
        <f t="shared" si="1"/>
        <v>42.109556610019283</v>
      </c>
      <c r="F18" s="23"/>
      <c r="G18" s="23">
        <f t="shared" si="1"/>
        <v>18098.466695532348</v>
      </c>
      <c r="H18" s="23">
        <f t="shared" si="1"/>
        <v>3563.468951710589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4.0718602354568433E-3</v>
      </c>
      <c r="H50" s="319">
        <f t="shared" si="2"/>
        <v>0</v>
      </c>
      <c r="I50" s="319">
        <f t="shared" si="2"/>
        <v>0</v>
      </c>
      <c r="J50" s="319">
        <f t="shared" si="2"/>
        <v>0</v>
      </c>
      <c r="K50" s="319">
        <f t="shared" si="2"/>
        <v>0</v>
      </c>
      <c r="L50" s="319">
        <f t="shared" si="2"/>
        <v>0</v>
      </c>
      <c r="M50" s="319">
        <f t="shared" si="2"/>
        <v>1.2614055809513712E-4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4.0718602354568433E-3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1.2614055809513712E-4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1131.072287626901</v>
      </c>
      <c r="H54" s="21">
        <f t="shared" si="3"/>
        <v>0</v>
      </c>
      <c r="I54" s="21">
        <f t="shared" si="3"/>
        <v>0</v>
      </c>
      <c r="J54" s="21">
        <f t="shared" si="3"/>
        <v>0</v>
      </c>
      <c r="K54" s="21">
        <f t="shared" si="3"/>
        <v>0</v>
      </c>
      <c r="L54" s="21">
        <f t="shared" si="3"/>
        <v>0</v>
      </c>
      <c r="M54" s="21">
        <f t="shared" si="3"/>
        <v>35.039043915315865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0.19059129201947761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301.99630079638257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3615.8951547957604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8268.6176223028997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450</v>
      </c>
      <c r="C8" s="544">
        <f>B48</f>
        <v>0</v>
      </c>
      <c r="D8" s="1009"/>
      <c r="E8" s="1009">
        <f>E48</f>
        <v>0</v>
      </c>
      <c r="F8" s="1010"/>
      <c r="G8" s="545"/>
      <c r="H8" s="1009">
        <f>I48</f>
        <v>0</v>
      </c>
      <c r="I8" s="1009">
        <f>G48+F48</f>
        <v>0</v>
      </c>
      <c r="J8" s="1009">
        <f>H48+D48+C48</f>
        <v>529.41176470588232</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12334.51277709866</v>
      </c>
      <c r="C10" s="557">
        <f t="shared" ref="C10:L10" si="0">SUM(C8:C9)</f>
        <v>0</v>
      </c>
      <c r="D10" s="557">
        <f t="shared" si="0"/>
        <v>0</v>
      </c>
      <c r="E10" s="557">
        <f t="shared" si="0"/>
        <v>0</v>
      </c>
      <c r="F10" s="557">
        <f t="shared" si="0"/>
        <v>0</v>
      </c>
      <c r="G10" s="557">
        <f t="shared" si="0"/>
        <v>0</v>
      </c>
      <c r="H10" s="557">
        <f t="shared" si="0"/>
        <v>0</v>
      </c>
      <c r="I10" s="557">
        <f t="shared" si="0"/>
        <v>0</v>
      </c>
      <c r="J10" s="557">
        <f t="shared" si="0"/>
        <v>529.41176470588232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642.85714285714289</v>
      </c>
      <c r="C17" s="569">
        <f>B49</f>
        <v>0</v>
      </c>
      <c r="D17" s="570"/>
      <c r="E17" s="570">
        <f>E49</f>
        <v>0</v>
      </c>
      <c r="F17" s="1015"/>
      <c r="G17" s="571"/>
      <c r="H17" s="569">
        <f>I49</f>
        <v>0</v>
      </c>
      <c r="I17" s="570">
        <f>G49+F49</f>
        <v>0</v>
      </c>
      <c r="J17" s="570">
        <f>H49+D49+C49</f>
        <v>756.30252100840346</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642.85714285714289</v>
      </c>
      <c r="C20" s="556">
        <f>SUM(C17:C19)</f>
        <v>0</v>
      </c>
      <c r="D20" s="556">
        <f t="shared" ref="D20:L20" si="1">SUM(D17:D19)</f>
        <v>0</v>
      </c>
      <c r="E20" s="556">
        <f t="shared" si="1"/>
        <v>0</v>
      </c>
      <c r="F20" s="556">
        <f t="shared" si="1"/>
        <v>0</v>
      </c>
      <c r="G20" s="556">
        <f t="shared" si="1"/>
        <v>0</v>
      </c>
      <c r="H20" s="556">
        <f t="shared" si="1"/>
        <v>0</v>
      </c>
      <c r="I20" s="556">
        <f t="shared" si="1"/>
        <v>0</v>
      </c>
      <c r="J20" s="556">
        <f t="shared" si="1"/>
        <v>756.30252100840346</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34042</v>
      </c>
      <c r="C28" s="770">
        <v>8550</v>
      </c>
      <c r="D28" s="627"/>
      <c r="E28" s="626"/>
      <c r="F28" s="626" t="s">
        <v>896</v>
      </c>
      <c r="G28" s="626" t="s">
        <v>897</v>
      </c>
      <c r="H28" s="626" t="s">
        <v>898</v>
      </c>
      <c r="I28" s="626" t="s">
        <v>899</v>
      </c>
      <c r="J28" s="769">
        <v>42284</v>
      </c>
      <c r="K28" s="769">
        <v>42286</v>
      </c>
      <c r="L28" s="626" t="s">
        <v>900</v>
      </c>
      <c r="M28" s="626">
        <v>600</v>
      </c>
      <c r="N28" s="626">
        <v>450</v>
      </c>
      <c r="O28" s="626">
        <v>642.85714285714289</v>
      </c>
      <c r="P28" s="626">
        <v>0</v>
      </c>
      <c r="Q28" s="626">
        <v>0</v>
      </c>
      <c r="R28" s="626">
        <v>1285.7142857142858</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600</v>
      </c>
      <c r="N29" s="584">
        <f>SUM(N28:N28)</f>
        <v>450</v>
      </c>
      <c r="O29" s="584">
        <f>SUM(O28:O28)</f>
        <v>642.85714285714289</v>
      </c>
      <c r="P29" s="584">
        <f>SUM(P28:P28)</f>
        <v>0</v>
      </c>
      <c r="Q29" s="584">
        <f>SUM(Q28:Q28)</f>
        <v>0</v>
      </c>
      <c r="R29" s="584">
        <f>SUM(R28:R28)</f>
        <v>1285.7142857142858</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600</v>
      </c>
      <c r="N31" s="584">
        <f ca="1">SUMIF($Z$28:AD28,"tertiair",N28:N28)</f>
        <v>450</v>
      </c>
      <c r="O31" s="584">
        <f ca="1">SUMIF($Z$28:AE28,"tertiair",O28:O28)</f>
        <v>642.85714285714289</v>
      </c>
      <c r="P31" s="584">
        <f ca="1">SUMIF($Z$28:AF28,"tertiair",P28:P28)</f>
        <v>0</v>
      </c>
      <c r="Q31" s="584">
        <f ca="1">SUMIF($Z$28:AG28,"tertiair",Q28:Q28)</f>
        <v>0</v>
      </c>
      <c r="R31" s="584">
        <f ca="1">SUMIF($Z$28:AH28,"tertiair",R28:R28)</f>
        <v>1285.7142857142858</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529.41176470588232</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756.30252100840346</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2020-06-20T15:55:50Z</dcterms:modified>
</cp:coreProperties>
</file>