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L6" i="17" s="1"/>
  <c r="T35" i="18"/>
  <c r="S35" i="18"/>
  <c r="R35" i="18"/>
  <c r="Q35" i="18"/>
  <c r="P35" i="18"/>
  <c r="D6" i="17" s="1"/>
  <c r="O35" i="18"/>
  <c r="N35" i="18"/>
  <c r="M35" i="18"/>
  <c r="W34" i="18"/>
  <c r="V34" i="18"/>
  <c r="U34" i="18"/>
  <c r="T34" i="18"/>
  <c r="S34" i="18"/>
  <c r="F13" i="15" s="1"/>
  <c r="R34" i="18"/>
  <c r="Q34" i="18"/>
  <c r="P34" i="18"/>
  <c r="D13" i="15" s="1"/>
  <c r="O34" i="18"/>
  <c r="C13" i="15" s="1"/>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8" i="18"/>
  <c r="G52" i="18" s="1"/>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2" i="18"/>
  <c r="H17" i="18" s="1"/>
  <c r="E52" i="18"/>
  <c r="E17" i="18" s="1"/>
  <c r="H52" i="18"/>
  <c r="D52"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2" i="18" l="1"/>
  <c r="C17" i="18" s="1"/>
  <c r="B51" i="18"/>
  <c r="C8" i="18" s="1"/>
  <c r="C10" i="18" s="1"/>
  <c r="F52" i="18"/>
  <c r="D51" i="18"/>
  <c r="J8" i="18" s="1"/>
  <c r="C52" i="18"/>
  <c r="J17" i="18" s="1"/>
  <c r="O9" i="18"/>
  <c r="G78" i="14"/>
  <c r="C77" i="14"/>
  <c r="C9" i="59" s="1"/>
  <c r="F51" i="18"/>
  <c r="H51" i="18"/>
  <c r="C51" i="18"/>
  <c r="E51" i="18"/>
  <c r="E8" i="18" s="1"/>
  <c r="F76" i="14" s="1"/>
  <c r="F8" i="59" s="1"/>
  <c r="F10" i="59" s="1"/>
  <c r="B77" i="14"/>
  <c r="B9" i="59" s="1"/>
  <c r="G51" i="18"/>
  <c r="G90" i="14"/>
  <c r="G18" i="59"/>
  <c r="G20" i="59" s="1"/>
  <c r="C88" i="14"/>
  <c r="C18" i="59" s="1"/>
  <c r="Q88" i="14"/>
  <c r="P18" i="59" s="1"/>
  <c r="C89" i="14"/>
  <c r="C19" i="59" s="1"/>
  <c r="F19" i="59"/>
  <c r="Q89" i="14"/>
  <c r="P19" i="59" s="1"/>
  <c r="C20" i="18"/>
  <c r="D87" i="14"/>
  <c r="D17" i="59" s="1"/>
  <c r="D20" i="59" s="1"/>
  <c r="D76" i="14"/>
  <c r="D8" i="59" s="1"/>
  <c r="D10" i="59" s="1"/>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N63" i="14" l="1"/>
  <c r="J5" i="48"/>
  <c r="J23" i="48" s="1"/>
  <c r="K10" i="14"/>
  <c r="F10" i="14"/>
  <c r="E5" i="48"/>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22" i="16" l="1"/>
  <c r="K43" i="14" s="1"/>
  <c r="K46" i="14" s="1"/>
  <c r="K61" i="14" s="1"/>
  <c r="J8" i="48"/>
  <c r="K13" i="14"/>
  <c r="K16" i="14" s="1"/>
  <c r="K27" i="14" s="1"/>
  <c r="E23" i="48"/>
  <c r="E33" i="48" s="1"/>
  <c r="E8" i="48"/>
  <c r="E26" i="48" s="1"/>
  <c r="F13" i="14"/>
  <c r="F16" i="14" s="1"/>
  <c r="F27" i="14" s="1"/>
  <c r="F63" i="14" s="1"/>
  <c r="N8" i="48"/>
  <c r="N26" i="48" s="1"/>
  <c r="O13" i="14"/>
  <c r="N22" i="16"/>
  <c r="O43" i="14" s="1"/>
  <c r="G13" i="14"/>
  <c r="R13" i="14" s="1"/>
  <c r="F8" i="48"/>
  <c r="K63" i="14" l="1"/>
  <c r="J26" i="48"/>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<sst xmlns="http://schemas.openxmlformats.org/spreadsheetml/2006/main" count="2452" uniqueCount="920">
  <si>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</si>
  <si>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</si>
  <si>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</si>
  <si>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</si>
  <si>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</si>
  <si>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</si>
  <si>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</si>
  <si>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</si>
  <si>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</si>
  <si>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</si>
  <si>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</si>
  <si>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</si>
  <si>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</si>
  <si>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</si>
  <si>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</si>
  <si>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</si>
  <si>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</si>
  <si>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</si>
  <si>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</si>
  <si>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</si>
  <si>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</si>
  <si>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</si>
  <si>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</si>
  <si>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</si>
  <si>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</si>
  <si>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</si>
  <si>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</si>
  <si>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</si>
  <si>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</si>
  <si>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</si>
  <si>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</si>
  <si>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</si>
  <si>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</si>
  <si>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</si>
  <si>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</si>
  <si>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</si>
  <si>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</si>
  <si>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</si>
  <si>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</si>
  <si>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</si>
  <si>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</si>
  <si>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</si>
  <si>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</si>
  <si>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</si>
  <si>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</si>
  <si>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</si>
  <si>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</si>
  <si>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</si>
  <si>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</si>
  <si>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</si>
  <si>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</si>
  <si>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</si>
  <si>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</si>
  <si>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</si>
  <si>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</si>
  <si>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</si>
  <si>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</si>
  <si>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</si>
  <si>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</si>
  <si>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</si>
  <si>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</si>
  <si>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</si>
  <si>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</si>
  <si>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</si>
  <si>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</si>
  <si>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</si>
  <si>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</si>
  <si>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</si>
  <si>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</si>
  <si>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</si>
  <si>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</si>
  <si>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</si>
  <si>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</si>
  <si>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</si>
  <si>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</si>
  <si>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</si>
  <si>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</si>
  <si>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</si>
  <si>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</si>
  <si>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</si>
  <si>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</si>
  <si>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</si>
  <si>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</si>
  <si>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</si>
  <si>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</si>
  <si>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</si>
  <si>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</si>
  <si>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</si>
  <si>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</si>
  <si>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</si>
  <si>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</si>
  <si>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</si>
  <si>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</si>
  <si>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</si>
  <si>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</si>
  <si>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</si>
  <si>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</si>
  <si>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</si>
  <si>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</si>
  <si>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</si>
  <si>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</si>
  <si>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</si>
  <si>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</si>
  <si>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</si>
  <si>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</si>
  <si>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</si>
  <si>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</si>
  <si>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</si>
  <si>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</si>
  <si>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</si>
  <si>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</si>
  <si>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</si>
  <si>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</si>
  <si>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</si>
  <si>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</si>
  <si>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</si>
  <si>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</si>
  <si>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</si>
  <si>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</si>
  <si>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</si>
  <si>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</si>
  <si>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</si>
  <si>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</si>
  <si>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</si>
  <si>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</si>
  <si>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</si>
  <si>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</si>
  <si>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</si>
  <si>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</si>
  <si>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</si>
  <si>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</si>
  <si>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</si>
  <si>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</si>
  <si>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</si>
  <si>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</si>
  <si>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</si>
  <si>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</si>
  <si>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</si>
  <si>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</si>
  <si>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</si>
  <si>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</si>
  <si>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</si>
  <si>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</si>
  <si>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</si>
  <si>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</si>
  <si>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</si>
  <si>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</si>
  <si>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</si>
  <si>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</si>
  <si>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</si>
  <si>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</si>
  <si>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</si>
  <si>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</si>
  <si>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</si>
  <si>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</si>
  <si>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</si>
  <si>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</si>
  <si>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</si>
  <si>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</si>
  <si>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</si>
  <si>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</si>
  <si>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</si>
  <si>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</si>
  <si>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</si>
  <si>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</si>
  <si>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</si>
  <si>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</si>
  <si>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</si>
  <si>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</si>
  <si>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</si>
  <si>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</si>
  <si>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</si>
  <si>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</si>
  <si>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</si>
  <si>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</si>
  <si>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</si>
  <si>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</si>
  <si>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</si>
  <si>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</si>
  <si>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</si>
  <si>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</si>
  <si>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</si>
  <si>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</si>
  <si>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</si>
  <si>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</si>
  <si>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</si>
  <si>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</si>
  <si>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</si>
  <si>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</si>
  <si>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</si>
  <si>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</si>
  <si>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</si>
  <si>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</si>
  <si>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</si>
  <si>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</si>
  <si>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</si>
  <si>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</si>
  <si>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</si>
  <si>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</si>
  <si>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</si>
  <si>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</si>
  <si>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</si>
  <si>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</si>
  <si>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</si>
  <si>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</si>
  <si>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</si>
  <si>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</si>
  <si>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</si>
  <si>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</si>
  <si>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</si>
  <si>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</si>
  <si>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</si>
  <si>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</si>
  <si>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</si>
  <si>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</si>
  <si>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</si>
  <si>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</si>
  <si>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</si>
  <si>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</si>
  <si>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</si>
  <si>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</si>
  <si>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</si>
  <si>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</si>
  <si>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</si>
  <si>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</si>
  <si>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</si>
  <si>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</si>
  <si>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</si>
  <si>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</si>
  <si>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</si>
  <si>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</si>
  <si>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</si>
  <si>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</si>
  <si>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</si>
  <si>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</si>
  <si>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</si>
  <si>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</si>
  <si>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</si>
  <si>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</si>
  <si>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</si>
  <si>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</si>
  <si>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</si>
  <si>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</si>
  <si>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</si>
  <si>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</si>
  <si>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</si>
  <si>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</si>
  <si>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</si>
  <si>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</si>
  <si>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</si>
  <si>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</si>
  <si>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</si>
  <si>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</si>
  <si>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</si>
  <si>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</si>
  <si>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</si>
  <si>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</si>
  <si>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</si>
  <si>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</si>
  <si>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</si>
  <si>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</si>
  <si>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</si>
  <si>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</si>
  <si>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</si>
  <si>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</si>
  <si>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</si>
  <si>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</si>
  <si>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</si>
  <si>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</si>
  <si>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</si>
  <si>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</si>
  <si>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</si>
  <si>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</si>
  <si>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</si>
  <si>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</si>
  <si>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</si>
  <si>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</si>
  <si>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</si>
  <si>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</si>
  <si>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</si>
  <si>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</si>
  <si>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</si>
  <si>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</si>
  <si>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</si>
  <si>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</si>
  <si>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</si>
  <si>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</si>
  <si>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</si>
  <si>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</si>
  <si>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</si>
  <si>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</si>
  <si>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</si>
  <si>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</si>
  <si>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</si>
  <si>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</si>
  <si>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</si>
  <si>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</si>
  <si>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</si>
  <si>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</si>
  <si>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</si>
  <si>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</si>
  <si>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</si>
  <si>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</si>
  <si>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</si>
  <si>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</si>
  <si>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</si>
  <si>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</si>
  <si>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</si>
  <si>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</si>
  <si>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</si>
  <si>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</si>
  <si>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</si>
  <si>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</si>
  <si>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</si>
  <si>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</si>
  <si>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</si>
  <si>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</si>
  <si>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</si>
  <si>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</si>
  <si>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</si>
  <si>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</si>
  <si>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</si>
  <si>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</si>
  <si>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</si>
  <si>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</si>
  <si>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</si>
  <si>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</si>
  <si>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</si>
  <si>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</si>
  <si>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</si>
  <si>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</si>
  <si>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</si>
  <si>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</si>
  <si>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</si>
  <si>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</si>
  <si>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</si>
  <si>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</si>
  <si>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</si>
  <si>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</si>
  <si>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</si>
  <si>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</si>
  <si>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</si>
  <si>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</si>
  <si>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</si>
  <si>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</si>
  <si>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</si>
  <si>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</si>
  <si>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</si>
  <si>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</si>
  <si>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</si>
  <si>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</si>
  <si>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</si>
  <si>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</si>
  <si>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</si>
  <si>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</si>
  <si>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</si>
  <si>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</si>
  <si>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</si>
  <si>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</si>
  <si>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</si>
  <si>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</si>
  <si>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</si>
  <si>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</si>
  <si>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</si>
  <si>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</si>
  <si>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</si>
  <si>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</si>
  <si>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</si>
  <si>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</si>
  <si>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</si>
  <si>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</si>
  <si>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</si>
  <si>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</si>
  <si>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</si>
  <si>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</si>
  <si>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</si>
  <si>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</si>
  <si>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</si>
  <si>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</si>
  <si>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</si>
  <si>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</si>
  <si>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</si>
  <si>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</si>
  <si>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</si>
  <si>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</si>
  <si>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</si>
  <si>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</si>
  <si>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</si>
  <si>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</si>
  <si>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</si>
  <si>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</si>
  <si>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</si>
  <si>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</si>
  <si>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</si>
  <si>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</si>
  <si>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</si>
  <si>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</si>
  <si>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</si>
  <si>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</si>
  <si>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</si>
  <si>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</si>
  <si>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</si>
  <si>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</si>
  <si>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</si>
  <si>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</si>
  <si>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</si>
  <si>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</si>
  <si>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</si>
  <si>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</si>
  <si>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</si>
  <si>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</si>
  <si>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</si>
  <si>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</si>
  <si>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</si>
  <si>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</si>
  <si>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</si>
  <si>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</si>
  <si>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</si>
  <si>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</si>
  <si>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</si>
  <si>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</si>
  <si>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</si>
  <si>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</si>
  <si>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</si>
  <si>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</si>
  <si>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</si>
  <si>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</si>
  <si>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</si>
  <si>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</si>
  <si>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</si>
  <si>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</si>
  <si>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</si>
  <si>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</si>
  <si>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</si>
  <si>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</si>
  <si>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</si>
  <si>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</si>
  <si>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</si>
  <si>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</si>
  <si>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</si>
  <si>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</si>
  <si>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</si>
  <si>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</si>
  <si>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</si>
  <si>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</si>
  <si>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</si>
  <si>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</si>
  <si>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</si>
  <si>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</si>
  <si>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</si>
  <si>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</si>
  <si>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</si>
  <si>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</si>
  <si>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</si>
  <si>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</si>
  <si>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</si>
  <si>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</si>
  <si>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</si>
  <si>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</si>
  <si>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</si>
  <si>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</si>
  <si>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</si>
  <si>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</si>
  <si>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</si>
  <si>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</si>
  <si>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</si>
  <si>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</si>
  <si>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</si>
  <si>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</si>
  <si>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</si>
  <si>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</si>
  <si>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</si>
  <si>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</si>
  <si>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</si>
  <si>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</si>
  <si>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</si>
  <si>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</si>
  <si>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</si>
  <si>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</si>
  <si>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</si>
  <si>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</si>
  <si>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</si>
  <si>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</si>
  <si>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</si>
  <si>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</si>
  <si>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</si>
  <si>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</si>
  <si>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</si>
  <si>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</si>
  <si>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</si>
  <si>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</si>
  <si>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</si>
  <si>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</si>
  <si>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</si>
  <si>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</si>
  <si>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</si>
  <si>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</si>
  <si>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</si>
  <si>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</si>
  <si>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</si>
  <si>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</si>
  <si>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</si>
  <si>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</si>
  <si>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</si>
  <si>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</si>
  <si>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</si>
  <si>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</si>
  <si>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</si>
  <si>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</si>
  <si>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</si>
  <si>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</si>
  <si>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</si>
  <si>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</si>
  <si>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</si>
  <si>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</si>
  <si>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</si>
  <si>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</si>
  <si>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</si>
  <si>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</si>
  <si>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</si>
  <si>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</si>
  <si>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</si>
  <si>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</si>
  <si>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</si>
  <si>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</si>
  <si>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</si>
  <si>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</si>
  <si>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</si>
  <si>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</si>
  <si>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</si>
  <si>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</si>
  <si>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</si>
  <si>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</si>
  <si>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</si>
  <si>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</si>
  <si>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</si>
  <si>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</si>
  <si>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</si>
  <si>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</si>
  <si>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</si>
  <si>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</si>
  <si>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</si>
  <si>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</si>
  <si>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</si>
  <si>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</si>
  <si>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</si>
  <si>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</si>
  <si>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</si>
  <si>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</si>
  <si>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</si>
  <si>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</si>
  <si>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</si>
  <si>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</si>
  <si>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</si>
  <si>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</si>
  <si>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</si>
  <si>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</si>
  <si>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</si>
  <si>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</si>
  <si>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</si>
  <si>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</si>
  <si>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</si>
  <si>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</si>
  <si>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</si>
  <si>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</si>
  <si>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</si>
  <si>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</si>
  <si>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</si>
  <si>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</si>
  <si>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</si>
  <si>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</si>
  <si>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</si>
  <si>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</si>
  <si>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</si>
  <si>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</si>
  <si>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</si>
  <si>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</si>
  <si>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</si>
  <si>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</si>
  <si>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</si>
  <si>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</si>
  <si>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</si>
  <si>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</si>
  <si>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</si>
  <si>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</si>
  <si>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</si>
  <si>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</si>
  <si>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</si>
  <si>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</si>
  <si>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</si>
  <si>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</si>
  <si>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</si>
  <si>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</si>
  <si>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</si>
  <si>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</si>
  <si>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</si>
  <si>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</si>
  <si>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</si>
  <si>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</si>
  <si>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</si>
  <si>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</si>
  <si>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</si>
  <si>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</si>
  <si>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</si>
  <si>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</si>
  <si>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</si>
  <si>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</si>
  <si>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</si>
  <si>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</si>
  <si>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</si>
  <si>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</si>
  <si>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</si>
  <si>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</si>
  <si>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</si>
  <si>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</si>
  <si>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</si>
  <si>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</si>
  <si>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</si>
  <si>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</si>
  <si>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</si>
  <si>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</si>
  <si>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</si>
  <si>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</si>
  <si>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</si>
  <si>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</si>
  <si>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</si>
  <si>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</si>
  <si>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</si>
  <si>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</si>
  <si>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</si>
  <si>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</si>
  <si>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</si>
  <si>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</si>
  <si>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</si>
  <si>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</si>
  <si>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</si>
  <si>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</si>
  <si>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</si>
  <si>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</si>
  <si>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</si>
  <si>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</si>
  <si>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</si>
  <si>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</si>
  <si>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</si>
  <si>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</si>
  <si>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</si>
  <si>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</si>
  <si>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</si>
  <si>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</si>
  <si>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</si>
  <si>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</si>
  <si>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</si>
  <si>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</si>
  <si>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</si>
  <si>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</si>
  <si>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</si>
  <si>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</si>
  <si>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</si>
  <si>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</si>
  <si>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</si>
  <si>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</si>
  <si>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</si>
  <si>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</si>
  <si>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</si>
  <si>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</si>
  <si>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</si>
  <si>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</si>
  <si>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</si>
  <si>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</si>
  <si>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</si>
  <si>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</si>
  <si>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</si>
  <si>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</si>
  <si>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</si>
  <si>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</si>
  <si>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</si>
  <si>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</si>
  <si>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</si>
  <si>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</si>
  <si>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</si>
  <si>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</si>
  <si>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</si>
  <si>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</si>
  <si>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</si>
  <si>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</si>
  <si>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</si>
  <si>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</si>
  <si>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</si>
  <si>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</si>
  <si>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</si>
  <si>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</si>
  <si>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</si>
  <si>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</si>
  <si>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</si>
  <si>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</si>
  <si>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</si>
  <si>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</si>
  <si>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</si>
  <si>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</si>
  <si>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</si>
  <si>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</si>
  <si>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</si>
  <si>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</si>
  <si>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</si>
  <si>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</si>
  <si>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</si>
  <si>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</si>
  <si>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</si>
  <si>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</si>
  <si>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</si>
  <si>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</si>
  <si>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</si>
  <si>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</si>
  <si>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</si>
  <si>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</si>
  <si>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</si>
  <si>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</si>
  <si>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</si>
  <si>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</si>
  <si>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</si>
  <si>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</si>
  <si>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</si>
  <si>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</si>
  <si>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</si>
  <si>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</si>
  <si>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</si>
  <si>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</si>
  <si>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</si>
  <si>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</si>
  <si>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</si>
  <si>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</si>
  <si>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</si>
  <si>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</si>
  <si>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</si>
  <si>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</si>
  <si>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</si>
  <si>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</si>
  <si>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</si>
  <si>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</si>
  <si>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</si>
  <si>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</si>
  <si>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</si>
  <si>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</si>
  <si>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</si>
  <si>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</si>
  <si>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</si>
  <si>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</si>
  <si>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</si>
  <si>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</si>
  <si>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</si>
  <si>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</si>
  <si>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</si>
  <si>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</si>
  <si>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</si>
  <si>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</si>
  <si>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</si>
  <si>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</si>
  <si>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</si>
  <si>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</si>
  <si>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</si>
  <si>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</si>
  <si>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</si>
  <si>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</si>
  <si>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</si>
  <si>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</si>
  <si>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</si>
  <si>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</si>
  <si>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</si>
  <si>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</si>
  <si>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</si>
  <si>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</si>
  <si>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</si>
  <si>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</si>
  <si>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</si>
  <si>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</si>
  <si>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</si>
  <si>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</si>
  <si>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</si>
  <si>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</si>
  <si>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</si>
  <si>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</si>
  <si>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</si>
  <si>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</si>
  <si>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</si>
  <si>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</si>
  <si>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</si>
  <si>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</si>
  <si>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</si>
  <si>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</si>
  <si>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</si>
  <si>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</si>
  <si>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</si>
  <si>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</si>
  <si>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</si>
  <si>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</si>
  <si>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</si>
  <si>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</si>
  <si>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</si>
  <si>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</si>
  <si>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</si>
  <si>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</si>
  <si>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</si>
  <si>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</si>
  <si>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</si>
  <si>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</si>
  <si>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</si>
  <si>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</si>
  <si>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</si>
  <si>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</si>
  <si>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</si>
  <si>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</si>
  <si>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</si>
  <si>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</si>
  <si>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</si>
  <si>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</si>
  <si>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</si>
  <si>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</si>
  <si>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</si>
  <si>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</si>
  <si>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</si>
  <si>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</si>
  <si>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</si>
  <si>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</si>
  <si>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</si>
  <si>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</si>
  <si>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</si>
  <si>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</si>
  <si>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</si>
  <si>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</si>
  <si>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</si>
  <si>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</si>
  <si>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</si>
  <si>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</si>
  <si>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</si>
  <si>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</si>
  <si>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</si>
  <si>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</si>
  <si>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</si>
  <si>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</si>
  <si>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</si>
  <si>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</si>
  <si>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</si>
  <si>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</si>
  <si>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</si>
  <si>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</si>
  <si>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</si>
  <si>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</si>
  <si>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</si>
  <si>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</si>
  <si>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</si>
  <si>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</si>
  <si>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</si>
  <si>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</si>
  <si>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</si>
  <si>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</si>
  <si>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</si>
  <si>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</si>
  <si>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</si>
  <si>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</si>
  <si>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</si>
  <si>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</si>
  <si>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</si>
  <si>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</si>
  <si>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</si>
  <si>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</si>
  <si>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</si>
  <si>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</si>
  <si>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</si>
  <si>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</si>
  <si>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</si>
  <si>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</si>
  <si>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</si>
  <si>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</si>
  <si>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</si>
  <si>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</si>
  <si>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</si>
  <si>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</si>
  <si>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</si>
  <si>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</si>
  <si>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</si>
  <si>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</si>
  <si>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</si>
  <si>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</si>
  <si>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</si>
  <si>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</si>
  <si>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</si>
  <si>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</si>
  <si>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</si>
  <si>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</si>
  <si>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</si>
  <si>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34013</t>
  </si>
  <si>
    <t>HARELBEKE</t>
  </si>
  <si>
    <t>Paarden&amp;pony's 200 - 600 kg</t>
  </si>
  <si>
    <t>Paarden&amp;pony's &lt; 200 kg</t>
  </si>
  <si>
    <t>Fluvius</t>
  </si>
  <si>
    <t>referentietaak LNE (2017); Jaarverslag De Lijn</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</si>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</sst>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200218.07677123611</c:v>
                </c:pt>
                <c:pt idx="1">
                  <c:v>178224.00806227388</c:v>
                </c:pt>
                <c:pt idx="2">
                  <c:v>2236.895</c:v>
                </c:pt>
                <c:pt idx="3">
                  <c:v>40245.994520640197</c:v>
                </c:pt>
                <c:pt idx="4">
                  <c:v>141255.75362726787</c:v>
                </c:pt>
                <c:pt idx="5">
                  <c:v>206247.28420080681</c:v>
                </c:pt>
                <c:pt idx="6">
                  <c:v>1459.3508647475551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200218.07677123611</c:v>
                </c:pt>
                <c:pt idx="1">
                  <c:v>178224.00806227388</c:v>
                </c:pt>
                <c:pt idx="2">
                  <c:v>2236.895</c:v>
                </c:pt>
                <c:pt idx="3">
                  <c:v>40245.994520640197</c:v>
                </c:pt>
                <c:pt idx="4">
                  <c:v>141255.75362726787</c:v>
                </c:pt>
                <c:pt idx="5">
                  <c:v>206247.28420080681</c:v>
                </c:pt>
                <c:pt idx="6">
                  <c:v>1459.3508647475551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35764.15817778631</c:v>
                </c:pt>
                <c:pt idx="2">
                  <c:v>34232.655701004624</c:v>
                </c:pt>
                <c:pt idx="3">
                  <c:v>397.07688567860902</c:v>
                </c:pt>
                <c:pt idx="4">
                  <c:v>8879.3872608485235</c:v>
                </c:pt>
                <c:pt idx="5">
                  <c:v>27777.209597935274</c:v>
                </c:pt>
                <c:pt idx="6">
                  <c:v>52908.525849880229</c:v>
                </c:pt>
                <c:pt idx="7">
                  <c:v>377.93866742972153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35764.15817778631</c:v>
                </c:pt>
                <c:pt idx="2">
                  <c:v>34232.655701004624</c:v>
                </c:pt>
                <c:pt idx="3">
                  <c:v>397.07688567860902</c:v>
                </c:pt>
                <c:pt idx="4">
                  <c:v>8879.3872608485235</c:v>
                </c:pt>
                <c:pt idx="5">
                  <c:v>27777.209597935274</c:v>
                </c:pt>
                <c:pt idx="6">
                  <c:v>52908.525849880229</c:v>
                </c:pt>
                <c:pt idx="7">
                  <c:v>377.93866742972153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34013</v>
      </c>
      <c r="B6" s="390"/>
      <c r="C6" s="391"/>
    </row>
    <row r="7" spans="1:7" s="388" customFormat="1" ht="15.75" customHeight="1">
      <c r="A7" s="392" t="str">
        <f>txtMunicipality</f>
        <v>HARELBEKE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0.17751252771301693</v>
      </c>
      <c r="C17" s="498">
        <f ca="1">'EF ele_warmte'!B22</f>
        <v>0.21027916892684595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0.17751252771301693</v>
      </c>
      <c r="C29" s="499">
        <f ca="1">'EF ele_warmte'!B22</f>
        <v>0.21027916892684595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11815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1151.3499999999999</v>
      </c>
      <c r="C14" s="330"/>
      <c r="D14" s="330"/>
      <c r="E14" s="330"/>
      <c r="F14" s="330"/>
    </row>
    <row r="15" spans="1:6">
      <c r="A15" s="1291" t="s">
        <v>183</v>
      </c>
      <c r="B15" s="1292">
        <v>16</v>
      </c>
      <c r="C15" s="330"/>
      <c r="D15" s="330"/>
      <c r="E15" s="330"/>
      <c r="F15" s="330"/>
    </row>
    <row r="16" spans="1:6">
      <c r="A16" s="1291" t="s">
        <v>6</v>
      </c>
      <c r="B16" s="1292">
        <v>399</v>
      </c>
      <c r="C16" s="330"/>
      <c r="D16" s="330"/>
      <c r="E16" s="330"/>
      <c r="F16" s="330"/>
    </row>
    <row r="17" spans="1:6">
      <c r="A17" s="1291" t="s">
        <v>7</v>
      </c>
      <c r="B17" s="1292">
        <v>426</v>
      </c>
      <c r="C17" s="330"/>
      <c r="D17" s="330"/>
      <c r="E17" s="330"/>
      <c r="F17" s="330"/>
    </row>
    <row r="18" spans="1:6">
      <c r="A18" s="1291" t="s">
        <v>8</v>
      </c>
      <c r="B18" s="1292">
        <v>574</v>
      </c>
      <c r="C18" s="330"/>
      <c r="D18" s="330"/>
      <c r="E18" s="330"/>
      <c r="F18" s="330"/>
    </row>
    <row r="19" spans="1:6">
      <c r="A19" s="1291" t="s">
        <v>9</v>
      </c>
      <c r="B19" s="1292">
        <v>598</v>
      </c>
      <c r="C19" s="330"/>
      <c r="D19" s="330"/>
      <c r="E19" s="330"/>
      <c r="F19" s="330"/>
    </row>
    <row r="20" spans="1:6">
      <c r="A20" s="1291" t="s">
        <v>10</v>
      </c>
      <c r="B20" s="1292">
        <v>541</v>
      </c>
      <c r="C20" s="330"/>
      <c r="D20" s="330"/>
      <c r="E20" s="330"/>
      <c r="F20" s="330"/>
    </row>
    <row r="21" spans="1:6">
      <c r="A21" s="1291" t="s">
        <v>11</v>
      </c>
      <c r="B21" s="1292">
        <v>2106</v>
      </c>
      <c r="C21" s="330"/>
      <c r="D21" s="330"/>
      <c r="E21" s="330"/>
      <c r="F21" s="330"/>
    </row>
    <row r="22" spans="1:6">
      <c r="A22" s="1291" t="s">
        <v>12</v>
      </c>
      <c r="B22" s="1292">
        <v>7345</v>
      </c>
      <c r="C22" s="330"/>
      <c r="D22" s="330"/>
      <c r="E22" s="330"/>
      <c r="F22" s="330"/>
    </row>
    <row r="23" spans="1:6">
      <c r="A23" s="1291" t="s">
        <v>13</v>
      </c>
      <c r="B23" s="1292">
        <v>66</v>
      </c>
      <c r="C23" s="330"/>
      <c r="D23" s="330"/>
      <c r="E23" s="330"/>
      <c r="F23" s="330"/>
    </row>
    <row r="24" spans="1:6">
      <c r="A24" s="1291" t="s">
        <v>14</v>
      </c>
      <c r="B24" s="1292">
        <v>4</v>
      </c>
      <c r="C24" s="330"/>
      <c r="D24" s="330"/>
      <c r="E24" s="330"/>
      <c r="F24" s="330"/>
    </row>
    <row r="25" spans="1:6">
      <c r="A25" s="1291" t="s">
        <v>15</v>
      </c>
      <c r="B25" s="1292">
        <v>446</v>
      </c>
      <c r="C25" s="330"/>
      <c r="D25" s="330"/>
      <c r="E25" s="330"/>
      <c r="F25" s="330"/>
    </row>
    <row r="26" spans="1:6">
      <c r="A26" s="1291" t="s">
        <v>16</v>
      </c>
      <c r="B26" s="1292">
        <v>71</v>
      </c>
      <c r="C26" s="330"/>
      <c r="D26" s="330"/>
      <c r="E26" s="330"/>
      <c r="F26" s="330"/>
    </row>
    <row r="27" spans="1:6">
      <c r="A27" s="1291" t="s">
        <v>17</v>
      </c>
      <c r="B27" s="1292">
        <v>0</v>
      </c>
      <c r="C27" s="330"/>
      <c r="D27" s="330"/>
      <c r="E27" s="330"/>
      <c r="F27" s="330"/>
    </row>
    <row r="28" spans="1:6" s="43" customFormat="1">
      <c r="A28" s="1293" t="s">
        <v>18</v>
      </c>
      <c r="B28" s="1294">
        <v>117075</v>
      </c>
      <c r="C28" s="336"/>
      <c r="D28" s="336"/>
      <c r="E28" s="336"/>
      <c r="F28" s="336"/>
    </row>
    <row r="29" spans="1:6">
      <c r="A29" s="1293" t="s">
        <v>892</v>
      </c>
      <c r="B29" s="1294">
        <v>53</v>
      </c>
      <c r="C29" s="336"/>
      <c r="D29" s="336"/>
      <c r="E29" s="336"/>
      <c r="F29" s="336"/>
    </row>
    <row r="30" spans="1:6">
      <c r="A30" s="1286" t="s">
        <v>893</v>
      </c>
      <c r="B30" s="1295">
        <v>12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4</v>
      </c>
      <c r="D35" s="1292">
        <v>1132736</v>
      </c>
      <c r="E35" s="1292">
        <v>0</v>
      </c>
      <c r="F35" s="1292">
        <v>0</v>
      </c>
    </row>
    <row r="36" spans="1:6">
      <c r="A36" s="1291" t="s">
        <v>24</v>
      </c>
      <c r="B36" s="1291" t="s">
        <v>26</v>
      </c>
      <c r="C36" s="1292">
        <v>3</v>
      </c>
      <c r="D36" s="1292">
        <v>555837</v>
      </c>
      <c r="E36" s="1292">
        <v>13</v>
      </c>
      <c r="F36" s="1292">
        <v>154718</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9609</v>
      </c>
    </row>
    <row r="39" spans="1:6">
      <c r="A39" s="1291" t="s">
        <v>29</v>
      </c>
      <c r="B39" s="1291" t="s">
        <v>30</v>
      </c>
      <c r="C39" s="1292">
        <v>9003</v>
      </c>
      <c r="D39" s="1292">
        <v>123129107.666631</v>
      </c>
      <c r="E39" s="1292">
        <v>11704</v>
      </c>
      <c r="F39" s="1292">
        <v>38943811</v>
      </c>
    </row>
    <row r="40" spans="1:6">
      <c r="A40" s="1291" t="s">
        <v>29</v>
      </c>
      <c r="B40" s="1291" t="s">
        <v>28</v>
      </c>
      <c r="C40" s="1292">
        <v>0</v>
      </c>
      <c r="D40" s="1292">
        <v>0</v>
      </c>
      <c r="E40" s="1292">
        <v>0</v>
      </c>
      <c r="F40" s="1292">
        <v>0</v>
      </c>
    </row>
    <row r="41" spans="1:6">
      <c r="A41" s="1291" t="s">
        <v>31</v>
      </c>
      <c r="B41" s="1291" t="s">
        <v>32</v>
      </c>
      <c r="C41" s="1292">
        <v>173</v>
      </c>
      <c r="D41" s="1292">
        <v>6070611</v>
      </c>
      <c r="E41" s="1292">
        <v>354</v>
      </c>
      <c r="F41" s="1292">
        <v>12365398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22</v>
      </c>
      <c r="D44" s="1292">
        <v>3110544</v>
      </c>
      <c r="E44" s="1292">
        <v>53</v>
      </c>
      <c r="F44" s="1292">
        <v>4876723</v>
      </c>
    </row>
    <row r="45" spans="1:6">
      <c r="A45" s="1291" t="s">
        <v>31</v>
      </c>
      <c r="B45" s="1291" t="s">
        <v>36</v>
      </c>
      <c r="C45" s="1292">
        <v>4</v>
      </c>
      <c r="D45" s="1292">
        <v>4177078</v>
      </c>
      <c r="E45" s="1292">
        <v>10</v>
      </c>
      <c r="F45" s="1292">
        <v>3367584</v>
      </c>
    </row>
    <row r="46" spans="1:6">
      <c r="A46" s="1291" t="s">
        <v>31</v>
      </c>
      <c r="B46" s="1291" t="s">
        <v>37</v>
      </c>
      <c r="C46" s="1292">
        <v>0</v>
      </c>
      <c r="D46" s="1292">
        <v>0</v>
      </c>
      <c r="E46" s="1292">
        <v>4</v>
      </c>
      <c r="F46" s="1292">
        <v>80347</v>
      </c>
    </row>
    <row r="47" spans="1:6">
      <c r="A47" s="1291" t="s">
        <v>31</v>
      </c>
      <c r="B47" s="1291" t="s">
        <v>38</v>
      </c>
      <c r="C47" s="1292">
        <v>13</v>
      </c>
      <c r="D47" s="1292">
        <v>6296039</v>
      </c>
      <c r="E47" s="1292">
        <v>17</v>
      </c>
      <c r="F47" s="1292">
        <v>3796133</v>
      </c>
    </row>
    <row r="48" spans="1:6">
      <c r="A48" s="1291" t="s">
        <v>31</v>
      </c>
      <c r="B48" s="1291" t="s">
        <v>28</v>
      </c>
      <c r="C48" s="1292">
        <v>0</v>
      </c>
      <c r="D48" s="1292">
        <v>149458</v>
      </c>
      <c r="E48" s="1292">
        <v>0</v>
      </c>
      <c r="F48" s="1292">
        <v>25552</v>
      </c>
    </row>
    <row r="49" spans="1:6">
      <c r="A49" s="1291" t="s">
        <v>31</v>
      </c>
      <c r="B49" s="1291" t="s">
        <v>39</v>
      </c>
      <c r="C49" s="1292">
        <v>15</v>
      </c>
      <c r="D49" s="1292">
        <v>49493501</v>
      </c>
      <c r="E49" s="1292">
        <v>24</v>
      </c>
      <c r="F49" s="1292">
        <v>16280425</v>
      </c>
    </row>
    <row r="50" spans="1:6">
      <c r="A50" s="1291" t="s">
        <v>31</v>
      </c>
      <c r="B50" s="1291" t="s">
        <v>40</v>
      </c>
      <c r="C50" s="1292">
        <v>23</v>
      </c>
      <c r="D50" s="1292">
        <v>11568179</v>
      </c>
      <c r="E50" s="1292">
        <v>32</v>
      </c>
      <c r="F50" s="1292">
        <v>4468541</v>
      </c>
    </row>
    <row r="51" spans="1:6">
      <c r="A51" s="1291" t="s">
        <v>41</v>
      </c>
      <c r="B51" s="1291" t="s">
        <v>42</v>
      </c>
      <c r="C51" s="1292">
        <v>24</v>
      </c>
      <c r="D51" s="1292">
        <v>41151214</v>
      </c>
      <c r="E51" s="1292">
        <v>76</v>
      </c>
      <c r="F51" s="1292">
        <v>2128434</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115</v>
      </c>
      <c r="F54" s="1292">
        <v>2236895</v>
      </c>
    </row>
    <row r="55" spans="1:6">
      <c r="A55" s="1291" t="s">
        <v>45</v>
      </c>
      <c r="B55" s="1291" t="s">
        <v>28</v>
      </c>
      <c r="C55" s="1292">
        <v>0</v>
      </c>
      <c r="D55" s="1292">
        <v>0</v>
      </c>
      <c r="E55" s="1292">
        <v>0</v>
      </c>
      <c r="F55" s="1292">
        <v>0</v>
      </c>
    </row>
    <row r="56" spans="1:6">
      <c r="A56" s="1291" t="s">
        <v>47</v>
      </c>
      <c r="B56" s="1291" t="s">
        <v>28</v>
      </c>
      <c r="C56" s="1292">
        <v>137</v>
      </c>
      <c r="D56" s="1292">
        <v>2469413</v>
      </c>
      <c r="E56" s="1292">
        <v>271</v>
      </c>
      <c r="F56" s="1292">
        <v>1192937</v>
      </c>
    </row>
    <row r="57" spans="1:6">
      <c r="A57" s="1291" t="s">
        <v>48</v>
      </c>
      <c r="B57" s="1291" t="s">
        <v>49</v>
      </c>
      <c r="C57" s="1292">
        <v>91</v>
      </c>
      <c r="D57" s="1292">
        <v>9148948</v>
      </c>
      <c r="E57" s="1292">
        <v>198</v>
      </c>
      <c r="F57" s="1292">
        <v>11838127</v>
      </c>
    </row>
    <row r="58" spans="1:6">
      <c r="A58" s="1291" t="s">
        <v>48</v>
      </c>
      <c r="B58" s="1291" t="s">
        <v>50</v>
      </c>
      <c r="C58" s="1292">
        <v>24</v>
      </c>
      <c r="D58" s="1292">
        <v>985105</v>
      </c>
      <c r="E58" s="1292">
        <v>43</v>
      </c>
      <c r="F58" s="1292">
        <v>884904</v>
      </c>
    </row>
    <row r="59" spans="1:6">
      <c r="A59" s="1291" t="s">
        <v>48</v>
      </c>
      <c r="B59" s="1291" t="s">
        <v>51</v>
      </c>
      <c r="C59" s="1292">
        <v>222</v>
      </c>
      <c r="D59" s="1292">
        <v>77835491</v>
      </c>
      <c r="E59" s="1292">
        <v>400</v>
      </c>
      <c r="F59" s="1292">
        <v>36253281</v>
      </c>
    </row>
    <row r="60" spans="1:6">
      <c r="A60" s="1291" t="s">
        <v>48</v>
      </c>
      <c r="B60" s="1291" t="s">
        <v>52</v>
      </c>
      <c r="C60" s="1292">
        <v>73</v>
      </c>
      <c r="D60" s="1292">
        <v>3548422</v>
      </c>
      <c r="E60" s="1292">
        <v>97</v>
      </c>
      <c r="F60" s="1292">
        <v>1815378</v>
      </c>
    </row>
    <row r="61" spans="1:6">
      <c r="A61" s="1291" t="s">
        <v>48</v>
      </c>
      <c r="B61" s="1291" t="s">
        <v>53</v>
      </c>
      <c r="C61" s="1292">
        <v>265</v>
      </c>
      <c r="D61" s="1292">
        <v>11746828</v>
      </c>
      <c r="E61" s="1292">
        <v>522</v>
      </c>
      <c r="F61" s="1292">
        <v>9666022</v>
      </c>
    </row>
    <row r="62" spans="1:6">
      <c r="A62" s="1291" t="s">
        <v>48</v>
      </c>
      <c r="B62" s="1291" t="s">
        <v>54</v>
      </c>
      <c r="C62" s="1292">
        <v>19</v>
      </c>
      <c r="D62" s="1292">
        <v>2545911</v>
      </c>
      <c r="E62" s="1292">
        <v>23</v>
      </c>
      <c r="F62" s="1292">
        <v>549278</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45744</v>
      </c>
      <c r="E65" s="1292">
        <v>0</v>
      </c>
      <c r="F65" s="1292">
        <v>2843</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9</v>
      </c>
      <c r="D68" s="1295">
        <v>164633</v>
      </c>
      <c r="E68" s="1295">
        <v>16</v>
      </c>
      <c r="F68" s="1295">
        <v>143706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63606770</v>
      </c>
      <c r="E73" s="449"/>
      <c r="F73" s="330"/>
    </row>
    <row r="74" spans="1:6">
      <c r="A74" s="1291" t="s">
        <v>63</v>
      </c>
      <c r="B74" s="1291" t="s">
        <v>664</v>
      </c>
      <c r="C74" s="1305" t="s">
        <v>666</v>
      </c>
      <c r="D74" s="1306">
        <v>8187780.4870231729</v>
      </c>
      <c r="E74" s="449"/>
      <c r="F74" s="330"/>
    </row>
    <row r="75" spans="1:6">
      <c r="A75" s="1291" t="s">
        <v>64</v>
      </c>
      <c r="B75" s="1291" t="s">
        <v>663</v>
      </c>
      <c r="C75" s="1305" t="s">
        <v>667</v>
      </c>
      <c r="D75" s="1306">
        <v>38042425</v>
      </c>
      <c r="E75" s="449"/>
      <c r="F75" s="330"/>
    </row>
    <row r="76" spans="1:6">
      <c r="A76" s="1291" t="s">
        <v>64</v>
      </c>
      <c r="B76" s="1291" t="s">
        <v>664</v>
      </c>
      <c r="C76" s="1305" t="s">
        <v>668</v>
      </c>
      <c r="D76" s="1306">
        <v>2867560.4870231729</v>
      </c>
      <c r="E76" s="449"/>
      <c r="F76" s="330"/>
    </row>
    <row r="77" spans="1:6">
      <c r="A77" s="1291" t="s">
        <v>65</v>
      </c>
      <c r="B77" s="1291" t="s">
        <v>663</v>
      </c>
      <c r="C77" s="1305" t="s">
        <v>669</v>
      </c>
      <c r="D77" s="1306">
        <v>75190882</v>
      </c>
      <c r="E77" s="449"/>
      <c r="F77" s="330"/>
    </row>
    <row r="78" spans="1:6">
      <c r="A78" s="1286" t="s">
        <v>65</v>
      </c>
      <c r="B78" s="1286" t="s">
        <v>664</v>
      </c>
      <c r="C78" s="1286" t="s">
        <v>670</v>
      </c>
      <c r="D78" s="1307">
        <v>18562926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395971.02595365379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10759.492899636165</v>
      </c>
      <c r="C90" s="330"/>
      <c r="D90" s="330"/>
      <c r="E90" s="330"/>
      <c r="F90" s="330"/>
    </row>
    <row r="91" spans="1:6">
      <c r="A91" s="1291" t="s">
        <v>67</v>
      </c>
      <c r="B91" s="1292">
        <v>4517.5267579737119</v>
      </c>
      <c r="C91" s="330"/>
      <c r="D91" s="330"/>
      <c r="E91" s="330"/>
      <c r="F91" s="330"/>
    </row>
    <row r="92" spans="1:6">
      <c r="A92" s="1286" t="s">
        <v>68</v>
      </c>
      <c r="B92" s="1287">
        <v>13191.891914972282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6352</v>
      </c>
      <c r="C97" s="330"/>
      <c r="D97" s="330"/>
      <c r="E97" s="330"/>
      <c r="F97" s="330"/>
    </row>
    <row r="98" spans="1:6">
      <c r="A98" s="1291" t="s">
        <v>71</v>
      </c>
      <c r="B98" s="1292">
        <v>0</v>
      </c>
      <c r="C98" s="330"/>
      <c r="D98" s="330"/>
      <c r="E98" s="330"/>
      <c r="F98" s="330"/>
    </row>
    <row r="99" spans="1:6">
      <c r="A99" s="1291" t="s">
        <v>72</v>
      </c>
      <c r="B99" s="1292">
        <v>112</v>
      </c>
      <c r="C99" s="330"/>
      <c r="D99" s="330"/>
      <c r="E99" s="330"/>
      <c r="F99" s="330"/>
    </row>
    <row r="100" spans="1:6">
      <c r="A100" s="1291" t="s">
        <v>73</v>
      </c>
      <c r="B100" s="1292">
        <v>800</v>
      </c>
      <c r="C100" s="330"/>
      <c r="D100" s="330"/>
      <c r="E100" s="330"/>
      <c r="F100" s="330"/>
    </row>
    <row r="101" spans="1:6">
      <c r="A101" s="1291" t="s">
        <v>74</v>
      </c>
      <c r="B101" s="1292">
        <v>112</v>
      </c>
      <c r="C101" s="330"/>
      <c r="D101" s="330"/>
      <c r="E101" s="330"/>
      <c r="F101" s="330"/>
    </row>
    <row r="102" spans="1:6">
      <c r="A102" s="1291" t="s">
        <v>75</v>
      </c>
      <c r="B102" s="1292">
        <v>177</v>
      </c>
      <c r="C102" s="330"/>
      <c r="D102" s="330"/>
      <c r="E102" s="330"/>
      <c r="F102" s="330"/>
    </row>
    <row r="103" spans="1:6">
      <c r="A103" s="1291" t="s">
        <v>76</v>
      </c>
      <c r="B103" s="1292">
        <v>204</v>
      </c>
      <c r="C103" s="330"/>
      <c r="D103" s="330"/>
      <c r="E103" s="330"/>
      <c r="F103" s="330"/>
    </row>
    <row r="104" spans="1:6">
      <c r="A104" s="1291" t="s">
        <v>77</v>
      </c>
      <c r="B104" s="1292">
        <v>2528</v>
      </c>
      <c r="C104" s="330"/>
      <c r="D104" s="330"/>
      <c r="E104" s="330"/>
      <c r="F104" s="330"/>
    </row>
    <row r="105" spans="1:6">
      <c r="A105" s="1286" t="s">
        <v>78</v>
      </c>
      <c r="B105" s="1295">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3</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25</v>
      </c>
      <c r="C123" s="1292">
        <v>60</v>
      </c>
      <c r="D123" s="330"/>
      <c r="E123" s="330"/>
      <c r="F123" s="330"/>
    </row>
    <row r="124" spans="1:6" s="43" customFormat="1">
      <c r="A124" s="1293" t="s">
        <v>88</v>
      </c>
      <c r="B124" s="1314">
        <v>1</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202</v>
      </c>
      <c r="C129" s="330"/>
      <c r="D129" s="330"/>
      <c r="E129" s="330"/>
      <c r="F129" s="330"/>
    </row>
    <row r="130" spans="1:6">
      <c r="A130" s="1291" t="s">
        <v>294</v>
      </c>
      <c r="B130" s="1292">
        <v>1</v>
      </c>
      <c r="C130" s="330"/>
      <c r="D130" s="330"/>
      <c r="E130" s="330"/>
      <c r="F130" s="330"/>
    </row>
    <row r="131" spans="1:6">
      <c r="A131" s="1291" t="s">
        <v>295</v>
      </c>
      <c r="B131" s="1292">
        <v>6</v>
      </c>
      <c r="C131" s="330"/>
      <c r="D131" s="330"/>
      <c r="E131" s="330"/>
      <c r="F131" s="330"/>
    </row>
    <row r="132" spans="1:6">
      <c r="A132" s="1286" t="s">
        <v>296</v>
      </c>
      <c r="B132" s="1287">
        <v>15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156664.68198942608</v>
      </c>
      <c r="C3" s="43" t="s">
        <v>169</v>
      </c>
      <c r="D3" s="43"/>
      <c r="E3" s="154"/>
      <c r="F3" s="43"/>
      <c r="G3" s="43"/>
      <c r="H3" s="43"/>
      <c r="I3" s="43"/>
      <c r="J3" s="43"/>
      <c r="K3" s="96"/>
    </row>
    <row r="4" spans="1:11">
      <c r="A4" s="358" t="s">
        <v>170</v>
      </c>
      <c r="B4" s="49">
        <f>IF(ISERROR('SEAP template'!B78+'SEAP template'!C78),0,'SEAP template'!B78+'SEAP template'!C78)</f>
        <v>50793.411572582161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4412.3929411764711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0.17751252771301693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6303.4184873949598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29976.428571428572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0.21027916892684595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2236.895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2236.895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0.17751252771301693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397.07688567860902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38943.811000000002</v>
      </c>
      <c r="C5" s="17">
        <f>IF(ISERROR('Eigen informatie GS &amp; warmtenet'!B57),0,'Eigen informatie GS &amp; warmtenet'!B57)</f>
        <v>0</v>
      </c>
      <c r="D5" s="30">
        <f>(SUM(HH_hh_gas_kWh,HH_rest_gas_kWh)/1000)*0.902</f>
        <v>111062.45511530116</v>
      </c>
      <c r="E5" s="17">
        <f>B46*B57</f>
        <v>24733.966173076529</v>
      </c>
      <c r="F5" s="17">
        <f>B51*B62</f>
        <v>0</v>
      </c>
      <c r="G5" s="18"/>
      <c r="H5" s="17"/>
      <c r="I5" s="17"/>
      <c r="J5" s="17">
        <f>B50*B61+C50*C61</f>
        <v>0</v>
      </c>
      <c r="K5" s="17"/>
      <c r="L5" s="17"/>
      <c r="M5" s="17"/>
      <c r="N5" s="17">
        <f>B48*B59+C48*C59</f>
        <v>19765.864391551353</v>
      </c>
      <c r="O5" s="17">
        <f>B69*B70*B71</f>
        <v>412.71999999999997</v>
      </c>
      <c r="P5" s="17">
        <f>B77*B78*B79/1000-B77*B78*B79/1000/B80</f>
        <v>781.73333333333335</v>
      </c>
    </row>
    <row r="6" spans="1:16">
      <c r="A6" s="16" t="s">
        <v>623</v>
      </c>
      <c r="B6" s="762">
        <f>kWh_PV_kleiner_dan_10kW</f>
        <v>4517.5267579737119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43461.337757973713</v>
      </c>
      <c r="C8" s="21">
        <f>C5</f>
        <v>0</v>
      </c>
      <c r="D8" s="21">
        <f>D5</f>
        <v>111062.45511530116</v>
      </c>
      <c r="E8" s="21">
        <f>E5</f>
        <v>24733.966173076529</v>
      </c>
      <c r="F8" s="21">
        <f>F5</f>
        <v>0</v>
      </c>
      <c r="G8" s="21"/>
      <c r="H8" s="21"/>
      <c r="I8" s="21"/>
      <c r="J8" s="21">
        <f>J5</f>
        <v>0</v>
      </c>
      <c r="K8" s="21"/>
      <c r="L8" s="21">
        <f>L5</f>
        <v>0</v>
      </c>
      <c r="M8" s="21">
        <f>M5</f>
        <v>0</v>
      </c>
      <c r="N8" s="21">
        <f>N5</f>
        <v>19765.864391551353</v>
      </c>
      <c r="O8" s="21">
        <f>O5</f>
        <v>412.71999999999997</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0.17751252771301693</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7714.9319232070975</v>
      </c>
      <c r="C12" s="23">
        <f ca="1">C10*C8</f>
        <v>0</v>
      </c>
      <c r="D12" s="23">
        <f>D8*D10</f>
        <v>22434.615933290836</v>
      </c>
      <c r="E12" s="23">
        <f>E10*E8</f>
        <v>5614.6103212883727</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6352</v>
      </c>
      <c r="C18" s="166" t="s">
        <v>110</v>
      </c>
      <c r="D18" s="228"/>
      <c r="E18" s="15"/>
    </row>
    <row r="19" spans="1:7">
      <c r="A19" s="171" t="s">
        <v>71</v>
      </c>
      <c r="B19" s="37">
        <f>aantalw2001_ander</f>
        <v>0</v>
      </c>
      <c r="C19" s="166" t="s">
        <v>110</v>
      </c>
      <c r="D19" s="229"/>
      <c r="E19" s="15"/>
    </row>
    <row r="20" spans="1:7">
      <c r="A20" s="171" t="s">
        <v>72</v>
      </c>
      <c r="B20" s="37">
        <f>aantalw2001_propaan</f>
        <v>112</v>
      </c>
      <c r="C20" s="167">
        <f>IF(ISERROR(B20/SUM($B$20,$B$21,$B$22)*100),0,B20/SUM($B$20,$B$21,$B$22)*100)</f>
        <v>10.9375</v>
      </c>
      <c r="D20" s="229"/>
      <c r="E20" s="15"/>
    </row>
    <row r="21" spans="1:7">
      <c r="A21" s="171" t="s">
        <v>73</v>
      </c>
      <c r="B21" s="37">
        <f>aantalw2001_elektriciteit</f>
        <v>800</v>
      </c>
      <c r="C21" s="167">
        <f>IF(ISERROR(B21/SUM($B$20,$B$21,$B$22)*100),0,B21/SUM($B$20,$B$21,$B$22)*100)</f>
        <v>78.125</v>
      </c>
      <c r="D21" s="229"/>
      <c r="E21" s="15"/>
    </row>
    <row r="22" spans="1:7">
      <c r="A22" s="171" t="s">
        <v>74</v>
      </c>
      <c r="B22" s="37">
        <f>aantalw2001_hout</f>
        <v>112</v>
      </c>
      <c r="C22" s="167">
        <f>IF(ISERROR(B22/SUM($B$20,$B$21,$B$22)*100),0,B22/SUM($B$20,$B$21,$B$22)*100)</f>
        <v>10.9375</v>
      </c>
      <c r="D22" s="229"/>
      <c r="E22" s="15"/>
    </row>
    <row r="23" spans="1:7">
      <c r="A23" s="171" t="s">
        <v>75</v>
      </c>
      <c r="B23" s="37">
        <f>aantalw2001_niet_gespec</f>
        <v>177</v>
      </c>
      <c r="C23" s="166" t="s">
        <v>110</v>
      </c>
      <c r="D23" s="228"/>
      <c r="E23" s="15"/>
    </row>
    <row r="24" spans="1:7">
      <c r="A24" s="171" t="s">
        <v>76</v>
      </c>
      <c r="B24" s="37">
        <f>aantalw2001_steenkool</f>
        <v>204</v>
      </c>
      <c r="C24" s="166" t="s">
        <v>110</v>
      </c>
      <c r="D24" s="229"/>
      <c r="E24" s="15"/>
    </row>
    <row r="25" spans="1:7">
      <c r="A25" s="171" t="s">
        <v>77</v>
      </c>
      <c r="B25" s="37">
        <f>aantalw2001_stookolie</f>
        <v>2528</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695</v>
      </c>
      <c r="B28" s="37">
        <f>aantalHuishoudens</f>
        <v>11815</v>
      </c>
      <c r="C28" s="36"/>
      <c r="D28" s="228"/>
    </row>
    <row r="29" spans="1:7" s="15" customFormat="1">
      <c r="A29" s="230" t="s">
        <v>696</v>
      </c>
      <c r="B29" s="37">
        <f>SUM(HH_hh_gas_aantal,HH_rest_gas_aantal)</f>
        <v>9003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9003</v>
      </c>
      <c r="C32" s="167">
        <f>IF(ISERROR(B32/SUM($B$32,$B$34,$B$35,$B$36,$B$38,$B$39)*100),0,B32/SUM($B$32,$B$34,$B$35,$B$36,$B$38,$B$39)*100)</f>
        <v>76.465092576864279</v>
      </c>
      <c r="D32" s="233"/>
      <c r="G32" s="15"/>
    </row>
    <row r="33" spans="1:7">
      <c r="A33" s="171" t="s">
        <v>71</v>
      </c>
      <c r="B33" s="34" t="s">
        <v>110</v>
      </c>
      <c r="C33" s="167"/>
      <c r="D33" s="233"/>
      <c r="G33" s="15"/>
    </row>
    <row r="34" spans="1:7">
      <c r="A34" s="171" t="s">
        <v>72</v>
      </c>
      <c r="B34" s="33">
        <f>IF((($B$28-$B$32-$B$39-$B$77-$B$38)*C20/100)&lt;0,0,($B$28-$B$32-$B$39-$B$77-$B$38)*C20/100)</f>
        <v>303.078125</v>
      </c>
      <c r="C34" s="167">
        <f>IF(ISERROR(B34/SUM($B$32,$B$34,$B$35,$B$36,$B$38,$B$39)*100),0,B34/SUM($B$32,$B$34,$B$35,$B$36,$B$38,$B$39)*100)</f>
        <v>2.5741304994054697</v>
      </c>
      <c r="D34" s="233"/>
      <c r="G34" s="15"/>
    </row>
    <row r="35" spans="1:7">
      <c r="A35" s="171" t="s">
        <v>73</v>
      </c>
      <c r="B35" s="33">
        <f>IF((($B$28-$B$32-$B$39-$B$77-$B$38)*C21/100)&lt;0,0,($B$28-$B$32-$B$39-$B$77-$B$38)*C21/100)</f>
        <v>2164.84375</v>
      </c>
      <c r="C35" s="167">
        <f>IF(ISERROR(B35/SUM($B$32,$B$34,$B$35,$B$36,$B$38,$B$39)*100),0,B35/SUM($B$32,$B$34,$B$35,$B$36,$B$38,$B$39)*100)</f>
        <v>18.386646424324784</v>
      </c>
      <c r="D35" s="233"/>
      <c r="G35" s="15"/>
    </row>
    <row r="36" spans="1:7">
      <c r="A36" s="171" t="s">
        <v>74</v>
      </c>
      <c r="B36" s="33">
        <f>IF((($B$28-$B$32-$B$39-$B$77-$B$38)*C22/100)&lt;0,0,($B$28-$B$32-$B$39-$B$77-$B$38)*C22/100)</f>
        <v>303.078125</v>
      </c>
      <c r="C36" s="167">
        <f>IF(ISERROR(B36/SUM($B$32,$B$34,$B$35,$B$36,$B$38,$B$39)*100),0,B36/SUM($B$32,$B$34,$B$35,$B$36,$B$38,$B$39)*100)</f>
        <v>2.5741304994054697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9003</v>
      </c>
      <c r="C44" s="34" t="s">
        <v>110</v>
      </c>
      <c r="D44" s="174"/>
    </row>
    <row r="45" spans="1:7">
      <c r="A45" s="171" t="s">
        <v>71</v>
      </c>
      <c r="B45" s="33" t="str">
        <f t="shared" si="0"/>
        <v>-</v>
      </c>
      <c r="C45" s="34" t="s">
        <v>110</v>
      </c>
      <c r="D45" s="174"/>
    </row>
    <row r="46" spans="1:7">
      <c r="A46" s="171" t="s">
        <v>72</v>
      </c>
      <c r="B46" s="33">
        <f t="shared" si="0"/>
        <v>303.078125</v>
      </c>
      <c r="C46" s="34" t="s">
        <v>110</v>
      </c>
      <c r="D46" s="174"/>
    </row>
    <row r="47" spans="1:7">
      <c r="A47" s="171" t="s">
        <v>73</v>
      </c>
      <c r="B47" s="33">
        <f t="shared" si="0"/>
        <v>2164.84375</v>
      </c>
      <c r="C47" s="34" t="s">
        <v>110</v>
      </c>
      <c r="D47" s="174"/>
    </row>
    <row r="48" spans="1:7">
      <c r="A48" s="171" t="s">
        <v>74</v>
      </c>
      <c r="B48" s="33">
        <f t="shared" si="0"/>
        <v>303.078125</v>
      </c>
      <c r="C48" s="33">
        <f>B48*10</f>
        <v>3030.78125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61006.990000000005</v>
      </c>
      <c r="C5" s="17">
        <f>IF(ISERROR('Eigen informatie GS &amp; warmtenet'!B58),0,'Eigen informatie GS &amp; warmtenet'!B58)</f>
        <v>0</v>
      </c>
      <c r="D5" s="30">
        <f>SUM(D6:D12)</f>
        <v>95441.255910000007</v>
      </c>
      <c r="E5" s="17">
        <f>SUM(E6:E12)</f>
        <v>1349.7094230176581</v>
      </c>
      <c r="F5" s="17">
        <f>SUM(F6:F12)</f>
        <v>13406.699121474549</v>
      </c>
      <c r="G5" s="18"/>
      <c r="H5" s="17"/>
      <c r="I5" s="17"/>
      <c r="J5" s="17">
        <f>SUM(J6:J12)</f>
        <v>0</v>
      </c>
      <c r="K5" s="17"/>
      <c r="L5" s="17"/>
      <c r="M5" s="17"/>
      <c r="N5" s="17">
        <f>SUM(N6:N12)</f>
        <v>9393.8188458769182</v>
      </c>
      <c r="O5" s="17">
        <f>B38*B39*B40</f>
        <v>1.5633333333333335</v>
      </c>
      <c r="P5" s="17">
        <f>B46*B47*B48/1000-B46*B47*B48/1000/B49</f>
        <v>114.4</v>
      </c>
      <c r="R5" s="32"/>
    </row>
    <row r="6" spans="1:18">
      <c r="A6" s="32" t="s">
        <v>53</v>
      </c>
      <c r="B6" s="37">
        <f>B26</f>
        <v>9666.0220000000008</v>
      </c>
      <c r="C6" s="33"/>
      <c r="D6" s="37">
        <f>IF(ISERROR(TER_kantoor_gas_kWh/1000),0,TER_kantoor_gas_kWh/1000)*0.902</f>
        <v>10595.638856</v>
      </c>
      <c r="E6" s="33">
        <f>$C$26*'E Balans VL '!I12/100/3.6*1000000</f>
        <v>126.5401347925683</v>
      </c>
      <c r="F6" s="33">
        <f>$C$26*('E Balans VL '!L12+'E Balans VL '!N12)/100/3.6*1000000</f>
        <v>2464.7357250598452</v>
      </c>
      <c r="G6" s="34"/>
      <c r="H6" s="33"/>
      <c r="I6" s="33"/>
      <c r="J6" s="33">
        <f>$C$26*('E Balans VL '!D12+'E Balans VL '!E12)/100/3.6*1000000</f>
        <v>0</v>
      </c>
      <c r="K6" s="33"/>
      <c r="L6" s="33"/>
      <c r="M6" s="33"/>
      <c r="N6" s="33">
        <f>$C$26*'E Balans VL '!Y12/100/3.6*1000000</f>
        <v>9.6985718113457082</v>
      </c>
      <c r="O6" s="33"/>
      <c r="P6" s="33"/>
      <c r="R6" s="32"/>
    </row>
    <row r="7" spans="1:18">
      <c r="A7" s="32" t="s">
        <v>52</v>
      </c>
      <c r="B7" s="37">
        <f t="shared" ref="B7:B12" si="0">B27</f>
        <v>1815.3779999999999</v>
      </c>
      <c r="C7" s="33"/>
      <c r="D7" s="37">
        <f>IF(ISERROR(TER_horeca_gas_kWh/1000),0,TER_horeca_gas_kWh/1000)*0.902</f>
        <v>3200.6766440000001</v>
      </c>
      <c r="E7" s="33">
        <f>$C$27*'E Balans VL '!I9/100/3.6*1000000</f>
        <v>60.077969226059537</v>
      </c>
      <c r="F7" s="33">
        <f>$C$27*('E Balans VL '!L9+'E Balans VL '!N9)/100/3.6*1000000</f>
        <v>780.60558262876987</v>
      </c>
      <c r="G7" s="34"/>
      <c r="H7" s="33"/>
      <c r="I7" s="33"/>
      <c r="J7" s="33">
        <f>$C$27*('E Balans VL '!D9+'E Balans VL '!E9)/100/3.6*1000000</f>
        <v>0</v>
      </c>
      <c r="K7" s="33"/>
      <c r="L7" s="33"/>
      <c r="M7" s="33"/>
      <c r="N7" s="33">
        <f>$C$27*'E Balans VL '!Y9/100/3.6*1000000</f>
        <v>0.43698784678156904</v>
      </c>
      <c r="O7" s="33"/>
      <c r="P7" s="33"/>
      <c r="R7" s="32"/>
    </row>
    <row r="8" spans="1:18">
      <c r="A8" s="6" t="s">
        <v>51</v>
      </c>
      <c r="B8" s="37">
        <f t="shared" si="0"/>
        <v>36253.281000000003</v>
      </c>
      <c r="C8" s="33"/>
      <c r="D8" s="37">
        <f>IF(ISERROR(TER_handel_gas_kWh/1000),0,TER_handel_gas_kWh/1000)*0.902</f>
        <v>70207.612882000001</v>
      </c>
      <c r="E8" s="33">
        <f>$C$28*'E Balans VL '!I13/100/3.6*1000000</f>
        <v>1144.2089417244968</v>
      </c>
      <c r="F8" s="33">
        <f>$C$28*('E Balans VL '!L13+'E Balans VL '!N13)/100/3.6*1000000</f>
        <v>7109.9067847442257</v>
      </c>
      <c r="G8" s="34"/>
      <c r="H8" s="33"/>
      <c r="I8" s="33"/>
      <c r="J8" s="33">
        <f>$C$28*('E Balans VL '!D13+'E Balans VL '!E13)/100/3.6*1000000</f>
        <v>0</v>
      </c>
      <c r="K8" s="33"/>
      <c r="L8" s="33"/>
      <c r="M8" s="33"/>
      <c r="N8" s="33">
        <f>$C$28*'E Balans VL '!Y13/100/3.6*1000000</f>
        <v>43.025606058901609</v>
      </c>
      <c r="O8" s="33"/>
      <c r="P8" s="33"/>
      <c r="R8" s="32"/>
    </row>
    <row r="9" spans="1:18">
      <c r="A9" s="32" t="s">
        <v>50</v>
      </c>
      <c r="B9" s="37">
        <f t="shared" si="0"/>
        <v>884.904</v>
      </c>
      <c r="C9" s="33"/>
      <c r="D9" s="37">
        <f>IF(ISERROR(TER_gezond_gas_kWh/1000),0,TER_gezond_gas_kWh/1000)*0.902</f>
        <v>888.56470999999999</v>
      </c>
      <c r="E9" s="33">
        <f>$C$29*'E Balans VL '!I10/100/3.6*1000000</f>
        <v>0.1132935992921295</v>
      </c>
      <c r="F9" s="33">
        <f>$C$29*('E Balans VL '!L10+'E Balans VL '!N10)/100/3.6*1000000</f>
        <v>184.36259292566788</v>
      </c>
      <c r="G9" s="34"/>
      <c r="H9" s="33"/>
      <c r="I9" s="33"/>
      <c r="J9" s="33">
        <f>$C$29*('E Balans VL '!D10+'E Balans VL '!E10)/100/3.6*1000000</f>
        <v>0</v>
      </c>
      <c r="K9" s="33"/>
      <c r="L9" s="33"/>
      <c r="M9" s="33"/>
      <c r="N9" s="33">
        <f>$C$29*'E Balans VL '!Y10/100/3.6*1000000</f>
        <v>10.393615740617374</v>
      </c>
      <c r="O9" s="33"/>
      <c r="P9" s="33"/>
      <c r="R9" s="32"/>
    </row>
    <row r="10" spans="1:18">
      <c r="A10" s="32" t="s">
        <v>49</v>
      </c>
      <c r="B10" s="37">
        <f t="shared" si="0"/>
        <v>11838.127</v>
      </c>
      <c r="C10" s="33"/>
      <c r="D10" s="37">
        <f>IF(ISERROR(TER_ander_gas_kWh/1000),0,TER_ander_gas_kWh/1000)*0.902</f>
        <v>8252.3510960000003</v>
      </c>
      <c r="E10" s="33">
        <f>$C$30*'E Balans VL '!I14/100/3.6*1000000</f>
        <v>17.80175908790417</v>
      </c>
      <c r="F10" s="33">
        <f>$C$30*('E Balans VL '!L14+'E Balans VL '!N14)/100/3.6*1000000</f>
        <v>2613.476844347068</v>
      </c>
      <c r="G10" s="34"/>
      <c r="H10" s="33"/>
      <c r="I10" s="33"/>
      <c r="J10" s="33">
        <f>$C$30*('E Balans VL '!D14+'E Balans VL '!E14)/100/3.6*1000000</f>
        <v>0</v>
      </c>
      <c r="K10" s="33"/>
      <c r="L10" s="33"/>
      <c r="M10" s="33"/>
      <c r="N10" s="33">
        <f>$C$30*'E Balans VL '!Y14/100/3.6*1000000</f>
        <v>9329.2407519094286</v>
      </c>
      <c r="O10" s="33"/>
      <c r="P10" s="33"/>
      <c r="R10" s="32"/>
    </row>
    <row r="11" spans="1:18">
      <c r="A11" s="32" t="s">
        <v>54</v>
      </c>
      <c r="B11" s="37">
        <f t="shared" si="0"/>
        <v>549.27800000000002</v>
      </c>
      <c r="C11" s="33"/>
      <c r="D11" s="37">
        <f>IF(ISERROR(TER_onderwijs_gas_kWh/1000),0,TER_onderwijs_gas_kWh/1000)*0.902</f>
        <v>2296.4117220000003</v>
      </c>
      <c r="E11" s="33">
        <f>$C$31*'E Balans VL '!I11/100/3.6*1000000</f>
        <v>0.9673245873372931</v>
      </c>
      <c r="F11" s="33">
        <f>$C$31*('E Balans VL '!L11+'E Balans VL '!N11)/100/3.6*1000000</f>
        <v>253.61159176897132</v>
      </c>
      <c r="G11" s="34"/>
      <c r="H11" s="33"/>
      <c r="I11" s="33"/>
      <c r="J11" s="33">
        <f>$C$31*('E Balans VL '!D11+'E Balans VL '!E11)/100/3.6*1000000</f>
        <v>0</v>
      </c>
      <c r="K11" s="33"/>
      <c r="L11" s="33"/>
      <c r="M11" s="33"/>
      <c r="N11" s="33">
        <f>$C$31*'E Balans VL '!Y11/100/3.6*1000000</f>
        <v>1.0233125098439129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energieproductie'!N41+'lokale energieproductie'!N34</f>
        <v>1341</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-3831.4285714285716</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62347.990000000005</v>
      </c>
      <c r="C16" s="21">
        <f t="shared" ca="1" si="1"/>
        <v>0</v>
      </c>
      <c r="D16" s="21">
        <f t="shared" ca="1" si="1"/>
        <v>95441.255910000007</v>
      </c>
      <c r="E16" s="21">
        <f t="shared" si="1"/>
        <v>1349.7094230176581</v>
      </c>
      <c r="F16" s="21">
        <f t="shared" ca="1" si="1"/>
        <v>13406.699121474549</v>
      </c>
      <c r="G16" s="21">
        <f t="shared" si="1"/>
        <v>0</v>
      </c>
      <c r="H16" s="21">
        <f t="shared" si="1"/>
        <v>0</v>
      </c>
      <c r="I16" s="21">
        <f t="shared" si="1"/>
        <v>0</v>
      </c>
      <c r="J16" s="21">
        <f t="shared" si="1"/>
        <v>0</v>
      </c>
      <c r="K16" s="21">
        <f t="shared" si="1"/>
        <v>0</v>
      </c>
      <c r="L16" s="21">
        <f t="shared" ca="1" si="1"/>
        <v>0</v>
      </c>
      <c r="M16" s="21">
        <f t="shared" si="1"/>
        <v>0</v>
      </c>
      <c r="N16" s="21">
        <f t="shared" ca="1" si="1"/>
        <v>5562.3902744483466</v>
      </c>
      <c r="O16" s="21">
        <f>O5</f>
        <v>1.5633333333333335</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0.17751252771301693</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11067.549302725904</v>
      </c>
      <c r="C20" s="23">
        <f t="shared" ref="C20:P20" ca="1" si="2">C16*C18</f>
        <v>0</v>
      </c>
      <c r="D20" s="23">
        <f t="shared" ca="1" si="2"/>
        <v>19279.133693820004</v>
      </c>
      <c r="E20" s="23">
        <f t="shared" si="2"/>
        <v>306.38403902500841</v>
      </c>
      <c r="F20" s="23">
        <f t="shared" ca="1" si="2"/>
        <v>3579.5886654337046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9666.0220000000008</v>
      </c>
      <c r="C26" s="39">
        <f>IF(ISERROR(B26*3.6/1000000/'E Balans VL '!Z12*100),0,B26*3.6/1000000/'E Balans VL '!Z12*100)</f>
        <v>0.20705370048008559</v>
      </c>
      <c r="D26" s="237" t="s">
        <v>659</v>
      </c>
      <c r="F26" s="6"/>
    </row>
    <row r="27" spans="1:18">
      <c r="A27" s="231" t="s">
        <v>52</v>
      </c>
      <c r="B27" s="33">
        <f>IF(ISERROR(TER_horeca_ele_kWh/1000),0,TER_horeca_ele_kWh/1000)</f>
        <v>1815.3779999999999</v>
      </c>
      <c r="C27" s="39">
        <f>IF(ISERROR(B27*3.6/1000000/'E Balans VL '!Z9*100),0,B27*3.6/1000000/'E Balans VL '!Z9*100)</f>
        <v>0.14567777431048115</v>
      </c>
      <c r="D27" s="237" t="s">
        <v>659</v>
      </c>
      <c r="F27" s="6"/>
    </row>
    <row r="28" spans="1:18">
      <c r="A28" s="171" t="s">
        <v>51</v>
      </c>
      <c r="B28" s="33">
        <f>IF(ISERROR(TER_handel_ele_kWh/1000),0,TER_handel_ele_kWh/1000)</f>
        <v>36253.281000000003</v>
      </c>
      <c r="C28" s="39">
        <f>IF(ISERROR(B28*3.6/1000000/'E Balans VL '!Z13*100),0,B28*3.6/1000000/'E Balans VL '!Z13*100)</f>
        <v>1.0692638489742579</v>
      </c>
      <c r="D28" s="237" t="s">
        <v>659</v>
      </c>
      <c r="F28" s="6"/>
    </row>
    <row r="29" spans="1:18">
      <c r="A29" s="231" t="s">
        <v>50</v>
      </c>
      <c r="B29" s="33">
        <f>IF(ISERROR(TER_gezond_ele_kWh/1000),0,TER_gezond_ele_kWh/1000)</f>
        <v>884.904</v>
      </c>
      <c r="C29" s="39">
        <f>IF(ISERROR(B29*3.6/1000000/'E Balans VL '!Z10*100),0,B29*3.6/1000000/'E Balans VL '!Z10*100)</f>
        <v>9.4484022034073592E-2</v>
      </c>
      <c r="D29" s="237" t="s">
        <v>659</v>
      </c>
      <c r="F29" s="6"/>
    </row>
    <row r="30" spans="1:18">
      <c r="A30" s="231" t="s">
        <v>49</v>
      </c>
      <c r="B30" s="33">
        <f>IF(ISERROR(TER_ander_ele_kWh/1000),0,TER_ander_ele_kWh/1000)</f>
        <v>11838.127</v>
      </c>
      <c r="C30" s="39">
        <f>IF(ISERROR(B30*3.6/1000000/'E Balans VL '!Z14*100),0,B30*3.6/1000000/'E Balans VL '!Z14*100)</f>
        <v>0.89418021875962028</v>
      </c>
      <c r="D30" s="237" t="s">
        <v>659</v>
      </c>
      <c r="F30" s="6"/>
    </row>
    <row r="31" spans="1:18">
      <c r="A31" s="231" t="s">
        <v>54</v>
      </c>
      <c r="B31" s="33">
        <f>IF(ISERROR(TER_onderwijs_ele_kWh/1000),0,TER_onderwijs_ele_kWh/1000)</f>
        <v>549.27800000000002</v>
      </c>
      <c r="C31" s="39">
        <f>IF(ISERROR(B31*3.6/1000000/'E Balans VL '!Z11*100),0,B31*3.6/1000000/'E Balans VL '!Z11*100)</f>
        <v>0.11091756451619766</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6</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45260.703000000009</v>
      </c>
      <c r="C5" s="17">
        <f>IF(ISERROR('Eigen informatie GS &amp; warmtenet'!B59),0,'Eigen informatie GS &amp; warmtenet'!B59)</f>
        <v>0</v>
      </c>
      <c r="D5" s="30">
        <f>SUM(D6:D15)</f>
        <v>72940.599820000003</v>
      </c>
      <c r="E5" s="17">
        <f>SUM(E6:E15)</f>
        <v>3579.3576751278997</v>
      </c>
      <c r="F5" s="17">
        <f>SUM(F6:F15)</f>
        <v>15321.158001237369</v>
      </c>
      <c r="G5" s="18"/>
      <c r="H5" s="17"/>
      <c r="I5" s="17"/>
      <c r="J5" s="17">
        <f>SUM(J6:J15)</f>
        <v>298.31429410377876</v>
      </c>
      <c r="K5" s="17"/>
      <c r="L5" s="17"/>
      <c r="M5" s="17"/>
      <c r="N5" s="17">
        <f>SUM(N6:N15)</f>
        <v>3855.6208367988197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80.346999999999994</v>
      </c>
      <c r="C7" s="33"/>
      <c r="D7" s="37">
        <f>IF( ISERROR(IND_nonf_gas_kWhh/1000),0,IND_nonf_gas_kWh/1000)*0.902</f>
        <v>0</v>
      </c>
      <c r="E7" s="33">
        <f>C29*'E Balans VL '!I17/100/3.6*1000000</f>
        <v>0.99802998886729621</v>
      </c>
      <c r="F7" s="33">
        <f>C29*'E Balans VL '!L17/100/3.6*1000000+C29*'E Balans VL '!N17/100/3.6*1000000</f>
        <v>21.261073252642181</v>
      </c>
      <c r="G7" s="34"/>
      <c r="H7" s="33"/>
      <c r="I7" s="33"/>
      <c r="J7" s="40">
        <f>C29*'E Balans VL '!D17/100/3.6*1000000+C29*'E Balans VL '!E17/100/3.6*1000000</f>
        <v>40.053308045571271</v>
      </c>
      <c r="K7" s="33"/>
      <c r="L7" s="33"/>
      <c r="M7" s="33"/>
      <c r="N7" s="33">
        <f>C29*'E Balans VL '!Y17/100/3.6*1000000</f>
        <v>0</v>
      </c>
      <c r="O7" s="33"/>
      <c r="P7" s="33"/>
      <c r="R7" s="32"/>
    </row>
    <row r="8" spans="1:18">
      <c r="A8" s="6" t="s">
        <v>35</v>
      </c>
      <c r="B8" s="37">
        <f t="shared" si="0"/>
        <v>4876.723</v>
      </c>
      <c r="C8" s="33"/>
      <c r="D8" s="37">
        <f>IF( ISERROR(IND_metaal_Gas_kWH/1000),0,IND_metaal_Gas_kWH/1000)*0.902</f>
        <v>2805.7106880000001</v>
      </c>
      <c r="E8" s="33">
        <f>C30*'E Balans VL '!I18/100/3.6*1000000</f>
        <v>175.47924662715738</v>
      </c>
      <c r="F8" s="33">
        <f>C30*'E Balans VL '!L18/100/3.6*1000000+C30*'E Balans VL '!N18/100/3.6*1000000</f>
        <v>2129.5068477488303</v>
      </c>
      <c r="G8" s="34"/>
      <c r="H8" s="33"/>
      <c r="I8" s="33"/>
      <c r="J8" s="40">
        <f>C30*'E Balans VL '!D18/100/3.6*1000000+C30*'E Balans VL '!E18/100/3.6*1000000</f>
        <v>0</v>
      </c>
      <c r="K8" s="33"/>
      <c r="L8" s="33"/>
      <c r="M8" s="33"/>
      <c r="N8" s="33">
        <f>C30*'E Balans VL '!Y18/100/3.6*1000000</f>
        <v>244.41804267556245</v>
      </c>
      <c r="O8" s="33"/>
      <c r="P8" s="33"/>
      <c r="R8" s="32"/>
    </row>
    <row r="9" spans="1:18">
      <c r="A9" s="6" t="s">
        <v>32</v>
      </c>
      <c r="B9" s="37">
        <f t="shared" si="0"/>
        <v>12365.397999999999</v>
      </c>
      <c r="C9" s="33"/>
      <c r="D9" s="37">
        <f>IF( ISERROR(IND_andere_gas_kWh/1000),0,IND_andere_gas_kWh/1000)*0.902</f>
        <v>5475.6911220000002</v>
      </c>
      <c r="E9" s="33">
        <f>C31*'E Balans VL '!I19/100/3.6*1000000</f>
        <v>3155.3697946340444</v>
      </c>
      <c r="F9" s="33">
        <f>C31*'E Balans VL '!L19/100/3.6*1000000+C31*'E Balans VL '!N19/100/3.6*1000000</f>
        <v>10645.678258553595</v>
      </c>
      <c r="G9" s="34"/>
      <c r="H9" s="33"/>
      <c r="I9" s="33"/>
      <c r="J9" s="40">
        <f>C31*'E Balans VL '!D19/100/3.6*1000000+C31*'E Balans VL '!E19/100/3.6*1000000</f>
        <v>0</v>
      </c>
      <c r="K9" s="33"/>
      <c r="L9" s="33"/>
      <c r="M9" s="33"/>
      <c r="N9" s="33">
        <f>C31*'E Balans VL '!Y19/100/3.6*1000000</f>
        <v>975.48520582066533</v>
      </c>
      <c r="O9" s="33"/>
      <c r="P9" s="33"/>
      <c r="R9" s="32"/>
    </row>
    <row r="10" spans="1:18">
      <c r="A10" s="6" t="s">
        <v>40</v>
      </c>
      <c r="B10" s="37">
        <f t="shared" si="0"/>
        <v>4468.5410000000002</v>
      </c>
      <c r="C10" s="33"/>
      <c r="D10" s="37">
        <f>IF( ISERROR(IND_voed_gas_kWh/1000),0,IND_voed_gas_kWh/1000)*0.902</f>
        <v>10434.497458</v>
      </c>
      <c r="E10" s="33">
        <f>C32*'E Balans VL '!I20/100/3.6*1000000</f>
        <v>113.59644802961223</v>
      </c>
      <c r="F10" s="33">
        <f>C32*'E Balans VL '!L20/100/3.6*1000000+C32*'E Balans VL '!N20/100/3.6*1000000</f>
        <v>1011.1637497147291</v>
      </c>
      <c r="G10" s="34"/>
      <c r="H10" s="33"/>
      <c r="I10" s="33"/>
      <c r="J10" s="40">
        <f>C32*'E Balans VL '!D20/100/3.6*1000000+C32*'E Balans VL '!E20/100/3.6*1000000</f>
        <v>0</v>
      </c>
      <c r="K10" s="33"/>
      <c r="L10" s="33"/>
      <c r="M10" s="33"/>
      <c r="N10" s="33">
        <f>C32*'E Balans VL '!Y20/100/3.6*1000000</f>
        <v>1675.8239995680774</v>
      </c>
      <c r="O10" s="33"/>
      <c r="P10" s="33"/>
      <c r="R10" s="32"/>
    </row>
    <row r="11" spans="1:18">
      <c r="A11" s="6" t="s">
        <v>39</v>
      </c>
      <c r="B11" s="37">
        <f t="shared" si="0"/>
        <v>16280.424999999999</v>
      </c>
      <c r="C11" s="33"/>
      <c r="D11" s="37">
        <f>IF( ISERROR(IND_textiel_gas_kWh/1000),0,IND_textiel_gas_kWh/1000)*0.902</f>
        <v>44643.137901999995</v>
      </c>
      <c r="E11" s="33">
        <f>C33*'E Balans VL '!I21/100/3.6*1000000</f>
        <v>44.694144803293234</v>
      </c>
      <c r="F11" s="33">
        <f>C33*'E Balans VL '!L21/100/3.6*1000000+C33*'E Balans VL '!N21/100/3.6*1000000</f>
        <v>863.12028422637832</v>
      </c>
      <c r="G11" s="34"/>
      <c r="H11" s="33"/>
      <c r="I11" s="33"/>
      <c r="J11" s="40">
        <f>C33*'E Balans VL '!D21/100/3.6*1000000+C33*'E Balans VL '!E21/100/3.6*1000000</f>
        <v>0</v>
      </c>
      <c r="K11" s="33"/>
      <c r="L11" s="33"/>
      <c r="M11" s="33"/>
      <c r="N11" s="33">
        <f>C33*'E Balans VL '!Y21/100/3.6*1000000</f>
        <v>32.720960122840026</v>
      </c>
      <c r="O11" s="33"/>
      <c r="P11" s="33"/>
      <c r="R11" s="32"/>
    </row>
    <row r="12" spans="1:18">
      <c r="A12" s="6" t="s">
        <v>36</v>
      </c>
      <c r="B12" s="37">
        <f t="shared" si="0"/>
        <v>3367.5839999999998</v>
      </c>
      <c r="C12" s="33"/>
      <c r="D12" s="37">
        <f>IF( ISERROR(IND_min_gas_kWh/1000),0,IND_min_gas_kWh/1000)*0.902</f>
        <v>3767.7243560000006</v>
      </c>
      <c r="E12" s="33">
        <f>C34*'E Balans VL '!I22/100/3.6*1000000</f>
        <v>71.552720086168407</v>
      </c>
      <c r="F12" s="33">
        <f>C34*'E Balans VL '!L22/100/3.6*1000000+C34*'E Balans VL '!N22/100/3.6*1000000</f>
        <v>549.45002848294416</v>
      </c>
      <c r="G12" s="34"/>
      <c r="H12" s="33"/>
      <c r="I12" s="33"/>
      <c r="J12" s="40">
        <f>C34*'E Balans VL '!D22/100/3.6*1000000+C34*'E Balans VL '!E22/100/3.6*1000000</f>
        <v>3.9235496246629169</v>
      </c>
      <c r="K12" s="33"/>
      <c r="L12" s="33"/>
      <c r="M12" s="33"/>
      <c r="N12" s="33">
        <f>C34*'E Balans VL '!Y22/100/3.6*1000000</f>
        <v>0</v>
      </c>
      <c r="O12" s="33"/>
      <c r="P12" s="33"/>
      <c r="R12" s="32"/>
    </row>
    <row r="13" spans="1:18">
      <c r="A13" s="6" t="s">
        <v>38</v>
      </c>
      <c r="B13" s="37">
        <f t="shared" si="0"/>
        <v>3796.1329999999998</v>
      </c>
      <c r="C13" s="33"/>
      <c r="D13" s="37">
        <f>IF( ISERROR(IND_papier_gas_kWh/1000),0,IND_papier_gas_kWh/1000)*0.902</f>
        <v>5679.0271780000003</v>
      </c>
      <c r="E13" s="33">
        <f>C35*'E Balans VL '!I23/100/3.6*1000000</f>
        <v>16.280510074401498</v>
      </c>
      <c r="F13" s="33">
        <f>C35*'E Balans VL '!L23/100/3.6*1000000+C35*'E Balans VL '!N23/100/3.6*1000000</f>
        <v>95.408604736760921</v>
      </c>
      <c r="G13" s="34"/>
      <c r="H13" s="33"/>
      <c r="I13" s="33"/>
      <c r="J13" s="40">
        <f>C35*'E Balans VL '!D23/100/3.6*1000000+C35*'E Balans VL '!E23/100/3.6*1000000</f>
        <v>254.13028341698404</v>
      </c>
      <c r="K13" s="33"/>
      <c r="L13" s="33"/>
      <c r="M13" s="33"/>
      <c r="N13" s="33">
        <f>C35*'E Balans VL '!Y23/100/3.6*1000000</f>
        <v>925.73885249743296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25.552</v>
      </c>
      <c r="C15" s="33"/>
      <c r="D15" s="37">
        <f>IF( ISERROR(IND_rest_gas_kWh/1000),0,IND_rest_gas_kWh/1000)*0.902</f>
        <v>134.811116</v>
      </c>
      <c r="E15" s="33">
        <f>C37*'E Balans VL '!I15/100/3.6*1000000</f>
        <v>1.3867808843557894</v>
      </c>
      <c r="F15" s="33">
        <f>C37*'E Balans VL '!L15/100/3.6*1000000+C37*'E Balans VL '!N15/100/3.6*1000000</f>
        <v>5.5691545214880271</v>
      </c>
      <c r="G15" s="34"/>
      <c r="H15" s="33"/>
      <c r="I15" s="33"/>
      <c r="J15" s="40">
        <f>C37*'E Balans VL '!D15/100/3.6*1000000+C37*'E Balans VL '!E15/100/3.6*1000000</f>
        <v>0.20715301656053464</v>
      </c>
      <c r="K15" s="33"/>
      <c r="L15" s="33"/>
      <c r="M15" s="33"/>
      <c r="N15" s="33">
        <f>C37*'E Balans VL '!Y15/100/3.6*1000000</f>
        <v>1.4337761142413363</v>
      </c>
      <c r="O15" s="33"/>
      <c r="P15" s="33"/>
      <c r="R15" s="32"/>
    </row>
    <row r="16" spans="1:18">
      <c r="A16" s="16" t="s">
        <v>490</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45260.703000000009</v>
      </c>
      <c r="C18" s="21">
        <f>C5+C16</f>
        <v>0</v>
      </c>
      <c r="D18" s="21">
        <f>MAX((D5+D16),0)</f>
        <v>72940.599820000003</v>
      </c>
      <c r="E18" s="21">
        <f>MAX((E5+E16),0)</f>
        <v>3579.3576751278997</v>
      </c>
      <c r="F18" s="21">
        <f>MAX((F5+F16),0)</f>
        <v>15321.158001237369</v>
      </c>
      <c r="G18" s="21"/>
      <c r="H18" s="21"/>
      <c r="I18" s="21"/>
      <c r="J18" s="21">
        <f>MAX((J5+J16),0)</f>
        <v>298.31429410377876</v>
      </c>
      <c r="K18" s="21"/>
      <c r="L18" s="21">
        <f>MAX((L5+L16),0)</f>
        <v>0</v>
      </c>
      <c r="M18" s="21"/>
      <c r="N18" s="21">
        <f>MAX((N5+N16),0)</f>
        <v>3855.6208367988197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0.17751252771301693</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8034.3417955981295</v>
      </c>
      <c r="C22" s="23">
        <f ca="1">C18*C20</f>
        <v>0</v>
      </c>
      <c r="D22" s="23">
        <f>D18*D20</f>
        <v>14734.001163640001</v>
      </c>
      <c r="E22" s="23">
        <f>E18*E20</f>
        <v>812.51419225403322</v>
      </c>
      <c r="F22" s="23">
        <f>F18*F20</f>
        <v>4090.7491863303776</v>
      </c>
      <c r="G22" s="23"/>
      <c r="H22" s="23"/>
      <c r="I22" s="23"/>
      <c r="J22" s="23">
        <f>J18*J20</f>
        <v>105.60326011273767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80.346999999999994</v>
      </c>
      <c r="C29" s="39">
        <f>IF(ISERROR(B29*3.6/1000000/'E Balans VL '!Z17*100),0,B29*3.6/1000000/'E Balans VL '!Z17*100)</f>
        <v>8.5795424719546529E-2</v>
      </c>
      <c r="D29" s="237" t="s">
        <v>659</v>
      </c>
    </row>
    <row r="30" spans="1:18">
      <c r="A30" s="171" t="s">
        <v>35</v>
      </c>
      <c r="B30" s="37">
        <f>IF( ISERROR(IND_metaal_ele_kWh/1000),0,IND_metaal_ele_kWh/1000)</f>
        <v>4876.723</v>
      </c>
      <c r="C30" s="39">
        <f>IF(ISERROR(B30*3.6/1000000/'E Balans VL '!Z18*100),0,B30*3.6/1000000/'E Balans VL '!Z18*100)</f>
        <v>1.0332730495144624</v>
      </c>
      <c r="D30" s="237" t="s">
        <v>659</v>
      </c>
    </row>
    <row r="31" spans="1:18">
      <c r="A31" s="6" t="s">
        <v>32</v>
      </c>
      <c r="B31" s="37">
        <f>IF( ISERROR(IND_ander_ele_kWh/1000),0,IND_ander_ele_kWh/1000)</f>
        <v>12365.397999999999</v>
      </c>
      <c r="C31" s="39">
        <f>IF(ISERROR(B31*3.6/1000000/'E Balans VL '!Z19*100),0,B31*3.6/1000000/'E Balans VL '!Z19*100)</f>
        <v>0.52048767949813379</v>
      </c>
      <c r="D31" s="237" t="s">
        <v>659</v>
      </c>
    </row>
    <row r="32" spans="1:18">
      <c r="A32" s="171" t="s">
        <v>40</v>
      </c>
      <c r="B32" s="37">
        <f>IF( ISERROR(IND_voed_ele_kWh/1000),0,IND_voed_ele_kWh/1000)</f>
        <v>4468.5410000000002</v>
      </c>
      <c r="C32" s="39">
        <f>IF(ISERROR(B32*3.6/1000000/'E Balans VL '!Z20*100),0,B32*3.6/1000000/'E Balans VL '!Z20*100)</f>
        <v>0.74652033211419955</v>
      </c>
      <c r="D32" s="237" t="s">
        <v>659</v>
      </c>
    </row>
    <row r="33" spans="1:5">
      <c r="A33" s="171" t="s">
        <v>39</v>
      </c>
      <c r="B33" s="37">
        <f>IF( ISERROR(IND_textiel_ele_kWh/1000),0,IND_textiel_ele_kWh/1000)</f>
        <v>16280.424999999999</v>
      </c>
      <c r="C33" s="39">
        <f>IF(ISERROR(B33*3.6/1000000/'E Balans VL '!Z21*100),0,B33*3.6/1000000/'E Balans VL '!Z21*100)</f>
        <v>0.9504999309466966</v>
      </c>
      <c r="D33" s="237" t="s">
        <v>659</v>
      </c>
    </row>
    <row r="34" spans="1:5">
      <c r="A34" s="171" t="s">
        <v>36</v>
      </c>
      <c r="B34" s="37">
        <f>IF( ISERROR(IND_min_ele_kWh/1000),0,IND_min_ele_kWh/1000)</f>
        <v>3367.5839999999998</v>
      </c>
      <c r="C34" s="39">
        <f>IF(ISERROR(B34*3.6/1000000/'E Balans VL '!Z22*100),0,B34*3.6/1000000/'E Balans VL '!Z22*100)</f>
        <v>0.42685943332687326</v>
      </c>
      <c r="D34" s="237" t="s">
        <v>659</v>
      </c>
    </row>
    <row r="35" spans="1:5">
      <c r="A35" s="171" t="s">
        <v>38</v>
      </c>
      <c r="B35" s="37">
        <f>IF( ISERROR(IND_papier_ele_kWh/1000),0,IND_papier_ele_kWh/1000)</f>
        <v>3796.1329999999998</v>
      </c>
      <c r="C35" s="39">
        <f>IF(ISERROR(B35*3.6/1000000/'E Balans VL '!Z22*100),0,B35*3.6/1000000/'E Balans VL '!Z22*100)</f>
        <v>0.48118033023480422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25.552</v>
      </c>
      <c r="C37" s="39">
        <f>IF(ISERROR(B37*3.6/1000000/'E Balans VL '!Z15*100),0,B37*3.6/1000000/'E Balans VL '!Z15*100)</f>
        <v>2.0629119018788768E-4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2128.4340000000002</v>
      </c>
      <c r="C5" s="17">
        <f>'Eigen informatie GS &amp; warmtenet'!B60</f>
        <v>0</v>
      </c>
      <c r="D5" s="30">
        <f>IF(ISERROR(SUM(LB_lb_gas_kWh,LB_rest_gas_kWh)/1000),0,SUM(LB_lb_gas_kWh,LB_rest_gas_kWh)/1000)*0.902</f>
        <v>37118.395027999999</v>
      </c>
      <c r="E5" s="17">
        <f>B17*'E Balans VL '!I25/3.6*1000000/100</f>
        <v>54.884140618271744</v>
      </c>
      <c r="F5" s="17">
        <f>B17*('E Balans VL '!L25/3.6*1000000+'E Balans VL '!N25/3.6*1000000)/100</f>
        <v>7779.8316105650147</v>
      </c>
      <c r="G5" s="18"/>
      <c r="H5" s="17"/>
      <c r="I5" s="17"/>
      <c r="J5" s="17">
        <f>('E Balans VL '!D25+'E Balans VL '!E25)/3.6*1000000*landbouw!B17/100</f>
        <v>306.41619802833719</v>
      </c>
      <c r="K5" s="17"/>
      <c r="L5" s="17">
        <f>L6*(-1)</f>
        <v>0</v>
      </c>
      <c r="M5" s="17"/>
      <c r="N5" s="17">
        <f>N6*(-1)</f>
        <v>6904.2857142857147</v>
      </c>
      <c r="O5" s="17"/>
      <c r="P5" s="17"/>
      <c r="R5" s="32"/>
    </row>
    <row r="6" spans="1:18">
      <c r="A6" s="16" t="s">
        <v>490</v>
      </c>
      <c r="B6" s="17" t="s">
        <v>210</v>
      </c>
      <c r="C6" s="17">
        <f>'lokale energieproductie'!O42+'lokale energieproductie'!O35</f>
        <v>29976.428571428572</v>
      </c>
      <c r="D6" s="308">
        <f>('lokale energieproductie'!P35+'lokale energieproductie'!P42)*(-1)</f>
        <v>-53048.571428571435</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2128.4340000000002</v>
      </c>
      <c r="C8" s="21">
        <f>C5+C6</f>
        <v>29976.428571428572</v>
      </c>
      <c r="D8" s="21">
        <f>MAX((D5+D6),0)</f>
        <v>0</v>
      </c>
      <c r="E8" s="21">
        <f>MAX((E5+E6),0)</f>
        <v>54.884140618271744</v>
      </c>
      <c r="F8" s="21">
        <f>MAX((F5+F6),0)</f>
        <v>7779.8316105650147</v>
      </c>
      <c r="G8" s="21"/>
      <c r="H8" s="21"/>
      <c r="I8" s="21"/>
      <c r="J8" s="21">
        <f>MAX((J5+J6),0)</f>
        <v>306.41619802833719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0.17751252771301693</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377.82369941032749</v>
      </c>
      <c r="C12" s="23">
        <f ca="1">C8*C10</f>
        <v>6303.4184873949598</v>
      </c>
      <c r="D12" s="23">
        <f>D8*D10</f>
        <v>0</v>
      </c>
      <c r="E12" s="23">
        <f>E8*E10</f>
        <v>12.458699920347685</v>
      </c>
      <c r="F12" s="23">
        <f>F8*F10</f>
        <v>2077.2150400208589</v>
      </c>
      <c r="G12" s="23"/>
      <c r="H12" s="23"/>
      <c r="I12" s="23"/>
      <c r="J12" s="23">
        <f>J8*J10</f>
        <v>108.47133410203136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0.30012329243068869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189.23153184377495</v>
      </c>
      <c r="C26" s="247">
        <f>B26*'GWP N2O_CH4'!B5</f>
        <v>3973.862168719274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69.410766574107356</v>
      </c>
      <c r="C27" s="247">
        <f>B27*'GWP N2O_CH4'!B5</f>
        <v>1457.6260980562545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2.7256770172539593</v>
      </c>
      <c r="C28" s="247">
        <f>B28*'GWP N2O_CH4'!B4</f>
        <v>844.95987534872734</v>
      </c>
      <c r="D28" s="50"/>
    </row>
    <row r="29" spans="1:4">
      <c r="A29" s="41" t="s">
        <v>276</v>
      </c>
      <c r="B29" s="247">
        <f>B34*'ha_N2O bodem landbouw'!B4</f>
        <v>7.5955487670804764</v>
      </c>
      <c r="C29" s="247">
        <f>B29*'GWP N2O_CH4'!B4</f>
        <v>2354.6201177949479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1.7094112267198782E-3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1.3098683322850446E-4</v>
      </c>
      <c r="C5" s="437" t="s">
        <v>210</v>
      </c>
      <c r="D5" s="422">
        <f>SUM(D6:D11)</f>
        <v>2.7224944463889435E-4</v>
      </c>
      <c r="E5" s="422">
        <f>SUM(E6:E11)</f>
        <v>1.3219532485926866E-3</v>
      </c>
      <c r="F5" s="435" t="s">
        <v>210</v>
      </c>
      <c r="G5" s="422">
        <f>SUM(G6:G11)</f>
        <v>0.6240991555563653</v>
      </c>
      <c r="H5" s="422">
        <f>SUM(H6:H11)</f>
        <v>9.4208389345012675E-2</v>
      </c>
      <c r="I5" s="437" t="s">
        <v>210</v>
      </c>
      <c r="J5" s="437" t="s">
        <v>210</v>
      </c>
      <c r="K5" s="437" t="s">
        <v>210</v>
      </c>
      <c r="L5" s="437" t="s">
        <v>210</v>
      </c>
      <c r="M5" s="422">
        <f>SUM(M6:M11)</f>
        <v>2.245748869506644E-2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4.71140338521445E-5</v>
      </c>
      <c r="C6" s="423"/>
      <c r="D6" s="865">
        <f>vkm_GW_PW*SUMIFS(TableVerdeelsleutelVkm[CNG],TableVerdeelsleutelVkm[Voertuigtype],"Lichte voertuigen")*SUMIFS(TableECFTransport[EnergieConsumptieFactor (PJ per km)],TableECFTransport[Index],CONCATENATE($A6,"_CNG_CNG"))</f>
        <v>8.4931369725982242E-5</v>
      </c>
      <c r="E6" s="865">
        <f>vkm_GW_PW*SUMIFS(TableVerdeelsleutelVkm[LPG],TableVerdeelsleutelVkm[Voertuigtype],"Lichte voertuigen")*SUMIFS(TableECFTransport[EnergieConsumptieFactor (PJ per km)],TableECFTransport[Index],CONCATENATE($A6,"_LPG_LPG"))</f>
        <v>3.8367120173953847E-4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0.10481844863004944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2.9161594682331041E-2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4.1715744578056276E-3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7.9027083018761324E-2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1.4260291094917954E-6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2.4861964617654492E-3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2.8178322830536253E-5</v>
      </c>
      <c r="C8" s="423"/>
      <c r="D8" s="425">
        <f>vkm_NGW_PW*SUMIFS(TableVerdeelsleutelVkm[CNG],TableVerdeelsleutelVkm[Voertuigtype],"Lichte voertuigen")*SUMIFS(TableECFTransport[EnergieConsumptieFactor (PJ per km)],TableECFTransport[Index],CONCATENATE($A8,"_CNG_CNG"))</f>
        <v>8.6339274296225329E-5</v>
      </c>
      <c r="E8" s="425">
        <f>vkm_NGW_PW*SUMIFS(TableVerdeelsleutelVkm[LPG],TableVerdeelsleutelVkm[Voertuigtype],"Lichte voertuigen")*SUMIFS(TableECFTransport[EnergieConsumptieFactor (PJ per km)],TableECFTransport[Index],CONCATENATE($A8,"_LPG_LPG"))</f>
        <v>3.702231198049936E-4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9.4970625159711913E-2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2.8808082395781053E-2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3.8511711678302389E-3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3.5633105445183423E-2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7.9374854744920978E-7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1.1210240132586786E-3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5.5694476545823702E-5</v>
      </c>
      <c r="C10" s="423"/>
      <c r="D10" s="425">
        <f>vkm_SW_PW*SUMIFS(TableVerdeelsleutelVkm[CNG],TableVerdeelsleutelVkm[Voertuigtype],"Lichte voertuigen")*SUMIFS(TableECFTransport[EnergieConsumptieFactor (PJ per km)],TableECFTransport[Index],CONCATENATE($A10,"_CNG_CNG"))</f>
        <v>1.0097880061668677E-4</v>
      </c>
      <c r="E10" s="425">
        <f>vkm_SW_PW*SUMIFS(TableVerdeelsleutelVkm[LPG],TableVerdeelsleutelVkm[Voertuigtype],"Lichte voertuigen")*SUMIFS(TableECFTransport[EnergieConsumptieFactor (PJ per km)],TableECFTransport[Index],CONCATENATE($A10,"_LPG_LPG"))</f>
        <v>5.6805892704815447E-4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0.13928265280900279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3.6233208570306902E-2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5.4677533738795425E-3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0.17036724049365631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3.2839189367438085E-6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5.3597692205269044E-3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36.385231452362348</v>
      </c>
      <c r="C14" s="21"/>
      <c r="D14" s="21">
        <f t="shared" ref="D14:M14" si="0">((D5)*10^9/3600)+D12</f>
        <v>75.624845733026206</v>
      </c>
      <c r="E14" s="21">
        <f t="shared" si="0"/>
        <v>367.20923572019075</v>
      </c>
      <c r="F14" s="21"/>
      <c r="G14" s="21">
        <f t="shared" si="0"/>
        <v>173360.8765434348</v>
      </c>
      <c r="H14" s="21">
        <f t="shared" si="0"/>
        <v>26168.997040281301</v>
      </c>
      <c r="I14" s="21"/>
      <c r="J14" s="21"/>
      <c r="K14" s="21"/>
      <c r="L14" s="21"/>
      <c r="M14" s="21">
        <f t="shared" si="0"/>
        <v>6238.1913041851221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0.17751252771301693</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6.4588344065320067</v>
      </c>
      <c r="C18" s="23"/>
      <c r="D18" s="23">
        <f t="shared" ref="D18:M18" si="1">D14*D16</f>
        <v>15.276218838071294</v>
      </c>
      <c r="E18" s="23">
        <f t="shared" si="1"/>
        <v>83.356496508483303</v>
      </c>
      <c r="F18" s="23"/>
      <c r="G18" s="23">
        <f t="shared" si="1"/>
        <v>46287.354037097095</v>
      </c>
      <c r="H18" s="23">
        <f t="shared" si="1"/>
        <v>6516.0802630300441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5.0958022574793911E-3</v>
      </c>
      <c r="H50" s="319">
        <f t="shared" si="2"/>
        <v>0</v>
      </c>
      <c r="I50" s="319">
        <f t="shared" si="2"/>
        <v>0</v>
      </c>
      <c r="J50" s="319">
        <f t="shared" si="2"/>
        <v>0</v>
      </c>
      <c r="K50" s="319">
        <f t="shared" si="2"/>
        <v>0</v>
      </c>
      <c r="L50" s="319">
        <f t="shared" si="2"/>
        <v>0</v>
      </c>
      <c r="M50" s="319">
        <f t="shared" si="2"/>
        <v>1.578608556118067E-4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5.0958022574793911E-3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1.578608556118067E-4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1415.5006270776087</v>
      </c>
      <c r="H54" s="21">
        <f t="shared" si="3"/>
        <v>0</v>
      </c>
      <c r="I54" s="21">
        <f t="shared" si="3"/>
        <v>0</v>
      </c>
      <c r="J54" s="21">
        <f t="shared" si="3"/>
        <v>0</v>
      </c>
      <c r="K54" s="21">
        <f t="shared" si="3"/>
        <v>0</v>
      </c>
      <c r="L54" s="21">
        <f t="shared" si="3"/>
        <v>0</v>
      </c>
      <c r="M54" s="21">
        <f t="shared" si="3"/>
        <v>43.85023766994631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0.17751252771301693</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377.93866742972153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64584.885000000002</v>
      </c>
      <c r="D10" s="978">
        <f ca="1">tertiair!C16</f>
        <v>0</v>
      </c>
      <c r="E10" s="978">
        <f ca="1">tertiair!D16</f>
        <v>95441.255910000007</v>
      </c>
      <c r="F10" s="978">
        <f>tertiair!E16</f>
        <v>1349.7094230176581</v>
      </c>
      <c r="G10" s="978">
        <f ca="1">tertiair!F16</f>
        <v>13406.699121474549</v>
      </c>
      <c r="H10" s="978">
        <f>tertiair!G16</f>
        <v>0</v>
      </c>
      <c r="I10" s="978">
        <f>tertiair!H16</f>
        <v>0</v>
      </c>
      <c r="J10" s="978">
        <f>tertiair!I16</f>
        <v>0</v>
      </c>
      <c r="K10" s="978">
        <f>tertiair!J16</f>
        <v>0</v>
      </c>
      <c r="L10" s="978">
        <f>tertiair!K16</f>
        <v>0</v>
      </c>
      <c r="M10" s="978">
        <f ca="1">tertiair!L16</f>
        <v>0</v>
      </c>
      <c r="N10" s="978">
        <f>tertiair!M16</f>
        <v>0</v>
      </c>
      <c r="O10" s="978">
        <f ca="1">tertiair!N16</f>
        <v>5562.3902744483466</v>
      </c>
      <c r="P10" s="978">
        <f>tertiair!O16</f>
        <v>1.5633333333333335</v>
      </c>
      <c r="Q10" s="979">
        <f>tertiair!P16</f>
        <v>114.4</v>
      </c>
      <c r="R10" s="674">
        <f ca="1">SUM(C10:Q10)</f>
        <v>180460.90306227389</v>
      </c>
      <c r="S10" s="67"/>
    </row>
    <row r="11" spans="1:19" s="447" customFormat="1">
      <c r="A11" s="783" t="s">
        <v>224</v>
      </c>
      <c r="B11" s="788"/>
      <c r="C11" s="978">
        <f>huishoudens!B8</f>
        <v>43461.337757973713</v>
      </c>
      <c r="D11" s="978">
        <f>huishoudens!C8</f>
        <v>0</v>
      </c>
      <c r="E11" s="978">
        <f>huishoudens!D8</f>
        <v>111062.45511530116</v>
      </c>
      <c r="F11" s="978">
        <f>huishoudens!E8</f>
        <v>24733.966173076529</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19765.864391551353</v>
      </c>
      <c r="P11" s="978">
        <f>huishoudens!O8</f>
        <v>412.71999999999997</v>
      </c>
      <c r="Q11" s="979">
        <f>huishoudens!P8</f>
        <v>781.73333333333335</v>
      </c>
      <c r="R11" s="674">
        <f>SUM(C11:Q11)</f>
        <v>200218.07677123611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45260.703000000009</v>
      </c>
      <c r="D13" s="978">
        <f>industrie!C18</f>
        <v>0</v>
      </c>
      <c r="E13" s="978">
        <f>industrie!D18</f>
        <v>72940.599820000003</v>
      </c>
      <c r="F13" s="978">
        <f>industrie!E18</f>
        <v>3579.3576751278997</v>
      </c>
      <c r="G13" s="978">
        <f>industrie!F18</f>
        <v>15321.158001237369</v>
      </c>
      <c r="H13" s="978">
        <f>industrie!G18</f>
        <v>0</v>
      </c>
      <c r="I13" s="978">
        <f>industrie!H18</f>
        <v>0</v>
      </c>
      <c r="J13" s="978">
        <f>industrie!I18</f>
        <v>0</v>
      </c>
      <c r="K13" s="978">
        <f>industrie!J18</f>
        <v>298.31429410377876</v>
      </c>
      <c r="L13" s="978">
        <f>industrie!K18</f>
        <v>0</v>
      </c>
      <c r="M13" s="978">
        <f>industrie!L18</f>
        <v>0</v>
      </c>
      <c r="N13" s="978">
        <f>industrie!M18</f>
        <v>0</v>
      </c>
      <c r="O13" s="978">
        <f>industrie!N18</f>
        <v>3855.6208367988197</v>
      </c>
      <c r="P13" s="978">
        <f>industrie!O18</f>
        <v>0</v>
      </c>
      <c r="Q13" s="979">
        <f>industrie!P18</f>
        <v>0</v>
      </c>
      <c r="R13" s="674">
        <f>SUM(C13:Q13)</f>
        <v>141255.75362726787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153306.92575797372</v>
      </c>
      <c r="D16" s="706">
        <f t="shared" ref="D16:R16" ca="1" si="0">SUM(D9:D15)</f>
        <v>0</v>
      </c>
      <c r="E16" s="706">
        <f t="shared" ca="1" si="0"/>
        <v>279444.31084530114</v>
      </c>
      <c r="F16" s="706">
        <f t="shared" si="0"/>
        <v>29663.033271222088</v>
      </c>
      <c r="G16" s="706">
        <f t="shared" ca="1" si="0"/>
        <v>28727.857122711917</v>
      </c>
      <c r="H16" s="706">
        <f t="shared" si="0"/>
        <v>0</v>
      </c>
      <c r="I16" s="706">
        <f t="shared" si="0"/>
        <v>0</v>
      </c>
      <c r="J16" s="706">
        <f t="shared" si="0"/>
        <v>0</v>
      </c>
      <c r="K16" s="706">
        <f t="shared" si="0"/>
        <v>298.31429410377876</v>
      </c>
      <c r="L16" s="706">
        <f t="shared" si="0"/>
        <v>0</v>
      </c>
      <c r="M16" s="706">
        <f t="shared" ca="1" si="0"/>
        <v>0</v>
      </c>
      <c r="N16" s="706">
        <f t="shared" si="0"/>
        <v>0</v>
      </c>
      <c r="O16" s="706">
        <f t="shared" ca="1" si="0"/>
        <v>29183.875502798517</v>
      </c>
      <c r="P16" s="706">
        <f t="shared" si="0"/>
        <v>414.2833333333333</v>
      </c>
      <c r="Q16" s="706">
        <f t="shared" si="0"/>
        <v>896.13333333333333</v>
      </c>
      <c r="R16" s="706">
        <f t="shared" ca="1" si="0"/>
        <v>521934.7334607779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1415.5006270776087</v>
      </c>
      <c r="I19" s="978">
        <f>transport!H54</f>
        <v>0</v>
      </c>
      <c r="J19" s="978">
        <f>transport!I54</f>
        <v>0</v>
      </c>
      <c r="K19" s="978">
        <f>transport!J54</f>
        <v>0</v>
      </c>
      <c r="L19" s="978">
        <f>transport!K54</f>
        <v>0</v>
      </c>
      <c r="M19" s="978">
        <f>transport!L54</f>
        <v>0</v>
      </c>
      <c r="N19" s="978">
        <f>transport!M54</f>
        <v>43.85023766994631</v>
      </c>
      <c r="O19" s="978">
        <f>transport!N54</f>
        <v>0</v>
      </c>
      <c r="P19" s="978">
        <f>transport!O54</f>
        <v>0</v>
      </c>
      <c r="Q19" s="979">
        <f>transport!P54</f>
        <v>0</v>
      </c>
      <c r="R19" s="674">
        <f>SUM(C19:Q19)</f>
        <v>1459.3508647475551</v>
      </c>
      <c r="S19" s="67"/>
    </row>
    <row r="20" spans="1:19" s="447" customFormat="1">
      <c r="A20" s="783" t="s">
        <v>306</v>
      </c>
      <c r="B20" s="788"/>
      <c r="C20" s="978">
        <f>transport!B14</f>
        <v>36.385231452362348</v>
      </c>
      <c r="D20" s="978">
        <f>transport!C14</f>
        <v>0</v>
      </c>
      <c r="E20" s="978">
        <f>transport!D14</f>
        <v>75.624845733026206</v>
      </c>
      <c r="F20" s="978">
        <f>transport!E14</f>
        <v>367.20923572019075</v>
      </c>
      <c r="G20" s="978">
        <f>transport!F14</f>
        <v>0</v>
      </c>
      <c r="H20" s="978">
        <f>transport!G14</f>
        <v>173360.8765434348</v>
      </c>
      <c r="I20" s="978">
        <f>transport!H14</f>
        <v>26168.997040281301</v>
      </c>
      <c r="J20" s="978">
        <f>transport!I14</f>
        <v>0</v>
      </c>
      <c r="K20" s="978">
        <f>transport!J14</f>
        <v>0</v>
      </c>
      <c r="L20" s="978">
        <f>transport!K14</f>
        <v>0</v>
      </c>
      <c r="M20" s="978">
        <f>transport!L14</f>
        <v>0</v>
      </c>
      <c r="N20" s="978">
        <f>transport!M14</f>
        <v>6238.1913041851221</v>
      </c>
      <c r="O20" s="978">
        <f>transport!N14</f>
        <v>0</v>
      </c>
      <c r="P20" s="978">
        <f>transport!O14</f>
        <v>0</v>
      </c>
      <c r="Q20" s="979">
        <f>transport!P14</f>
        <v>0</v>
      </c>
      <c r="R20" s="674">
        <f>SUM(C20:Q20)</f>
        <v>206247.28420080681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36.385231452362348</v>
      </c>
      <c r="D22" s="786">
        <f t="shared" ref="D22:R22" si="1">SUM(D18:D21)</f>
        <v>0</v>
      </c>
      <c r="E22" s="786">
        <f t="shared" si="1"/>
        <v>75.624845733026206</v>
      </c>
      <c r="F22" s="786">
        <f t="shared" si="1"/>
        <v>367.20923572019075</v>
      </c>
      <c r="G22" s="786">
        <f t="shared" si="1"/>
        <v>0</v>
      </c>
      <c r="H22" s="786">
        <f t="shared" si="1"/>
        <v>174776.37717051242</v>
      </c>
      <c r="I22" s="786">
        <f t="shared" si="1"/>
        <v>26168.997040281301</v>
      </c>
      <c r="J22" s="786">
        <f t="shared" si="1"/>
        <v>0</v>
      </c>
      <c r="K22" s="786">
        <f t="shared" si="1"/>
        <v>0</v>
      </c>
      <c r="L22" s="786">
        <f t="shared" si="1"/>
        <v>0</v>
      </c>
      <c r="M22" s="786">
        <f t="shared" si="1"/>
        <v>0</v>
      </c>
      <c r="N22" s="786">
        <f t="shared" si="1"/>
        <v>6282.0415418550683</v>
      </c>
      <c r="O22" s="786">
        <f t="shared" si="1"/>
        <v>0</v>
      </c>
      <c r="P22" s="786">
        <f t="shared" si="1"/>
        <v>0</v>
      </c>
      <c r="Q22" s="786">
        <f t="shared" si="1"/>
        <v>0</v>
      </c>
      <c r="R22" s="786">
        <f t="shared" si="1"/>
        <v>207706.63506555438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2128.4340000000002</v>
      </c>
      <c r="D24" s="978">
        <f>+landbouw!C8</f>
        <v>29976.428571428572</v>
      </c>
      <c r="E24" s="978">
        <f>+landbouw!D8</f>
        <v>0</v>
      </c>
      <c r="F24" s="978">
        <f>+landbouw!E8</f>
        <v>54.884140618271744</v>
      </c>
      <c r="G24" s="978">
        <f>+landbouw!F8</f>
        <v>7779.8316105650147</v>
      </c>
      <c r="H24" s="978">
        <f>+landbouw!G8</f>
        <v>0</v>
      </c>
      <c r="I24" s="978">
        <f>+landbouw!H8</f>
        <v>0</v>
      </c>
      <c r="J24" s="978">
        <f>+landbouw!I8</f>
        <v>0</v>
      </c>
      <c r="K24" s="978">
        <f>+landbouw!J8</f>
        <v>306.41619802833719</v>
      </c>
      <c r="L24" s="978">
        <f>+landbouw!K8</f>
        <v>0</v>
      </c>
      <c r="M24" s="978">
        <f>+landbouw!L8</f>
        <v>0</v>
      </c>
      <c r="N24" s="978">
        <f>+landbouw!M8</f>
        <v>0</v>
      </c>
      <c r="O24" s="978">
        <f>+landbouw!N8</f>
        <v>0</v>
      </c>
      <c r="P24" s="978">
        <f>+landbouw!O8</f>
        <v>0</v>
      </c>
      <c r="Q24" s="979">
        <f>+landbouw!P8</f>
        <v>0</v>
      </c>
      <c r="R24" s="674">
        <f>SUM(C24:Q24)</f>
        <v>40245.994520640197</v>
      </c>
      <c r="S24" s="67"/>
    </row>
    <row r="25" spans="1:19" s="447" customFormat="1" ht="15" thickBot="1">
      <c r="A25" s="805" t="s">
        <v>834</v>
      </c>
      <c r="B25" s="981"/>
      <c r="C25" s="982">
        <f>IF(Onbekend_ele_kWh="---",0,Onbekend_ele_kWh)/1000+IF(REST_rest_ele_kWh="---",0,REST_rest_ele_kWh)/1000</f>
        <v>1192.9369999999999</v>
      </c>
      <c r="D25" s="982"/>
      <c r="E25" s="982">
        <f>IF(onbekend_gas_kWh="---",0,onbekend_gas_kWh)/1000+IF(REST_rest_gas_kWh="---",0,REST_rest_gas_kWh)/1000</f>
        <v>2469.413</v>
      </c>
      <c r="F25" s="982"/>
      <c r="G25" s="982"/>
      <c r="H25" s="982"/>
      <c r="I25" s="982"/>
      <c r="J25" s="982"/>
      <c r="K25" s="982"/>
      <c r="L25" s="982"/>
      <c r="M25" s="982"/>
      <c r="N25" s="982"/>
      <c r="O25" s="982"/>
      <c r="P25" s="982"/>
      <c r="Q25" s="983"/>
      <c r="R25" s="674">
        <f>SUM(C25:Q25)</f>
        <v>3662.35</v>
      </c>
      <c r="S25" s="67"/>
    </row>
    <row r="26" spans="1:19" s="447" customFormat="1" ht="15.75" thickBot="1">
      <c r="A26" s="679" t="s">
        <v>835</v>
      </c>
      <c r="B26" s="791"/>
      <c r="C26" s="786">
        <f>SUM(C24:C25)</f>
        <v>3321.3710000000001</v>
      </c>
      <c r="D26" s="786">
        <f t="shared" ref="D26:R26" si="2">SUM(D24:D25)</f>
        <v>29976.428571428572</v>
      </c>
      <c r="E26" s="786">
        <f t="shared" si="2"/>
        <v>2469.413</v>
      </c>
      <c r="F26" s="786">
        <f t="shared" si="2"/>
        <v>54.884140618271744</v>
      </c>
      <c r="G26" s="786">
        <f t="shared" si="2"/>
        <v>7779.8316105650147</v>
      </c>
      <c r="H26" s="786">
        <f t="shared" si="2"/>
        <v>0</v>
      </c>
      <c r="I26" s="786">
        <f t="shared" si="2"/>
        <v>0</v>
      </c>
      <c r="J26" s="786">
        <f t="shared" si="2"/>
        <v>0</v>
      </c>
      <c r="K26" s="786">
        <f t="shared" si="2"/>
        <v>306.41619802833719</v>
      </c>
      <c r="L26" s="786">
        <f t="shared" si="2"/>
        <v>0</v>
      </c>
      <c r="M26" s="786">
        <f t="shared" si="2"/>
        <v>0</v>
      </c>
      <c r="N26" s="786">
        <f t="shared" si="2"/>
        <v>0</v>
      </c>
      <c r="O26" s="786">
        <f t="shared" si="2"/>
        <v>0</v>
      </c>
      <c r="P26" s="786">
        <f t="shared" si="2"/>
        <v>0</v>
      </c>
      <c r="Q26" s="786">
        <f t="shared" si="2"/>
        <v>0</v>
      </c>
      <c r="R26" s="786">
        <f t="shared" si="2"/>
        <v>43908.344520640196</v>
      </c>
      <c r="S26" s="67"/>
    </row>
    <row r="27" spans="1:19" s="447" customFormat="1" ht="17.25" thickTop="1" thickBot="1">
      <c r="A27" s="680" t="s">
        <v>115</v>
      </c>
      <c r="B27" s="779"/>
      <c r="C27" s="681">
        <f ca="1">C22+C16+C26</f>
        <v>156664.68198942608</v>
      </c>
      <c r="D27" s="681">
        <f t="shared" ref="D27:R27" ca="1" si="3">D22+D16+D26</f>
        <v>29976.428571428572</v>
      </c>
      <c r="E27" s="681">
        <f t="shared" ca="1" si="3"/>
        <v>281989.34869103419</v>
      </c>
      <c r="F27" s="681">
        <f t="shared" si="3"/>
        <v>30085.126647560552</v>
      </c>
      <c r="G27" s="681">
        <f t="shared" ca="1" si="3"/>
        <v>36507.688733276933</v>
      </c>
      <c r="H27" s="681">
        <f t="shared" si="3"/>
        <v>174776.37717051242</v>
      </c>
      <c r="I27" s="681">
        <f t="shared" si="3"/>
        <v>26168.997040281301</v>
      </c>
      <c r="J27" s="681">
        <f t="shared" si="3"/>
        <v>0</v>
      </c>
      <c r="K27" s="681">
        <f t="shared" si="3"/>
        <v>604.73049213211596</v>
      </c>
      <c r="L27" s="681">
        <f t="shared" si="3"/>
        <v>0</v>
      </c>
      <c r="M27" s="681">
        <f t="shared" ca="1" si="3"/>
        <v>0</v>
      </c>
      <c r="N27" s="681">
        <f t="shared" si="3"/>
        <v>6282.0415418550683</v>
      </c>
      <c r="O27" s="681">
        <f t="shared" ca="1" si="3"/>
        <v>29183.875502798517</v>
      </c>
      <c r="P27" s="681">
        <f t="shared" si="3"/>
        <v>414.2833333333333</v>
      </c>
      <c r="Q27" s="681">
        <f t="shared" si="3"/>
        <v>896.13333333333333</v>
      </c>
      <c r="R27" s="681">
        <f t="shared" ca="1" si="3"/>
        <v>773549.71304697252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11464.626188404513</v>
      </c>
      <c r="D40" s="978">
        <f ca="1">tertiair!C20</f>
        <v>0</v>
      </c>
      <c r="E40" s="978">
        <f ca="1">tertiair!D20</f>
        <v>19279.133693820004</v>
      </c>
      <c r="F40" s="978">
        <f>tertiair!E20</f>
        <v>306.38403902500841</v>
      </c>
      <c r="G40" s="978">
        <f ca="1">tertiair!F20</f>
        <v>3579.5886654337046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34629.732586683225</v>
      </c>
    </row>
    <row r="41" spans="1:18">
      <c r="A41" s="796" t="s">
        <v>224</v>
      </c>
      <c r="B41" s="803"/>
      <c r="C41" s="978">
        <f ca="1">huishoudens!B12</f>
        <v>7714.9319232070975</v>
      </c>
      <c r="D41" s="978">
        <f ca="1">huishoudens!C12</f>
        <v>0</v>
      </c>
      <c r="E41" s="978">
        <f>huishoudens!D12</f>
        <v>22434.615933290836</v>
      </c>
      <c r="F41" s="978">
        <f>huishoudens!E12</f>
        <v>5614.6103212883727</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35764.15817778631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8034.3417955981295</v>
      </c>
      <c r="D43" s="978">
        <f ca="1">industrie!C22</f>
        <v>0</v>
      </c>
      <c r="E43" s="978">
        <f>industrie!D22</f>
        <v>14734.001163640001</v>
      </c>
      <c r="F43" s="978">
        <f>industrie!E22</f>
        <v>812.51419225403322</v>
      </c>
      <c r="G43" s="978">
        <f>industrie!F22</f>
        <v>4090.7491863303776</v>
      </c>
      <c r="H43" s="978">
        <f>industrie!G22</f>
        <v>0</v>
      </c>
      <c r="I43" s="978">
        <f>industrie!H22</f>
        <v>0</v>
      </c>
      <c r="J43" s="978">
        <f>industrie!I22</f>
        <v>0</v>
      </c>
      <c r="K43" s="978">
        <f>industrie!J22</f>
        <v>105.60326011273767</v>
      </c>
      <c r="L43" s="978">
        <f>industrie!K22</f>
        <v>0</v>
      </c>
      <c r="M43" s="978">
        <f>industrie!L22</f>
        <v>0</v>
      </c>
      <c r="N43" s="978">
        <f>industrie!M22</f>
        <v>0</v>
      </c>
      <c r="O43" s="978">
        <f>industrie!N22</f>
        <v>0</v>
      </c>
      <c r="P43" s="978">
        <f>industrie!O22</f>
        <v>0</v>
      </c>
      <c r="Q43" s="748">
        <f>industrie!P22</f>
        <v>0</v>
      </c>
      <c r="R43" s="823">
        <f t="shared" ca="1" si="4"/>
        <v>27777.209597935274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27213.899907209736</v>
      </c>
      <c r="D46" s="706">
        <f t="shared" ref="D46:Q46" ca="1" si="5">SUM(D39:D45)</f>
        <v>0</v>
      </c>
      <c r="E46" s="706">
        <f t="shared" ca="1" si="5"/>
        <v>56447.750790750841</v>
      </c>
      <c r="F46" s="706">
        <f t="shared" si="5"/>
        <v>6733.5085525674149</v>
      </c>
      <c r="G46" s="706">
        <f t="shared" ca="1" si="5"/>
        <v>7670.3378517640822</v>
      </c>
      <c r="H46" s="706">
        <f t="shared" si="5"/>
        <v>0</v>
      </c>
      <c r="I46" s="706">
        <f t="shared" si="5"/>
        <v>0</v>
      </c>
      <c r="J46" s="706">
        <f t="shared" si="5"/>
        <v>0</v>
      </c>
      <c r="K46" s="706">
        <f t="shared" si="5"/>
        <v>105.60326011273767</v>
      </c>
      <c r="L46" s="706">
        <f t="shared" si="5"/>
        <v>0</v>
      </c>
      <c r="M46" s="706">
        <f t="shared" ca="1" si="5"/>
        <v>0</v>
      </c>
      <c r="N46" s="706">
        <f t="shared" si="5"/>
        <v>0</v>
      </c>
      <c r="O46" s="706">
        <f t="shared" ca="1" si="5"/>
        <v>0</v>
      </c>
      <c r="P46" s="706">
        <f t="shared" si="5"/>
        <v>0</v>
      </c>
      <c r="Q46" s="706">
        <f t="shared" si="5"/>
        <v>0</v>
      </c>
      <c r="R46" s="706">
        <f ca="1">SUM(R39:R45)</f>
        <v>98171.100362404817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377.93866742972153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377.93866742972153</v>
      </c>
    </row>
    <row r="50" spans="1:18">
      <c r="A50" s="799" t="s">
        <v>306</v>
      </c>
      <c r="B50" s="809"/>
      <c r="C50" s="677">
        <f ca="1">transport!B18</f>
        <v>6.4588344065320067</v>
      </c>
      <c r="D50" s="677">
        <f>transport!C18</f>
        <v>0</v>
      </c>
      <c r="E50" s="677">
        <f>transport!D18</f>
        <v>15.276218838071294</v>
      </c>
      <c r="F50" s="677">
        <f>transport!E18</f>
        <v>83.356496508483303</v>
      </c>
      <c r="G50" s="677">
        <f>transport!F18</f>
        <v>0</v>
      </c>
      <c r="H50" s="677">
        <f>transport!G18</f>
        <v>46287.354037097095</v>
      </c>
      <c r="I50" s="677">
        <f>transport!H18</f>
        <v>6516.0802630300441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52908.525849880229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6.4588344065320067</v>
      </c>
      <c r="D52" s="706">
        <f t="shared" ref="D52:Q52" ca="1" si="6">SUM(D48:D51)</f>
        <v>0</v>
      </c>
      <c r="E52" s="706">
        <f t="shared" si="6"/>
        <v>15.276218838071294</v>
      </c>
      <c r="F52" s="706">
        <f t="shared" si="6"/>
        <v>83.356496508483303</v>
      </c>
      <c r="G52" s="706">
        <f t="shared" si="6"/>
        <v>0</v>
      </c>
      <c r="H52" s="706">
        <f t="shared" si="6"/>
        <v>46665.292704526815</v>
      </c>
      <c r="I52" s="706">
        <f t="shared" si="6"/>
        <v>6516.0802630300441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53286.464517309949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377.82369941032749</v>
      </c>
      <c r="D54" s="677">
        <f ca="1">+landbouw!C12</f>
        <v>6303.4184873949598</v>
      </c>
      <c r="E54" s="677">
        <f>+landbouw!D12</f>
        <v>0</v>
      </c>
      <c r="F54" s="677">
        <f>+landbouw!E12</f>
        <v>12.458699920347685</v>
      </c>
      <c r="G54" s="677">
        <f>+landbouw!F12</f>
        <v>2077.2150400208589</v>
      </c>
      <c r="H54" s="677">
        <f>+landbouw!G12</f>
        <v>0</v>
      </c>
      <c r="I54" s="677">
        <f>+landbouw!H12</f>
        <v>0</v>
      </c>
      <c r="J54" s="677">
        <f>+landbouw!I12</f>
        <v>0</v>
      </c>
      <c r="K54" s="677">
        <f>+landbouw!J12</f>
        <v>108.47133410203136</v>
      </c>
      <c r="L54" s="677">
        <f>+landbouw!K12</f>
        <v>0</v>
      </c>
      <c r="M54" s="677">
        <f>+landbouw!L12</f>
        <v>0</v>
      </c>
      <c r="N54" s="677">
        <f>+landbouw!M12</f>
        <v>0</v>
      </c>
      <c r="O54" s="677">
        <f>+landbouw!N12</f>
        <v>0</v>
      </c>
      <c r="P54" s="677">
        <f>+landbouw!O12</f>
        <v>0</v>
      </c>
      <c r="Q54" s="678">
        <f>+landbouw!P12</f>
        <v>0</v>
      </c>
      <c r="R54" s="705">
        <f ca="1">SUM(C54:Q54)</f>
        <v>8879.3872608485235</v>
      </c>
    </row>
    <row r="55" spans="1:18" ht="15" thickBot="1">
      <c r="A55" s="799" t="s">
        <v>834</v>
      </c>
      <c r="B55" s="809"/>
      <c r="C55" s="677">
        <f ca="1">C25*'EF ele_warmte'!B12</f>
        <v>211.76126227238325</v>
      </c>
      <c r="D55" s="677"/>
      <c r="E55" s="677">
        <f>E25*EF_CO2_aardgas</f>
        <v>498.82142600000003</v>
      </c>
      <c r="F55" s="677"/>
      <c r="G55" s="677"/>
      <c r="H55" s="677"/>
      <c r="I55" s="677"/>
      <c r="J55" s="677"/>
      <c r="K55" s="677"/>
      <c r="L55" s="677"/>
      <c r="M55" s="677"/>
      <c r="N55" s="677"/>
      <c r="O55" s="677"/>
      <c r="P55" s="677"/>
      <c r="Q55" s="678"/>
      <c r="R55" s="705">
        <f ca="1">SUM(C55:Q55)</f>
        <v>710.58268827238328</v>
      </c>
    </row>
    <row r="56" spans="1:18" ht="15.75" thickBot="1">
      <c r="A56" s="797" t="s">
        <v>835</v>
      </c>
      <c r="B56" s="810"/>
      <c r="C56" s="706">
        <f ca="1">SUM(C54:C55)</f>
        <v>589.58496168271074</v>
      </c>
      <c r="D56" s="706">
        <f t="shared" ref="D56:Q56" ca="1" si="7">SUM(D54:D55)</f>
        <v>6303.4184873949598</v>
      </c>
      <c r="E56" s="706">
        <f t="shared" si="7"/>
        <v>498.82142600000003</v>
      </c>
      <c r="F56" s="706">
        <f t="shared" si="7"/>
        <v>12.458699920347685</v>
      </c>
      <c r="G56" s="706">
        <f t="shared" si="7"/>
        <v>2077.2150400208589</v>
      </c>
      <c r="H56" s="706">
        <f t="shared" si="7"/>
        <v>0</v>
      </c>
      <c r="I56" s="706">
        <f t="shared" si="7"/>
        <v>0</v>
      </c>
      <c r="J56" s="706">
        <f t="shared" si="7"/>
        <v>0</v>
      </c>
      <c r="K56" s="706">
        <f t="shared" si="7"/>
        <v>108.47133410203136</v>
      </c>
      <c r="L56" s="706">
        <f t="shared" si="7"/>
        <v>0</v>
      </c>
      <c r="M56" s="706">
        <f t="shared" si="7"/>
        <v>0</v>
      </c>
      <c r="N56" s="706">
        <f t="shared" si="7"/>
        <v>0</v>
      </c>
      <c r="O56" s="706">
        <f t="shared" si="7"/>
        <v>0</v>
      </c>
      <c r="P56" s="706">
        <f t="shared" si="7"/>
        <v>0</v>
      </c>
      <c r="Q56" s="707">
        <f t="shared" si="7"/>
        <v>0</v>
      </c>
      <c r="R56" s="708">
        <f ca="1">SUM(R54:R55)</f>
        <v>9589.9699491209067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27809.943703298977</v>
      </c>
      <c r="D61" s="714">
        <f t="shared" ref="D61:Q61" ca="1" si="8">D46+D52+D56</f>
        <v>6303.4184873949598</v>
      </c>
      <c r="E61" s="714">
        <f t="shared" ca="1" si="8"/>
        <v>56961.848435588916</v>
      </c>
      <c r="F61" s="714">
        <f t="shared" si="8"/>
        <v>6829.3237489962457</v>
      </c>
      <c r="G61" s="714">
        <f t="shared" ca="1" si="8"/>
        <v>9747.5528917849406</v>
      </c>
      <c r="H61" s="714">
        <f t="shared" si="8"/>
        <v>46665.292704526815</v>
      </c>
      <c r="I61" s="714">
        <f t="shared" si="8"/>
        <v>6516.0802630300441</v>
      </c>
      <c r="J61" s="714">
        <f t="shared" si="8"/>
        <v>0</v>
      </c>
      <c r="K61" s="714">
        <f t="shared" si="8"/>
        <v>214.07459421476904</v>
      </c>
      <c r="L61" s="714">
        <f t="shared" si="8"/>
        <v>0</v>
      </c>
      <c r="M61" s="714">
        <f t="shared" ca="1" si="8"/>
        <v>0</v>
      </c>
      <c r="N61" s="714">
        <f t="shared" si="8"/>
        <v>0</v>
      </c>
      <c r="O61" s="714">
        <f t="shared" ca="1" si="8"/>
        <v>0</v>
      </c>
      <c r="P61" s="714">
        <f t="shared" si="8"/>
        <v>0</v>
      </c>
      <c r="Q61" s="714">
        <f t="shared" si="8"/>
        <v>0</v>
      </c>
      <c r="R61" s="714">
        <f ca="1">R46+R52+R56</f>
        <v>161047.53482883569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0.1775125277130169</v>
      </c>
      <c r="D63" s="755">
        <f t="shared" ca="1" si="9"/>
        <v>0.21027916892684595</v>
      </c>
      <c r="E63" s="989">
        <f t="shared" ca="1" si="9"/>
        <v>0.20200000000000004</v>
      </c>
      <c r="F63" s="755">
        <f t="shared" si="9"/>
        <v>0.22700000000000001</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10759.492899636165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17709.418672945994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2416.5000000000005</v>
      </c>
      <c r="C76" s="724">
        <f>'lokale energieproductie'!B8*IFERROR(SUM(D76:H76)/SUM(D76:O76),0)</f>
        <v>18567</v>
      </c>
      <c r="D76" s="999">
        <f>'lokale energieproductie'!C8</f>
        <v>21843.529411764706</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2842.9411764705883</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4412.3929411764711</v>
      </c>
      <c r="R76" s="826">
        <v>0</v>
      </c>
    </row>
    <row r="77" spans="1:18" ht="30.75" thickBot="1">
      <c r="A77" s="727" t="s">
        <v>352</v>
      </c>
      <c r="B77" s="724">
        <f>'lokale energieproductie'!B9*IFERROR(SUM(I77:O77)/SUM(D77:O77),0)</f>
        <v>1341</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3831.4285714285716</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32226.411572582161</v>
      </c>
      <c r="C78" s="729">
        <f>SUM(C72:C77)</f>
        <v>18567</v>
      </c>
      <c r="D78" s="730">
        <f t="shared" ref="D78:H78" si="10">SUM(D76:D77)</f>
        <v>21843.529411764706</v>
      </c>
      <c r="E78" s="730">
        <f t="shared" si="10"/>
        <v>0</v>
      </c>
      <c r="F78" s="730">
        <f t="shared" si="10"/>
        <v>0</v>
      </c>
      <c r="G78" s="730">
        <f t="shared" si="10"/>
        <v>0</v>
      </c>
      <c r="H78" s="730">
        <f t="shared" si="10"/>
        <v>0</v>
      </c>
      <c r="I78" s="730">
        <f>SUM(I76:I77)</f>
        <v>0</v>
      </c>
      <c r="J78" s="730">
        <f>SUM(J76:J77)</f>
        <v>6674.3697478991598</v>
      </c>
      <c r="K78" s="730">
        <f t="shared" ref="K78:L78" si="11">SUM(K76:K77)</f>
        <v>0</v>
      </c>
      <c r="L78" s="730">
        <f t="shared" si="11"/>
        <v>0</v>
      </c>
      <c r="M78" s="730">
        <f>SUM(M76:M77)</f>
        <v>0</v>
      </c>
      <c r="N78" s="730">
        <f>SUM(N76:N77)</f>
        <v>0</v>
      </c>
      <c r="O78" s="834">
        <f>SUM(O76:O77)</f>
        <v>0</v>
      </c>
      <c r="P78" s="731">
        <v>0</v>
      </c>
      <c r="Q78" s="731">
        <f>SUM(Q76:Q77)</f>
        <v>4412.3929411764711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3452.1428571428569</v>
      </c>
      <c r="C87" s="740">
        <f>'lokale energieproductie'!B17*IFERROR(SUM(D87:H87)/SUM(D87:O87),0)</f>
        <v>26524.285714285714</v>
      </c>
      <c r="D87" s="751">
        <f>'lokale energieproductie'!C17</f>
        <v>31205.042016806728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4061.3445378151264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6303.4184873949598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3452.1428571428569</v>
      </c>
      <c r="C90" s="729">
        <f>SUM(C87:C89)</f>
        <v>26524.285714285714</v>
      </c>
      <c r="D90" s="729">
        <f t="shared" ref="D90:H90" si="12">SUM(D87:D89)</f>
        <v>31205.042016806728</v>
      </c>
      <c r="E90" s="729">
        <f t="shared" si="12"/>
        <v>0</v>
      </c>
      <c r="F90" s="729">
        <f t="shared" si="12"/>
        <v>0</v>
      </c>
      <c r="G90" s="729">
        <f t="shared" si="12"/>
        <v>0</v>
      </c>
      <c r="H90" s="729">
        <f t="shared" si="12"/>
        <v>0</v>
      </c>
      <c r="I90" s="729">
        <f>SUM(I87:I89)</f>
        <v>0</v>
      </c>
      <c r="J90" s="729">
        <f>SUM(J87:J89)</f>
        <v>4061.3445378151264</v>
      </c>
      <c r="K90" s="729">
        <f t="shared" ref="K90:L90" si="13">SUM(K87:K89)</f>
        <v>0</v>
      </c>
      <c r="L90" s="729">
        <f t="shared" si="13"/>
        <v>0</v>
      </c>
      <c r="M90" s="729">
        <f>SUM(M87:M89)</f>
        <v>0</v>
      </c>
      <c r="N90" s="729">
        <f>SUM(N87:N89)</f>
        <v>0</v>
      </c>
      <c r="O90" s="729">
        <f>SUM(O87:O89)</f>
        <v>0</v>
      </c>
      <c r="P90" s="729">
        <v>0</v>
      </c>
      <c r="Q90" s="729">
        <f>SUM(Q87:Q89)</f>
        <v>6303.4184873949598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10759.492899636165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17709.418672945994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20983.5</v>
      </c>
      <c r="C8" s="544">
        <f>B51</f>
        <v>21843.529411764706</v>
      </c>
      <c r="D8" s="1009"/>
      <c r="E8" s="1009">
        <f>E51</f>
        <v>0</v>
      </c>
      <c r="F8" s="1010"/>
      <c r="G8" s="545"/>
      <c r="H8" s="1009">
        <f>I51</f>
        <v>0</v>
      </c>
      <c r="I8" s="1009">
        <f>G51+F51</f>
        <v>0</v>
      </c>
      <c r="J8" s="1009">
        <f>H51+D51+C51</f>
        <v>2842.9411764705883</v>
      </c>
      <c r="K8" s="1009"/>
      <c r="L8" s="1009"/>
      <c r="M8" s="1009"/>
      <c r="N8" s="546"/>
      <c r="O8" s="547">
        <f>C8*$C$12+D8*$D$12+E8*$E$12+F8*$F$12+G8*$G$12+H8*$H$12+I8*$I$12+J8*$J$12</f>
        <v>4412.3929411764711</v>
      </c>
      <c r="P8" s="1239"/>
      <c r="Q8" s="1240"/>
      <c r="S8" s="973"/>
      <c r="T8" s="1260"/>
      <c r="U8" s="1260"/>
    </row>
    <row r="9" spans="1:21" s="533" customFormat="1" ht="17.45" customHeight="1" thickBot="1">
      <c r="A9" s="548" t="s">
        <v>247</v>
      </c>
      <c r="B9" s="549">
        <f>N39+'Eigen informatie GS &amp; warmtenet'!B12</f>
        <v>1341</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50793.411572582161</v>
      </c>
      <c r="C10" s="557">
        <f t="shared" ref="C10:L10" si="0">SUM(C8:C9)</f>
        <v>21843.529411764706</v>
      </c>
      <c r="D10" s="557">
        <f t="shared" si="0"/>
        <v>0</v>
      </c>
      <c r="E10" s="557">
        <f t="shared" si="0"/>
        <v>0</v>
      </c>
      <c r="F10" s="557">
        <f t="shared" si="0"/>
        <v>0</v>
      </c>
      <c r="G10" s="557">
        <f t="shared" si="0"/>
        <v>0</v>
      </c>
      <c r="H10" s="557">
        <f t="shared" si="0"/>
        <v>0</v>
      </c>
      <c r="I10" s="557">
        <f t="shared" si="0"/>
        <v>0</v>
      </c>
      <c r="J10" s="557">
        <f t="shared" si="0"/>
        <v>6674.3697478991598</v>
      </c>
      <c r="K10" s="557">
        <f t="shared" si="0"/>
        <v>0</v>
      </c>
      <c r="L10" s="557">
        <f t="shared" si="0"/>
        <v>0</v>
      </c>
      <c r="M10" s="1012"/>
      <c r="N10" s="1012"/>
      <c r="O10" s="558">
        <f>SUM(O4:O9)</f>
        <v>4412.3929411764711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29976.428571428572</v>
      </c>
      <c r="C17" s="569">
        <f>B52</f>
        <v>31205.042016806728</v>
      </c>
      <c r="D17" s="570"/>
      <c r="E17" s="570">
        <f>E52</f>
        <v>0</v>
      </c>
      <c r="F17" s="1015"/>
      <c r="G17" s="571"/>
      <c r="H17" s="569">
        <f>I52</f>
        <v>0</v>
      </c>
      <c r="I17" s="570">
        <f>G52+F52</f>
        <v>0</v>
      </c>
      <c r="J17" s="570">
        <f>H52+D52+C52</f>
        <v>4061.3445378151264</v>
      </c>
      <c r="K17" s="570"/>
      <c r="L17" s="570"/>
      <c r="M17" s="570"/>
      <c r="N17" s="1016"/>
      <c r="O17" s="572">
        <f>C17*$C$22+E17*$E$22+H17*$H$22+I17*$I$22+J17*$J$22+D17*$D$22+F17*$F$22+G17*$G$22+K17*$K$22+L17*$L$22</f>
        <v>6303.4184873949598</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29976.428571428572</v>
      </c>
      <c r="C20" s="556">
        <f>SUM(C17:C19)</f>
        <v>31205.042016806728</v>
      </c>
      <c r="D20" s="556">
        <f t="shared" ref="D20:L20" si="1">SUM(D17:D19)</f>
        <v>0</v>
      </c>
      <c r="E20" s="556">
        <f t="shared" si="1"/>
        <v>0</v>
      </c>
      <c r="F20" s="556">
        <f t="shared" si="1"/>
        <v>0</v>
      </c>
      <c r="G20" s="556">
        <f t="shared" si="1"/>
        <v>0</v>
      </c>
      <c r="H20" s="556">
        <f t="shared" si="1"/>
        <v>0</v>
      </c>
      <c r="I20" s="556">
        <f t="shared" si="1"/>
        <v>0</v>
      </c>
      <c r="J20" s="556">
        <f t="shared" si="1"/>
        <v>4061.3445378151264</v>
      </c>
      <c r="K20" s="556">
        <f t="shared" si="1"/>
        <v>0</v>
      </c>
      <c r="L20" s="556">
        <f t="shared" si="1"/>
        <v>0</v>
      </c>
      <c r="M20" s="556"/>
      <c r="N20" s="556"/>
      <c r="O20" s="575">
        <f>SUM(O17:O19)</f>
        <v>6303.4184873949598</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34013</v>
      </c>
      <c r="C28" s="770">
        <v>8531</v>
      </c>
      <c r="D28" s="627" t="s">
        <v>896</v>
      </c>
      <c r="E28" s="626" t="s">
        <v>897</v>
      </c>
      <c r="F28" s="626" t="s">
        <v>898</v>
      </c>
      <c r="G28" s="626" t="s">
        <v>899</v>
      </c>
      <c r="H28" s="626" t="s">
        <v>900</v>
      </c>
      <c r="I28" s="626" t="s">
        <v>897</v>
      </c>
      <c r="J28" s="769">
        <v>39652</v>
      </c>
      <c r="K28" s="769">
        <v>39652</v>
      </c>
      <c r="L28" s="626" t="s">
        <v>901</v>
      </c>
      <c r="M28" s="626">
        <v>2000</v>
      </c>
      <c r="N28" s="626">
        <v>9000</v>
      </c>
      <c r="O28" s="626">
        <v>12857.142857142857</v>
      </c>
      <c r="P28" s="626">
        <v>25714.285714285717</v>
      </c>
      <c r="Q28" s="626">
        <v>0</v>
      </c>
      <c r="R28" s="626">
        <v>0</v>
      </c>
      <c r="S28" s="626">
        <v>0</v>
      </c>
      <c r="T28" s="626">
        <v>0</v>
      </c>
      <c r="U28" s="626">
        <v>0</v>
      </c>
      <c r="V28" s="626">
        <v>0</v>
      </c>
      <c r="W28" s="626">
        <v>0</v>
      </c>
      <c r="X28" s="626">
        <v>10</v>
      </c>
      <c r="Y28" s="626" t="s">
        <v>111</v>
      </c>
      <c r="Z28" s="628" t="s">
        <v>111</v>
      </c>
    </row>
    <row r="29" spans="1:26" s="580" customFormat="1" ht="38.25">
      <c r="A29" s="579"/>
      <c r="B29" s="770">
        <v>34013</v>
      </c>
      <c r="C29" s="770">
        <v>8531</v>
      </c>
      <c r="D29" s="627" t="s">
        <v>902</v>
      </c>
      <c r="E29" s="626" t="s">
        <v>903</v>
      </c>
      <c r="F29" s="626" t="s">
        <v>904</v>
      </c>
      <c r="G29" s="626" t="s">
        <v>899</v>
      </c>
      <c r="H29" s="626" t="s">
        <v>900</v>
      </c>
      <c r="I29" s="626" t="s">
        <v>905</v>
      </c>
      <c r="J29" s="769">
        <v>40345</v>
      </c>
      <c r="K29" s="769">
        <v>40345</v>
      </c>
      <c r="L29" s="626" t="s">
        <v>901</v>
      </c>
      <c r="M29" s="626">
        <v>2056</v>
      </c>
      <c r="N29" s="626">
        <v>9252</v>
      </c>
      <c r="O29" s="626">
        <v>13217.142857142857</v>
      </c>
      <c r="P29" s="626">
        <v>26434.285714285717</v>
      </c>
      <c r="Q29" s="626">
        <v>0</v>
      </c>
      <c r="R29" s="626">
        <v>0</v>
      </c>
      <c r="S29" s="626">
        <v>0</v>
      </c>
      <c r="T29" s="626">
        <v>0</v>
      </c>
      <c r="U29" s="626">
        <v>0</v>
      </c>
      <c r="V29" s="626">
        <v>0</v>
      </c>
      <c r="W29" s="626">
        <v>0</v>
      </c>
      <c r="X29" s="626">
        <v>10</v>
      </c>
      <c r="Y29" s="626" t="s">
        <v>111</v>
      </c>
      <c r="Z29" s="628" t="s">
        <v>111</v>
      </c>
    </row>
    <row r="30" spans="1:26" s="580" customFormat="1" ht="25.5">
      <c r="A30" s="579"/>
      <c r="B30" s="770">
        <v>34013</v>
      </c>
      <c r="C30" s="770">
        <v>8530</v>
      </c>
      <c r="D30" s="627" t="s">
        <v>906</v>
      </c>
      <c r="E30" s="626" t="s">
        <v>907</v>
      </c>
      <c r="F30" s="626" t="s">
        <v>908</v>
      </c>
      <c r="G30" s="626" t="s">
        <v>899</v>
      </c>
      <c r="H30" s="626" t="s">
        <v>900</v>
      </c>
      <c r="I30" s="626" t="s">
        <v>909</v>
      </c>
      <c r="J30" s="769">
        <v>39436</v>
      </c>
      <c r="K30" s="769">
        <v>40974</v>
      </c>
      <c r="L30" s="626" t="s">
        <v>901</v>
      </c>
      <c r="M30" s="626">
        <v>537</v>
      </c>
      <c r="N30" s="626">
        <v>2416.5</v>
      </c>
      <c r="O30" s="626">
        <v>3452.1428571428573</v>
      </c>
      <c r="P30" s="626">
        <v>0</v>
      </c>
      <c r="Q30" s="626">
        <v>6904.2857142857147</v>
      </c>
      <c r="R30" s="626">
        <v>0</v>
      </c>
      <c r="S30" s="626">
        <v>0</v>
      </c>
      <c r="T30" s="626">
        <v>0</v>
      </c>
      <c r="U30" s="626">
        <v>0</v>
      </c>
      <c r="V30" s="626">
        <v>0</v>
      </c>
      <c r="W30" s="626">
        <v>0</v>
      </c>
      <c r="X30" s="626">
        <v>10</v>
      </c>
      <c r="Y30" s="626" t="s">
        <v>111</v>
      </c>
      <c r="Z30" s="628" t="s">
        <v>111</v>
      </c>
    </row>
    <row r="31" spans="1:26" s="580" customFormat="1" ht="25.5">
      <c r="A31" s="579"/>
      <c r="B31" s="770">
        <v>34013</v>
      </c>
      <c r="C31" s="770">
        <v>8530</v>
      </c>
      <c r="D31" s="627" t="s">
        <v>910</v>
      </c>
      <c r="E31" s="626" t="s">
        <v>911</v>
      </c>
      <c r="F31" s="626" t="s">
        <v>912</v>
      </c>
      <c r="G31" s="626" t="s">
        <v>899</v>
      </c>
      <c r="H31" s="626" t="s">
        <v>900</v>
      </c>
      <c r="I31" s="626" t="s">
        <v>913</v>
      </c>
      <c r="J31" s="769">
        <v>41253</v>
      </c>
      <c r="K31" s="769">
        <v>41037</v>
      </c>
      <c r="L31" s="626" t="s">
        <v>901</v>
      </c>
      <c r="M31" s="626">
        <v>70</v>
      </c>
      <c r="N31" s="626">
        <v>315.00000000000006</v>
      </c>
      <c r="O31" s="626">
        <v>450.00000000000011</v>
      </c>
      <c r="P31" s="626">
        <v>900.00000000000023</v>
      </c>
      <c r="Q31" s="626">
        <v>0</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4663</v>
      </c>
      <c r="N32" s="584">
        <f>SUM(N28:N31)</f>
        <v>20983.5</v>
      </c>
      <c r="O32" s="584">
        <f>SUM(O28:O31)</f>
        <v>29976.428571428572</v>
      </c>
      <c r="P32" s="584">
        <f>SUM(P28:P31)</f>
        <v>53048.571428571435</v>
      </c>
      <c r="Q32" s="584">
        <f>SUM(Q28:Q31)</f>
        <v>6904.2857142857147</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0</v>
      </c>
      <c r="N34" s="584">
        <f ca="1">SUMIF($Z$28:AD31,"tertiair",N28:N31)</f>
        <v>0</v>
      </c>
      <c r="O34" s="584">
        <f ca="1">SUMIF($Z$28:AE31,"tertiair",O28:O31)</f>
        <v>0</v>
      </c>
      <c r="P34" s="584">
        <f ca="1">SUMIF($Z$28:AF31,"tertiair",P28:P31)</f>
        <v>0</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4663</v>
      </c>
      <c r="N35" s="589">
        <f>SUMIF($Z$28:$Z$31,"landbouw",N28:N31)</f>
        <v>20983.5</v>
      </c>
      <c r="O35" s="589">
        <f>SUMIF($Z$28:$Z$31,"landbouw",O28:O31)</f>
        <v>29976.428571428572</v>
      </c>
      <c r="P35" s="589">
        <f>SUMIF($Z$28:$Z$31,"landbouw",P28:P31)</f>
        <v>53048.571428571435</v>
      </c>
      <c r="Q35" s="589">
        <f>SUMIF($Z$28:$Z$31,"landbouw",Q28:Q31)</f>
        <v>6904.2857142857147</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63.75">
      <c r="A38" s="581"/>
      <c r="B38" s="770">
        <v>34013</v>
      </c>
      <c r="C38" s="770">
        <v>8530</v>
      </c>
      <c r="D38" s="629" t="s">
        <v>914</v>
      </c>
      <c r="E38" s="629" t="s">
        <v>915</v>
      </c>
      <c r="F38" s="629" t="s">
        <v>916</v>
      </c>
      <c r="G38" s="629" t="s">
        <v>917</v>
      </c>
      <c r="H38" s="629" t="s">
        <v>918</v>
      </c>
      <c r="I38" s="629" t="s">
        <v>919</v>
      </c>
      <c r="J38" s="769">
        <v>39156</v>
      </c>
      <c r="K38" s="769">
        <v>39173</v>
      </c>
      <c r="L38" s="629" t="s">
        <v>901</v>
      </c>
      <c r="M38" s="629">
        <v>298</v>
      </c>
      <c r="N38" s="629">
        <v>1341</v>
      </c>
      <c r="O38" s="629">
        <v>0</v>
      </c>
      <c r="P38" s="629">
        <v>0</v>
      </c>
      <c r="Q38" s="629">
        <v>3831.4285714285716</v>
      </c>
      <c r="R38" s="629">
        <v>0</v>
      </c>
      <c r="S38" s="629">
        <v>0</v>
      </c>
      <c r="T38" s="629">
        <v>0</v>
      </c>
      <c r="U38" s="629">
        <v>0</v>
      </c>
      <c r="V38" s="629">
        <v>0</v>
      </c>
      <c r="W38" s="629">
        <v>0</v>
      </c>
      <c r="X38" s="629">
        <v>1600</v>
      </c>
      <c r="Y38" s="629" t="s">
        <v>49</v>
      </c>
      <c r="Z38" s="630" t="s">
        <v>155</v>
      </c>
    </row>
    <row r="39" spans="1:27" s="564" customFormat="1">
      <c r="A39" s="582" t="s">
        <v>279</v>
      </c>
      <c r="B39" s="583"/>
      <c r="C39" s="583"/>
      <c r="D39" s="583"/>
      <c r="E39" s="583"/>
      <c r="F39" s="583"/>
      <c r="G39" s="583"/>
      <c r="H39" s="583"/>
      <c r="I39" s="583"/>
      <c r="J39" s="583"/>
      <c r="K39" s="583"/>
      <c r="L39" s="584"/>
      <c r="M39" s="584">
        <f>SUM(M38:M38)</f>
        <v>298</v>
      </c>
      <c r="N39" s="584">
        <f>SUM(N38:N38)</f>
        <v>1341</v>
      </c>
      <c r="O39" s="584">
        <f>SUM(O38:O38)</f>
        <v>0</v>
      </c>
      <c r="P39" s="584">
        <f>SUM(P38:P38)</f>
        <v>0</v>
      </c>
      <c r="Q39" s="584">
        <f>SUM(Q38:Q38)</f>
        <v>3831.4285714285716</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298</v>
      </c>
      <c r="N41" s="584">
        <f>SUMIF($Z$38:$Z$39,"tertiair",N38:N39)</f>
        <v>1341</v>
      </c>
      <c r="O41" s="584">
        <f>SUMIF($Z$38:$Z$39,"tertiair",O38:O39)</f>
        <v>0</v>
      </c>
      <c r="P41" s="584">
        <f>SUMIF($Z$38:$Z$39,"tertiair",P38:P39)</f>
        <v>0</v>
      </c>
      <c r="Q41" s="584">
        <f>SUMIF($Z$38:$Z$39,"tertiair",Q38:Q39)</f>
        <v>3831.4285714285716</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0.41176470588235292</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21843.529411764706</v>
      </c>
      <c r="C51" s="618">
        <f t="shared" si="2"/>
        <v>2842.9411764705883</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31205.042016806728</v>
      </c>
      <c r="C52" s="621">
        <f t="shared" si="3"/>
        <v>4061.3445378151264</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43461.337757973713</v>
      </c>
      <c r="C4" s="451">
        <f>huishoudens!C8</f>
        <v>0</v>
      </c>
      <c r="D4" s="451">
        <f>huishoudens!D8</f>
        <v>111062.45511530116</v>
      </c>
      <c r="E4" s="451">
        <f>huishoudens!E8</f>
        <v>24733.966173076529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19765.864391551353</v>
      </c>
      <c r="O4" s="451">
        <f>huishoudens!O8</f>
        <v>412.71999999999997</v>
      </c>
      <c r="P4" s="452">
        <f>huishoudens!P8</f>
        <v>781.73333333333335</v>
      </c>
      <c r="Q4" s="453">
        <f>SUM(B4:P4)</f>
        <v>200218.07677123611</v>
      </c>
    </row>
    <row r="5" spans="1:17">
      <c r="A5" s="450" t="s">
        <v>155</v>
      </c>
      <c r="B5" s="451">
        <f ca="1">tertiair!B16</f>
        <v>62347.990000000005</v>
      </c>
      <c r="C5" s="451">
        <f ca="1">tertiair!C16</f>
        <v>0</v>
      </c>
      <c r="D5" s="451">
        <f ca="1">tertiair!D16</f>
        <v>95441.255910000007</v>
      </c>
      <c r="E5" s="451">
        <f>tertiair!E16</f>
        <v>1349.7094230176581</v>
      </c>
      <c r="F5" s="451">
        <f ca="1">tertiair!F16</f>
        <v>13406.699121474549</v>
      </c>
      <c r="G5" s="451">
        <f>tertiair!G16</f>
        <v>0</v>
      </c>
      <c r="H5" s="451">
        <f>tertiair!H16</f>
        <v>0</v>
      </c>
      <c r="I5" s="451">
        <f>tertiair!I16</f>
        <v>0</v>
      </c>
      <c r="J5" s="451">
        <f>tertiair!J16</f>
        <v>0</v>
      </c>
      <c r="K5" s="451">
        <f>tertiair!K16</f>
        <v>0</v>
      </c>
      <c r="L5" s="451">
        <f ca="1">tertiair!L16</f>
        <v>0</v>
      </c>
      <c r="M5" s="451">
        <f>tertiair!M16</f>
        <v>0</v>
      </c>
      <c r="N5" s="451">
        <f ca="1">tertiair!N16</f>
        <v>5562.3902744483466</v>
      </c>
      <c r="O5" s="451">
        <f>tertiair!O16</f>
        <v>1.5633333333333335</v>
      </c>
      <c r="P5" s="452">
        <f>tertiair!P16</f>
        <v>114.4</v>
      </c>
      <c r="Q5" s="450">
        <f t="shared" ref="Q5:Q14" ca="1" si="0">SUM(B5:P5)</f>
        <v>178224.00806227388</v>
      </c>
    </row>
    <row r="6" spans="1:17">
      <c r="A6" s="450" t="s">
        <v>193</v>
      </c>
      <c r="B6" s="451">
        <f>'openbare verlichting'!B8</f>
        <v>2236.895</v>
      </c>
      <c r="C6" s="451"/>
      <c r="D6" s="451"/>
      <c r="E6" s="451"/>
      <c r="F6" s="451"/>
      <c r="G6" s="451"/>
      <c r="H6" s="451"/>
      <c r="I6" s="451"/>
      <c r="J6" s="451"/>
      <c r="K6" s="451"/>
      <c r="L6" s="451"/>
      <c r="M6" s="451"/>
      <c r="N6" s="451"/>
      <c r="O6" s="451"/>
      <c r="P6" s="452"/>
      <c r="Q6" s="450">
        <f t="shared" si="0"/>
        <v>2236.895</v>
      </c>
    </row>
    <row r="7" spans="1:17">
      <c r="A7" s="450" t="s">
        <v>111</v>
      </c>
      <c r="B7" s="451">
        <f>landbouw!B8</f>
        <v>2128.4340000000002</v>
      </c>
      <c r="C7" s="451">
        <f>landbouw!C8</f>
        <v>29976.428571428572</v>
      </c>
      <c r="D7" s="451">
        <f>landbouw!D8</f>
        <v>0</v>
      </c>
      <c r="E7" s="451">
        <f>landbouw!E8</f>
        <v>54.884140618271744</v>
      </c>
      <c r="F7" s="451">
        <f>landbouw!F8</f>
        <v>7779.8316105650147</v>
      </c>
      <c r="G7" s="451">
        <f>landbouw!G8</f>
        <v>0</v>
      </c>
      <c r="H7" s="451">
        <f>landbouw!H8</f>
        <v>0</v>
      </c>
      <c r="I7" s="451">
        <f>landbouw!I8</f>
        <v>0</v>
      </c>
      <c r="J7" s="451">
        <f>landbouw!J8</f>
        <v>306.41619802833719</v>
      </c>
      <c r="K7" s="451">
        <f>landbouw!K8</f>
        <v>0</v>
      </c>
      <c r="L7" s="451">
        <f>landbouw!L8</f>
        <v>0</v>
      </c>
      <c r="M7" s="451">
        <f>landbouw!M8</f>
        <v>0</v>
      </c>
      <c r="N7" s="451">
        <f>landbouw!N8</f>
        <v>0</v>
      </c>
      <c r="O7" s="451">
        <f>landbouw!O8</f>
        <v>0</v>
      </c>
      <c r="P7" s="452">
        <f>landbouw!P8</f>
        <v>0</v>
      </c>
      <c r="Q7" s="450">
        <f t="shared" si="0"/>
        <v>40245.994520640197</v>
      </c>
    </row>
    <row r="8" spans="1:17">
      <c r="A8" s="450" t="s">
        <v>637</v>
      </c>
      <c r="B8" s="451">
        <f>industrie!B18</f>
        <v>45260.703000000009</v>
      </c>
      <c r="C8" s="451">
        <f>industrie!C18</f>
        <v>0</v>
      </c>
      <c r="D8" s="451">
        <f>industrie!D18</f>
        <v>72940.599820000003</v>
      </c>
      <c r="E8" s="451">
        <f>industrie!E18</f>
        <v>3579.3576751278997</v>
      </c>
      <c r="F8" s="451">
        <f>industrie!F18</f>
        <v>15321.158001237369</v>
      </c>
      <c r="G8" s="451">
        <f>industrie!G18</f>
        <v>0</v>
      </c>
      <c r="H8" s="451">
        <f>industrie!H18</f>
        <v>0</v>
      </c>
      <c r="I8" s="451">
        <f>industrie!I18</f>
        <v>0</v>
      </c>
      <c r="J8" s="451">
        <f>industrie!J18</f>
        <v>298.31429410377876</v>
      </c>
      <c r="K8" s="451">
        <f>industrie!K18</f>
        <v>0</v>
      </c>
      <c r="L8" s="451">
        <f>industrie!L18</f>
        <v>0</v>
      </c>
      <c r="M8" s="451">
        <f>industrie!M18</f>
        <v>0</v>
      </c>
      <c r="N8" s="451">
        <f>industrie!N18</f>
        <v>3855.6208367988197</v>
      </c>
      <c r="O8" s="451">
        <f>industrie!O18</f>
        <v>0</v>
      </c>
      <c r="P8" s="452">
        <f>industrie!P18</f>
        <v>0</v>
      </c>
      <c r="Q8" s="450">
        <f t="shared" si="0"/>
        <v>141255.75362726787</v>
      </c>
    </row>
    <row r="9" spans="1:17" s="456" customFormat="1">
      <c r="A9" s="454" t="s">
        <v>563</v>
      </c>
      <c r="B9" s="455">
        <f>transport!B14</f>
        <v>36.385231452362348</v>
      </c>
      <c r="C9" s="455">
        <f>transport!C14</f>
        <v>0</v>
      </c>
      <c r="D9" s="455">
        <f>transport!D14</f>
        <v>75.624845733026206</v>
      </c>
      <c r="E9" s="455">
        <f>transport!E14</f>
        <v>367.20923572019075</v>
      </c>
      <c r="F9" s="455">
        <f>transport!F14</f>
        <v>0</v>
      </c>
      <c r="G9" s="455">
        <f>transport!G14</f>
        <v>173360.8765434348</v>
      </c>
      <c r="H9" s="455">
        <f>transport!H14</f>
        <v>26168.997040281301</v>
      </c>
      <c r="I9" s="455">
        <f>transport!I14</f>
        <v>0</v>
      </c>
      <c r="J9" s="455">
        <f>transport!J14</f>
        <v>0</v>
      </c>
      <c r="K9" s="455">
        <f>transport!K14</f>
        <v>0</v>
      </c>
      <c r="L9" s="455">
        <f>transport!L14</f>
        <v>0</v>
      </c>
      <c r="M9" s="455">
        <f>transport!M14</f>
        <v>6238.1913041851221</v>
      </c>
      <c r="N9" s="455">
        <f>transport!N14</f>
        <v>0</v>
      </c>
      <c r="O9" s="455">
        <f>transport!O14</f>
        <v>0</v>
      </c>
      <c r="P9" s="455">
        <f>transport!P14</f>
        <v>0</v>
      </c>
      <c r="Q9" s="454">
        <f>SUM(B9:P9)</f>
        <v>206247.28420080681</v>
      </c>
    </row>
    <row r="10" spans="1:17">
      <c r="A10" s="450" t="s">
        <v>553</v>
      </c>
      <c r="B10" s="451">
        <f>transport!B54</f>
        <v>0</v>
      </c>
      <c r="C10" s="451">
        <f>transport!C54</f>
        <v>0</v>
      </c>
      <c r="D10" s="451">
        <f>transport!D54</f>
        <v>0</v>
      </c>
      <c r="E10" s="451">
        <f>transport!E54</f>
        <v>0</v>
      </c>
      <c r="F10" s="451">
        <f>transport!F54</f>
        <v>0</v>
      </c>
      <c r="G10" s="451">
        <f>transport!G54</f>
        <v>1415.5006270776087</v>
      </c>
      <c r="H10" s="451">
        <f>transport!H54</f>
        <v>0</v>
      </c>
      <c r="I10" s="451">
        <f>transport!I54</f>
        <v>0</v>
      </c>
      <c r="J10" s="451">
        <f>transport!J54</f>
        <v>0</v>
      </c>
      <c r="K10" s="451">
        <f>transport!K54</f>
        <v>0</v>
      </c>
      <c r="L10" s="451">
        <f>transport!L54</f>
        <v>0</v>
      </c>
      <c r="M10" s="451">
        <f>transport!M54</f>
        <v>43.85023766994631</v>
      </c>
      <c r="N10" s="451">
        <f>transport!N54</f>
        <v>0</v>
      </c>
      <c r="O10" s="451">
        <f>transport!O54</f>
        <v>0</v>
      </c>
      <c r="P10" s="452">
        <f>transport!P54</f>
        <v>0</v>
      </c>
      <c r="Q10" s="450">
        <f t="shared" si="0"/>
        <v>1459.3508647475551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1192.9369999999999</v>
      </c>
      <c r="C14" s="458"/>
      <c r="D14" s="458">
        <f>'SEAP template'!E25</f>
        <v>2469.413</v>
      </c>
      <c r="E14" s="458"/>
      <c r="F14" s="458"/>
      <c r="G14" s="458"/>
      <c r="H14" s="458"/>
      <c r="I14" s="458"/>
      <c r="J14" s="458"/>
      <c r="K14" s="458"/>
      <c r="L14" s="458"/>
      <c r="M14" s="458"/>
      <c r="N14" s="458"/>
      <c r="O14" s="458"/>
      <c r="P14" s="459"/>
      <c r="Q14" s="450">
        <f t="shared" si="0"/>
        <v>3662.35</v>
      </c>
    </row>
    <row r="15" spans="1:17" s="460" customFormat="1">
      <c r="A15" s="1004" t="s">
        <v>557</v>
      </c>
      <c r="B15" s="944">
        <f ca="1">SUM(B4:B14)</f>
        <v>156664.68198942608</v>
      </c>
      <c r="C15" s="944">
        <f t="shared" ref="C15:Q15" ca="1" si="1">SUM(C4:C14)</f>
        <v>29976.428571428572</v>
      </c>
      <c r="D15" s="944">
        <f t="shared" ca="1" si="1"/>
        <v>281989.34869103419</v>
      </c>
      <c r="E15" s="944">
        <f t="shared" si="1"/>
        <v>30085.126647560552</v>
      </c>
      <c r="F15" s="944">
        <f t="shared" ca="1" si="1"/>
        <v>36507.688733276933</v>
      </c>
      <c r="G15" s="944">
        <f t="shared" si="1"/>
        <v>174776.37717051242</v>
      </c>
      <c r="H15" s="944">
        <f t="shared" si="1"/>
        <v>26168.997040281301</v>
      </c>
      <c r="I15" s="944">
        <f t="shared" si="1"/>
        <v>0</v>
      </c>
      <c r="J15" s="944">
        <f t="shared" si="1"/>
        <v>604.73049213211596</v>
      </c>
      <c r="K15" s="944">
        <f t="shared" si="1"/>
        <v>0</v>
      </c>
      <c r="L15" s="944">
        <f t="shared" ca="1" si="1"/>
        <v>0</v>
      </c>
      <c r="M15" s="944">
        <f t="shared" si="1"/>
        <v>6282.0415418550683</v>
      </c>
      <c r="N15" s="944">
        <f t="shared" ca="1" si="1"/>
        <v>29183.875502798517</v>
      </c>
      <c r="O15" s="944">
        <f t="shared" si="1"/>
        <v>414.2833333333333</v>
      </c>
      <c r="P15" s="944">
        <f t="shared" si="1"/>
        <v>896.13333333333333</v>
      </c>
      <c r="Q15" s="944">
        <f t="shared" ca="1" si="1"/>
        <v>773549.71304697229</v>
      </c>
    </row>
    <row r="17" spans="1:17">
      <c r="A17" s="461" t="s">
        <v>558</v>
      </c>
      <c r="B17" s="760">
        <f ca="1">huishoudens!B10</f>
        <v>0.17751252771301693</v>
      </c>
      <c r="C17" s="760">
        <f ca="1">huishoudens!C10</f>
        <v>0.21027916892684595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7714.9319232070975</v>
      </c>
      <c r="C22" s="451">
        <f t="shared" ref="C22:C32" ca="1" si="3">C4*$C$17</f>
        <v>0</v>
      </c>
      <c r="D22" s="451">
        <f t="shared" ref="D22:D32" si="4">D4*$D$17</f>
        <v>22434.615933290836</v>
      </c>
      <c r="E22" s="451">
        <f t="shared" ref="E22:E32" si="5">E4*$E$17</f>
        <v>5614.6103212883727</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35764.15817778631</v>
      </c>
    </row>
    <row r="23" spans="1:17">
      <c r="A23" s="450" t="s">
        <v>155</v>
      </c>
      <c r="B23" s="451">
        <f t="shared" ca="1" si="2"/>
        <v>11067.549302725904</v>
      </c>
      <c r="C23" s="451">
        <f t="shared" ca="1" si="3"/>
        <v>0</v>
      </c>
      <c r="D23" s="451">
        <f t="shared" ca="1" si="4"/>
        <v>19279.133693820004</v>
      </c>
      <c r="E23" s="451">
        <f t="shared" si="5"/>
        <v>306.38403902500841</v>
      </c>
      <c r="F23" s="451">
        <f t="shared" ca="1" si="6"/>
        <v>3579.5886654337046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34232.655701004624</v>
      </c>
    </row>
    <row r="24" spans="1:17">
      <c r="A24" s="450" t="s">
        <v>193</v>
      </c>
      <c r="B24" s="451">
        <f t="shared" ca="1" si="2"/>
        <v>397.07688567860902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397.07688567860902</v>
      </c>
    </row>
    <row r="25" spans="1:17">
      <c r="A25" s="450" t="s">
        <v>111</v>
      </c>
      <c r="B25" s="451">
        <f t="shared" ca="1" si="2"/>
        <v>377.82369941032749</v>
      </c>
      <c r="C25" s="451">
        <f t="shared" ca="1" si="3"/>
        <v>6303.4184873949598</v>
      </c>
      <c r="D25" s="451">
        <f t="shared" si="4"/>
        <v>0</v>
      </c>
      <c r="E25" s="451">
        <f t="shared" si="5"/>
        <v>12.458699920347685</v>
      </c>
      <c r="F25" s="451">
        <f t="shared" si="6"/>
        <v>2077.2150400208589</v>
      </c>
      <c r="G25" s="451">
        <f t="shared" si="7"/>
        <v>0</v>
      </c>
      <c r="H25" s="451">
        <f t="shared" si="8"/>
        <v>0</v>
      </c>
      <c r="I25" s="451">
        <f t="shared" si="9"/>
        <v>0</v>
      </c>
      <c r="J25" s="451">
        <f t="shared" si="10"/>
        <v>108.47133410203136</v>
      </c>
      <c r="K25" s="451">
        <f t="shared" si="11"/>
        <v>0</v>
      </c>
      <c r="L25" s="451">
        <f t="shared" si="12"/>
        <v>0</v>
      </c>
      <c r="M25" s="451">
        <f t="shared" si="13"/>
        <v>0</v>
      </c>
      <c r="N25" s="451">
        <f t="shared" si="14"/>
        <v>0</v>
      </c>
      <c r="O25" s="451">
        <f t="shared" si="15"/>
        <v>0</v>
      </c>
      <c r="P25" s="452">
        <f t="shared" si="16"/>
        <v>0</v>
      </c>
      <c r="Q25" s="450">
        <f t="shared" ca="1" si="17"/>
        <v>8879.3872608485235</v>
      </c>
    </row>
    <row r="26" spans="1:17">
      <c r="A26" s="450" t="s">
        <v>637</v>
      </c>
      <c r="B26" s="451">
        <f t="shared" ca="1" si="2"/>
        <v>8034.3417955981295</v>
      </c>
      <c r="C26" s="451">
        <f t="shared" ca="1" si="3"/>
        <v>0</v>
      </c>
      <c r="D26" s="451">
        <f t="shared" si="4"/>
        <v>14734.001163640001</v>
      </c>
      <c r="E26" s="451">
        <f t="shared" si="5"/>
        <v>812.51419225403322</v>
      </c>
      <c r="F26" s="451">
        <f t="shared" si="6"/>
        <v>4090.7491863303776</v>
      </c>
      <c r="G26" s="451">
        <f t="shared" si="7"/>
        <v>0</v>
      </c>
      <c r="H26" s="451">
        <f t="shared" si="8"/>
        <v>0</v>
      </c>
      <c r="I26" s="451">
        <f t="shared" si="9"/>
        <v>0</v>
      </c>
      <c r="J26" s="451">
        <f t="shared" si="10"/>
        <v>105.60326011273767</v>
      </c>
      <c r="K26" s="451">
        <f t="shared" si="11"/>
        <v>0</v>
      </c>
      <c r="L26" s="451">
        <f t="shared" si="12"/>
        <v>0</v>
      </c>
      <c r="M26" s="451">
        <f t="shared" si="13"/>
        <v>0</v>
      </c>
      <c r="N26" s="451">
        <f t="shared" si="14"/>
        <v>0</v>
      </c>
      <c r="O26" s="451">
        <f t="shared" si="15"/>
        <v>0</v>
      </c>
      <c r="P26" s="452">
        <f t="shared" si="16"/>
        <v>0</v>
      </c>
      <c r="Q26" s="450">
        <f t="shared" ca="1" si="17"/>
        <v>27777.209597935274</v>
      </c>
    </row>
    <row r="27" spans="1:17" s="456" customFormat="1">
      <c r="A27" s="454" t="s">
        <v>563</v>
      </c>
      <c r="B27" s="754">
        <f t="shared" ca="1" si="2"/>
        <v>6.4588344065320067</v>
      </c>
      <c r="C27" s="455">
        <f t="shared" ca="1" si="3"/>
        <v>0</v>
      </c>
      <c r="D27" s="455">
        <f t="shared" si="4"/>
        <v>15.276218838071294</v>
      </c>
      <c r="E27" s="455">
        <f t="shared" si="5"/>
        <v>83.356496508483303</v>
      </c>
      <c r="F27" s="455">
        <f t="shared" si="6"/>
        <v>0</v>
      </c>
      <c r="G27" s="455">
        <f t="shared" si="7"/>
        <v>46287.354037097095</v>
      </c>
      <c r="H27" s="455">
        <f t="shared" si="8"/>
        <v>6516.0802630300441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52908.525849880229</v>
      </c>
    </row>
    <row r="28" spans="1:17">
      <c r="A28" s="450" t="s">
        <v>553</v>
      </c>
      <c r="B28" s="451">
        <f t="shared" ca="1" si="2"/>
        <v>0</v>
      </c>
      <c r="C28" s="451">
        <f t="shared" ca="1" si="3"/>
        <v>0</v>
      </c>
      <c r="D28" s="451">
        <f t="shared" si="4"/>
        <v>0</v>
      </c>
      <c r="E28" s="451">
        <f t="shared" si="5"/>
        <v>0</v>
      </c>
      <c r="F28" s="451">
        <f t="shared" si="6"/>
        <v>0</v>
      </c>
      <c r="G28" s="451">
        <f t="shared" si="7"/>
        <v>377.93866742972153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377.93866742972153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211.76126227238325</v>
      </c>
      <c r="C32" s="451">
        <f t="shared" ca="1" si="3"/>
        <v>0</v>
      </c>
      <c r="D32" s="451">
        <f t="shared" si="4"/>
        <v>498.82142600000003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710.58268827238328</v>
      </c>
    </row>
    <row r="33" spans="1:17" s="460" customFormat="1">
      <c r="A33" s="1004" t="s">
        <v>557</v>
      </c>
      <c r="B33" s="944">
        <f ca="1">SUM(B22:B32)</f>
        <v>27809.943703298977</v>
      </c>
      <c r="C33" s="944">
        <f t="shared" ref="C33:Q33" ca="1" si="18">SUM(C22:C32)</f>
        <v>6303.4184873949598</v>
      </c>
      <c r="D33" s="944">
        <f t="shared" ca="1" si="18"/>
        <v>56961.848435588916</v>
      </c>
      <c r="E33" s="944">
        <f t="shared" si="18"/>
        <v>6829.3237489962457</v>
      </c>
      <c r="F33" s="944">
        <f t="shared" ca="1" si="18"/>
        <v>9747.5528917849406</v>
      </c>
      <c r="G33" s="944">
        <f t="shared" si="18"/>
        <v>46665.292704526815</v>
      </c>
      <c r="H33" s="944">
        <f t="shared" si="18"/>
        <v>6516.0802630300441</v>
      </c>
      <c r="I33" s="944">
        <f t="shared" si="18"/>
        <v>0</v>
      </c>
      <c r="J33" s="944">
        <f t="shared" si="18"/>
        <v>214.07459421476904</v>
      </c>
      <c r="K33" s="944">
        <f t="shared" si="18"/>
        <v>0</v>
      </c>
      <c r="L33" s="944">
        <f t="shared" ca="1" si="18"/>
        <v>0</v>
      </c>
      <c r="M33" s="944">
        <f t="shared" si="18"/>
        <v>0</v>
      </c>
      <c r="N33" s="944">
        <f t="shared" ca="1" si="18"/>
        <v>0</v>
      </c>
      <c r="O33" s="944">
        <f t="shared" si="18"/>
        <v>0</v>
      </c>
      <c r="P33" s="944">
        <f t="shared" si="18"/>
        <v>0</v>
      </c>
      <c r="Q33" s="944">
        <f t="shared" ca="1" si="18"/>
        <v>161047.53482883569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10759.492899636165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17709.418672945994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2416.5000000000005</v>
      </c>
      <c r="C8" s="1021">
        <f>'SEAP template'!C76</f>
        <v>18567</v>
      </c>
      <c r="D8" s="1021">
        <f>'SEAP template'!D76</f>
        <v>21843.529411764706</v>
      </c>
      <c r="E8" s="1021">
        <f>'SEAP template'!E76</f>
        <v>0</v>
      </c>
      <c r="F8" s="1021">
        <f>'SEAP template'!F76</f>
        <v>0</v>
      </c>
      <c r="G8" s="1021">
        <f>'SEAP template'!G76</f>
        <v>0</v>
      </c>
      <c r="H8" s="1021">
        <f>'SEAP template'!H76</f>
        <v>0</v>
      </c>
      <c r="I8" s="1021">
        <f>'SEAP template'!I76</f>
        <v>0</v>
      </c>
      <c r="J8" s="1021">
        <f>'SEAP template'!J76</f>
        <v>2842.9411764705883</v>
      </c>
      <c r="K8" s="1021">
        <f>'SEAP template'!K76</f>
        <v>0</v>
      </c>
      <c r="L8" s="1021">
        <f>'SEAP template'!L76</f>
        <v>0</v>
      </c>
      <c r="M8" s="1021">
        <f>'SEAP template'!M76</f>
        <v>0</v>
      </c>
      <c r="N8" s="1021">
        <f>'SEAP template'!N76</f>
        <v>0</v>
      </c>
      <c r="O8" s="1021">
        <f>'SEAP template'!O76</f>
        <v>0</v>
      </c>
      <c r="P8" s="1022">
        <f>'SEAP template'!Q76</f>
        <v>4412.3929411764711</v>
      </c>
    </row>
    <row r="9" spans="1:16">
      <c r="A9" s="1024" t="s">
        <v>849</v>
      </c>
      <c r="B9" s="1021">
        <f>'SEAP template'!B77</f>
        <v>1341</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3831.4285714285716</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32226.411572582161</v>
      </c>
      <c r="C10" s="1025">
        <f>SUM(C4:C9)</f>
        <v>18567</v>
      </c>
      <c r="D10" s="1025">
        <f t="shared" ref="D10:H10" si="0">SUM(D8:D9)</f>
        <v>21843.529411764706</v>
      </c>
      <c r="E10" s="1025">
        <f t="shared" si="0"/>
        <v>0</v>
      </c>
      <c r="F10" s="1025">
        <f t="shared" si="0"/>
        <v>0</v>
      </c>
      <c r="G10" s="1025">
        <f t="shared" si="0"/>
        <v>0</v>
      </c>
      <c r="H10" s="1025">
        <f t="shared" si="0"/>
        <v>0</v>
      </c>
      <c r="I10" s="1025">
        <f>SUM(I8:I9)</f>
        <v>0</v>
      </c>
      <c r="J10" s="1025">
        <f>SUM(J8:J9)</f>
        <v>6674.3697478991598</v>
      </c>
      <c r="K10" s="1025">
        <f t="shared" ref="K10:L10" si="1">SUM(K8:K9)</f>
        <v>0</v>
      </c>
      <c r="L10" s="1025">
        <f t="shared" si="1"/>
        <v>0</v>
      </c>
      <c r="M10" s="1025">
        <f>SUM(M8:M9)</f>
        <v>0</v>
      </c>
      <c r="N10" s="1025">
        <f>SUM(N8:N9)</f>
        <v>0</v>
      </c>
      <c r="O10" s="1025">
        <f>SUM(O8:O9)</f>
        <v>0</v>
      </c>
      <c r="P10" s="1025">
        <f>SUM(P8:P9)</f>
        <v>4412.3929411764711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0.17751252771301693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3452.1428571428569</v>
      </c>
      <c r="C17" s="1027">
        <f>'SEAP template'!C87</f>
        <v>26524.285714285714</v>
      </c>
      <c r="D17" s="1022">
        <f>'SEAP template'!D87</f>
        <v>31205.042016806728</v>
      </c>
      <c r="E17" s="1022">
        <f>'SEAP template'!E87</f>
        <v>0</v>
      </c>
      <c r="F17" s="1022">
        <f>'SEAP template'!F87</f>
        <v>0</v>
      </c>
      <c r="G17" s="1022">
        <f>'SEAP template'!G87</f>
        <v>0</v>
      </c>
      <c r="H17" s="1022">
        <f>'SEAP template'!H87</f>
        <v>0</v>
      </c>
      <c r="I17" s="1022">
        <f>'SEAP template'!I87</f>
        <v>0</v>
      </c>
      <c r="J17" s="1022">
        <f>'SEAP template'!J87</f>
        <v>4061.3445378151264</v>
      </c>
      <c r="K17" s="1022">
        <f>'SEAP template'!K87</f>
        <v>0</v>
      </c>
      <c r="L17" s="1022">
        <f>'SEAP template'!L87</f>
        <v>0</v>
      </c>
      <c r="M17" s="1022">
        <f>'SEAP template'!M87</f>
        <v>0</v>
      </c>
      <c r="N17" s="1022">
        <f>'SEAP template'!N87</f>
        <v>0</v>
      </c>
      <c r="O17" s="1022">
        <f>'SEAP template'!O87</f>
        <v>0</v>
      </c>
      <c r="P17" s="1022">
        <f>'SEAP template'!Q87</f>
        <v>6303.4184873949598</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3452.1428571428569</v>
      </c>
      <c r="C20" s="1025">
        <f>SUM(C17:C19)</f>
        <v>26524.285714285714</v>
      </c>
      <c r="D20" s="1025">
        <f t="shared" ref="D20:H20" si="2">SUM(D17:D19)</f>
        <v>31205.042016806728</v>
      </c>
      <c r="E20" s="1025">
        <f t="shared" si="2"/>
        <v>0</v>
      </c>
      <c r="F20" s="1025">
        <f t="shared" si="2"/>
        <v>0</v>
      </c>
      <c r="G20" s="1025">
        <f t="shared" si="2"/>
        <v>0</v>
      </c>
      <c r="H20" s="1025">
        <f t="shared" si="2"/>
        <v>0</v>
      </c>
      <c r="I20" s="1025">
        <f>SUM(I17:I19)</f>
        <v>0</v>
      </c>
      <c r="J20" s="1025">
        <f>SUM(J17:J19)</f>
        <v>4061.3445378151264</v>
      </c>
      <c r="K20" s="1025">
        <f t="shared" ref="K20:L20" si="3">SUM(K17:K19)</f>
        <v>0</v>
      </c>
      <c r="L20" s="1025">
        <f t="shared" si="3"/>
        <v>0</v>
      </c>
      <c r="M20" s="1025">
        <f>SUM(M17:M19)</f>
        <v>0</v>
      </c>
      <c r="N20" s="1025">
        <f>SUM(N17:N19)</f>
        <v>0</v>
      </c>
      <c r="O20" s="1025">
        <f>SUM(O17:O19)</f>
        <v>0</v>
      </c>
      <c r="P20" s="1025">
        <f>SUM(P17:P19)</f>
        <v>6303.4184873949598</v>
      </c>
    </row>
    <row r="22" spans="1:16">
      <c r="A22" s="461" t="s">
        <v>857</v>
      </c>
      <c r="B22" s="760" t="s">
        <v>851</v>
      </c>
      <c r="C22" s="760">
        <f ca="1">'EF ele_warmte'!B22</f>
        <v>0.21027916892684595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0.17751252771301693</v>
      </c>
      <c r="C17" s="498">
        <f ca="1">'EF ele_warmte'!B22</f>
        <v>0.21027916892684595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3</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4.6900000000000004</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2020-06-20T15:55:34Z</dcterms:modified>
</cp:coreProperties>
</file>