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F88" i="14" s="1"/>
  <c r="F18" i="59" s="1"/>
  <c r="D18" i="18"/>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D6" i="17" s="1"/>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8" i="18"/>
  <c r="H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2"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2" i="18" l="1"/>
  <c r="H17" i="18" s="1"/>
  <c r="B52" i="18"/>
  <c r="C17" i="18" s="1"/>
  <c r="B51" i="18"/>
  <c r="C8" i="18" s="1"/>
  <c r="F52" i="18"/>
  <c r="D51" i="18"/>
  <c r="C52" i="18"/>
  <c r="G52" i="18"/>
  <c r="I17" i="18" s="1"/>
  <c r="D52" i="18"/>
  <c r="J17" i="18" s="1"/>
  <c r="Q77" i="14"/>
  <c r="P9" i="59" s="1"/>
  <c r="O9" i="18"/>
  <c r="G78" i="14"/>
  <c r="C77" i="14"/>
  <c r="C9" i="59" s="1"/>
  <c r="F51" i="18"/>
  <c r="I8" i="18" s="1"/>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E8" i="48"/>
  <c r="E26" i="48" s="1"/>
  <c r="F13" i="14"/>
  <c r="F16" i="14" s="1"/>
  <c r="F27" i="14" s="1"/>
  <c r="F63" i="14" s="1"/>
  <c r="E23" i="48"/>
  <c r="N8" i="48"/>
  <c r="N26" i="48" s="1"/>
  <c r="O13" i="14"/>
  <c r="N22" i="16"/>
  <c r="O43" i="14" s="1"/>
  <c r="G13" i="14"/>
  <c r="F8" i="48"/>
  <c r="K63" i="14" l="1"/>
  <c r="R13" i="14"/>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<sst xmlns="http://schemas.openxmlformats.org/spreadsheetml/2006/main" count="2443" uniqueCount="912">
  <si>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</si>
  <si>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</si>
  <si>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</si>
  <si>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</si>
  <si>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</si>
  <si>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</si>
  <si>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</si>
  <si>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</si>
  <si>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</si>
  <si>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</si>
  <si>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</si>
  <si>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</si>
  <si>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</si>
  <si>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</si>
  <si>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</si>
  <si>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</si>
  <si>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</si>
  <si>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</si>
  <si>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</si>
  <si>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</si>
  <si>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</si>
  <si>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</si>
  <si>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</si>
  <si>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</si>
  <si>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</si>
  <si>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</si>
  <si>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</si>
  <si>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</si>
  <si>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</si>
  <si>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</si>
  <si>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</si>
  <si>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</si>
  <si>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</si>
  <si>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</si>
  <si>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</si>
  <si>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</si>
  <si>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</si>
  <si>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</si>
  <si>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</si>
  <si>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</si>
  <si>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</si>
  <si>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</si>
  <si>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</si>
  <si>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</si>
  <si>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</si>
  <si>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</si>
  <si>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</si>
  <si>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</si>
  <si>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</si>
  <si>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</si>
  <si>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</si>
  <si>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</si>
  <si>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</si>
  <si>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</si>
  <si>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</si>
  <si>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</si>
  <si>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</si>
  <si>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</si>
  <si>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</si>
  <si>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</si>
  <si>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</si>
  <si>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</si>
  <si>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</si>
  <si>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</si>
  <si>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</si>
  <si>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</si>
  <si>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</si>
  <si>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</si>
  <si>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</si>
  <si>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</si>
  <si>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</si>
  <si>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</si>
  <si>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</si>
  <si>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</si>
  <si>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</si>
  <si>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</si>
  <si>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</si>
  <si>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</si>
  <si>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</si>
  <si>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</si>
  <si>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</si>
  <si>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</si>
  <si>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</si>
  <si>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</si>
  <si>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</si>
  <si>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</si>
  <si>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</si>
  <si>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</si>
  <si>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</si>
  <si>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</si>
  <si>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</si>
  <si>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</si>
  <si>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</si>
  <si>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</si>
  <si>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</si>
  <si>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</si>
  <si>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</si>
  <si>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</si>
  <si>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</si>
  <si>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</si>
  <si>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</si>
  <si>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</si>
  <si>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</si>
  <si>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</si>
  <si>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</si>
  <si>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</si>
  <si>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</si>
  <si>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</si>
  <si>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</si>
  <si>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</si>
  <si>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</si>
  <si>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</si>
  <si>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</si>
  <si>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</si>
  <si>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</si>
  <si>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</si>
  <si>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</si>
  <si>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</si>
  <si>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</si>
  <si>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</si>
  <si>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</si>
  <si>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</si>
  <si>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</si>
  <si>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</si>
  <si>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</si>
  <si>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</si>
  <si>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</si>
  <si>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</si>
  <si>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</si>
  <si>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</si>
  <si>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</si>
  <si>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</si>
  <si>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</si>
  <si>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</si>
  <si>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</si>
  <si>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</si>
  <si>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</si>
  <si>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</si>
  <si>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</si>
  <si>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</si>
  <si>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</si>
  <si>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</si>
  <si>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</si>
  <si>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</si>
  <si>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</si>
  <si>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</si>
  <si>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</si>
  <si>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</si>
  <si>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</si>
  <si>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</si>
  <si>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</si>
  <si>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</si>
  <si>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</si>
  <si>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</si>
  <si>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</si>
  <si>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</si>
  <si>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</si>
  <si>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</si>
  <si>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</si>
  <si>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</si>
  <si>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</si>
  <si>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</si>
  <si>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</si>
  <si>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</si>
  <si>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</si>
  <si>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</si>
  <si>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</si>
  <si>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</si>
  <si>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</si>
  <si>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</si>
  <si>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</si>
  <si>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</si>
  <si>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</si>
  <si>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</si>
  <si>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</si>
  <si>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</si>
  <si>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</si>
  <si>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</si>
  <si>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</si>
  <si>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</si>
  <si>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</si>
  <si>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</si>
  <si>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</si>
  <si>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</si>
  <si>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</si>
  <si>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</si>
  <si>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</si>
  <si>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</si>
  <si>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</si>
  <si>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</si>
  <si>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</si>
  <si>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</si>
  <si>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</si>
  <si>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</si>
  <si>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</si>
  <si>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</si>
  <si>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</si>
  <si>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</si>
  <si>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</si>
  <si>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</si>
  <si>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</si>
  <si>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</si>
  <si>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</si>
  <si>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</si>
  <si>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</si>
  <si>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</si>
  <si>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</si>
  <si>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</si>
  <si>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</si>
  <si>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</si>
  <si>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</si>
  <si>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</si>
  <si>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</si>
  <si>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</si>
  <si>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</si>
  <si>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</si>
  <si>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</si>
  <si>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</si>
  <si>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</si>
  <si>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</si>
  <si>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</si>
  <si>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</si>
  <si>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</si>
  <si>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</si>
  <si>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</si>
  <si>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</si>
  <si>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</si>
  <si>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</si>
  <si>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</si>
  <si>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</si>
  <si>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</si>
  <si>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</si>
  <si>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</si>
  <si>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</si>
  <si>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</si>
  <si>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</si>
  <si>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</si>
  <si>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</si>
  <si>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</si>
  <si>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</si>
  <si>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</si>
  <si>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</si>
  <si>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</si>
  <si>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</si>
  <si>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</si>
  <si>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</si>
  <si>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</si>
  <si>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</si>
  <si>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</si>
  <si>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</si>
  <si>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</si>
  <si>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</si>
  <si>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</si>
  <si>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</si>
  <si>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</si>
  <si>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</si>
  <si>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</si>
  <si>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</si>
  <si>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</si>
  <si>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</si>
  <si>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</si>
  <si>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</si>
  <si>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</si>
  <si>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</si>
  <si>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</si>
  <si>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</si>
  <si>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</si>
  <si>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</si>
  <si>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</si>
  <si>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</si>
  <si>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</si>
  <si>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</si>
  <si>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</si>
  <si>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</si>
  <si>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</si>
  <si>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</si>
  <si>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</si>
  <si>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</si>
  <si>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</si>
  <si>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</si>
  <si>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</si>
  <si>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</si>
  <si>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</si>
  <si>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</si>
  <si>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</si>
  <si>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</si>
  <si>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</si>
  <si>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</si>
  <si>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</si>
  <si>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</si>
  <si>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</si>
  <si>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</si>
  <si>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</si>
  <si>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</si>
  <si>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</si>
  <si>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</si>
  <si>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</si>
  <si>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</si>
  <si>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</si>
  <si>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</si>
  <si>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</si>
  <si>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</si>
  <si>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</si>
  <si>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</si>
  <si>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</si>
  <si>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</si>
  <si>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</si>
  <si>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</si>
  <si>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</si>
  <si>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</si>
  <si>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</si>
  <si>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</si>
  <si>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</si>
  <si>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</si>
  <si>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</si>
  <si>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</si>
  <si>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</si>
  <si>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</si>
  <si>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</si>
  <si>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</si>
  <si>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</si>
  <si>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</si>
  <si>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</si>
  <si>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</si>
  <si>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</si>
  <si>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</si>
  <si>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</si>
  <si>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</si>
  <si>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</si>
  <si>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</si>
  <si>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</si>
  <si>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</si>
  <si>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</si>
  <si>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</si>
  <si>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</si>
  <si>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</si>
  <si>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</si>
  <si>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</si>
  <si>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</si>
  <si>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</si>
  <si>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</si>
  <si>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</si>
  <si>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</si>
  <si>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</si>
  <si>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</si>
  <si>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</si>
  <si>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</si>
  <si>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</si>
  <si>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</si>
  <si>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</si>
  <si>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</si>
  <si>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</si>
  <si>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</si>
  <si>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</si>
  <si>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</si>
  <si>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</si>
  <si>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</si>
  <si>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</si>
  <si>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</si>
  <si>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</si>
  <si>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</si>
  <si>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</si>
  <si>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</si>
  <si>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</si>
  <si>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</si>
  <si>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</si>
  <si>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</si>
  <si>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</si>
  <si>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</si>
  <si>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</si>
  <si>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</si>
  <si>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</si>
  <si>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</si>
  <si>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</si>
  <si>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</si>
  <si>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</si>
  <si>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</si>
  <si>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</si>
  <si>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</si>
  <si>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</si>
  <si>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</si>
  <si>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</si>
  <si>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</si>
  <si>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</si>
  <si>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</si>
  <si>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</si>
  <si>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</si>
  <si>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</si>
  <si>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</si>
  <si>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</si>
  <si>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</si>
  <si>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</si>
  <si>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</si>
  <si>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</si>
  <si>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</si>
  <si>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</si>
  <si>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</si>
  <si>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</si>
  <si>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</si>
  <si>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</si>
  <si>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</si>
  <si>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</si>
  <si>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</si>
  <si>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</si>
  <si>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</si>
  <si>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</si>
  <si>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</si>
  <si>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</si>
  <si>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</si>
  <si>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</si>
  <si>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</si>
  <si>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</si>
  <si>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</si>
  <si>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</si>
  <si>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</si>
  <si>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</si>
  <si>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</si>
  <si>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</si>
  <si>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</si>
  <si>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</si>
  <si>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</si>
  <si>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</si>
  <si>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</si>
  <si>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</si>
  <si>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</si>
  <si>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</si>
  <si>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</si>
  <si>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</si>
  <si>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</si>
  <si>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</si>
  <si>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</si>
  <si>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</si>
  <si>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</si>
  <si>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</si>
  <si>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</si>
  <si>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</si>
  <si>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</si>
  <si>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</si>
  <si>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</si>
  <si>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</si>
  <si>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</si>
  <si>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</si>
  <si>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</si>
  <si>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</si>
  <si>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</si>
  <si>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</si>
  <si>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</si>
  <si>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</si>
  <si>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</si>
  <si>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</si>
  <si>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</si>
  <si>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</si>
  <si>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</si>
  <si>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</si>
  <si>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</si>
  <si>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</si>
  <si>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</si>
  <si>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</si>
  <si>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</si>
  <si>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</si>
  <si>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</si>
  <si>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</si>
  <si>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</si>
  <si>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</si>
  <si>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</si>
  <si>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</si>
  <si>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</si>
  <si>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</si>
  <si>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</si>
  <si>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</si>
  <si>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</si>
  <si>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</si>
  <si>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</si>
  <si>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</si>
  <si>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</si>
  <si>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</si>
  <si>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</si>
  <si>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</si>
  <si>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</si>
  <si>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</si>
  <si>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</si>
  <si>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</si>
  <si>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</si>
  <si>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</si>
  <si>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</si>
  <si>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</si>
  <si>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</si>
  <si>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</si>
  <si>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</si>
  <si>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</si>
  <si>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</si>
  <si>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</si>
  <si>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</si>
  <si>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</si>
  <si>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</si>
  <si>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</si>
  <si>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</si>
  <si>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</si>
  <si>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</si>
  <si>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</si>
  <si>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</si>
  <si>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</si>
  <si>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</si>
  <si>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</si>
  <si>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</si>
  <si>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</si>
  <si>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</si>
  <si>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</si>
  <si>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</si>
  <si>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</si>
  <si>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</si>
  <si>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</si>
  <si>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</si>
  <si>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</si>
  <si>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</si>
  <si>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</si>
  <si>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</si>
  <si>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</si>
  <si>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</si>
  <si>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</si>
  <si>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</si>
  <si>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</si>
  <si>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</si>
  <si>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</si>
  <si>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</si>
  <si>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</si>
  <si>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</si>
  <si>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</si>
  <si>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</si>
  <si>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</si>
  <si>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</si>
  <si>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</si>
  <si>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</si>
  <si>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</si>
  <si>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</si>
  <si>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</si>
  <si>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</si>
  <si>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</si>
  <si>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</si>
  <si>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</si>
  <si>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</si>
  <si>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</si>
  <si>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</si>
  <si>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</si>
  <si>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</si>
  <si>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</si>
  <si>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</si>
  <si>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</si>
  <si>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</si>
  <si>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</si>
  <si>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</si>
  <si>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</si>
  <si>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</si>
  <si>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</si>
  <si>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</si>
  <si>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</si>
  <si>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</si>
  <si>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</si>
  <si>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</si>
  <si>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</si>
  <si>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</si>
  <si>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</si>
  <si>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</si>
  <si>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</si>
  <si>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</si>
  <si>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</si>
  <si>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</si>
  <si>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</si>
  <si>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</si>
  <si>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</si>
  <si>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</si>
  <si>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</si>
  <si>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</si>
  <si>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</si>
  <si>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</si>
  <si>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</si>
  <si>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</si>
  <si>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</si>
  <si>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</si>
  <si>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</si>
  <si>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</si>
  <si>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</si>
  <si>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</si>
  <si>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</si>
  <si>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</si>
  <si>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</si>
  <si>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</si>
  <si>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</si>
  <si>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</si>
  <si>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</si>
  <si>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</si>
  <si>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</si>
  <si>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</si>
  <si>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</si>
  <si>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</si>
  <si>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</si>
  <si>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</si>
  <si>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</si>
  <si>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</si>
  <si>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</si>
  <si>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</si>
  <si>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</si>
  <si>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</si>
  <si>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</si>
  <si>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</si>
  <si>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</si>
  <si>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</si>
  <si>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</si>
  <si>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</si>
  <si>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</si>
  <si>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</si>
  <si>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</si>
  <si>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</si>
  <si>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</si>
  <si>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</si>
  <si>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</si>
  <si>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</si>
  <si>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</si>
  <si>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</si>
  <si>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</si>
  <si>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</si>
  <si>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</si>
  <si>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</si>
  <si>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</si>
  <si>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</si>
  <si>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</si>
  <si>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</si>
  <si>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</si>
  <si>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</si>
  <si>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</si>
  <si>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</si>
  <si>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</si>
  <si>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</si>
  <si>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</si>
  <si>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</si>
  <si>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</si>
  <si>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</si>
  <si>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</si>
  <si>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</si>
  <si>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</si>
  <si>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</si>
  <si>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</si>
  <si>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</si>
  <si>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</si>
  <si>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</si>
  <si>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</si>
  <si>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</si>
  <si>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</si>
  <si>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</si>
  <si>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</si>
  <si>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</si>
  <si>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</si>
  <si>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</si>
  <si>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</si>
  <si>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</si>
  <si>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</si>
  <si>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</si>
  <si>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</si>
  <si>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</si>
  <si>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</si>
  <si>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</si>
  <si>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</si>
  <si>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</si>
  <si>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</si>
  <si>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</si>
  <si>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</si>
  <si>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</si>
  <si>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</si>
  <si>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</si>
  <si>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</si>
  <si>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</si>
  <si>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</si>
  <si>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</si>
  <si>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</si>
  <si>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</si>
  <si>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</si>
  <si>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</si>
  <si>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</si>
  <si>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</si>
  <si>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</si>
  <si>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</si>
  <si>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</si>
  <si>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</si>
  <si>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</si>
  <si>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</si>
  <si>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</si>
  <si>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</si>
  <si>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</si>
  <si>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</si>
  <si>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</si>
  <si>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</si>
  <si>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</si>
  <si>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</si>
  <si>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</si>
  <si>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</si>
  <si>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</si>
  <si>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</si>
  <si>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</si>
  <si>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</si>
  <si>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</si>
  <si>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</si>
  <si>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</si>
  <si>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</si>
  <si>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</si>
  <si>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</si>
  <si>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</si>
  <si>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</si>
  <si>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</si>
  <si>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</si>
  <si>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</si>
  <si>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</si>
  <si>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</si>
  <si>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</si>
  <si>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</si>
  <si>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</si>
  <si>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</si>
  <si>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</si>
  <si>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</si>
  <si>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</si>
  <si>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</si>
  <si>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</si>
  <si>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</si>
  <si>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</si>
  <si>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</si>
  <si>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</si>
  <si>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</si>
  <si>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</si>
  <si>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</si>
  <si>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</si>
  <si>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</si>
  <si>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</si>
  <si>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</si>
  <si>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</si>
  <si>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</si>
  <si>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</si>
  <si>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</si>
  <si>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</si>
  <si>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</si>
  <si>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</si>
  <si>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</si>
  <si>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</si>
  <si>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</si>
  <si>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</si>
  <si>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</si>
  <si>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</si>
  <si>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</si>
  <si>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</si>
  <si>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</si>
  <si>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</si>
  <si>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</si>
  <si>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</si>
  <si>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</si>
  <si>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</si>
  <si>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</si>
  <si>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</si>
  <si>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</si>
  <si>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</si>
  <si>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</si>
  <si>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</si>
  <si>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</si>
  <si>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</si>
  <si>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</si>
  <si>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</si>
  <si>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</si>
  <si>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</si>
  <si>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</si>
  <si>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</si>
  <si>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</si>
  <si>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</si>
  <si>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</si>
  <si>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</si>
  <si>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</si>
  <si>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</si>
  <si>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</si>
  <si>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</si>
  <si>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</si>
  <si>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</si>
  <si>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</si>
  <si>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</si>
  <si>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</si>
  <si>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</si>
  <si>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</si>
  <si>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</si>
  <si>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</si>
  <si>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</si>
  <si>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</si>
  <si>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</si>
  <si>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</si>
  <si>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</si>
  <si>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</si>
  <si>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</si>
  <si>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</si>
  <si>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</si>
  <si>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</si>
  <si>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</si>
  <si>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</si>
  <si>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</si>
  <si>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</si>
  <si>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</si>
  <si>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</si>
  <si>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</si>
  <si>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</si>
  <si>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</si>
  <si>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</si>
  <si>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</si>
  <si>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</si>
  <si>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</si>
  <si>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</si>
  <si>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</si>
  <si>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</si>
  <si>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</si>
  <si>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</si>
  <si>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</si>
  <si>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</si>
  <si>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</si>
  <si>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</si>
  <si>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</si>
  <si>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</si>
  <si>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</si>
  <si>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</si>
  <si>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</si>
  <si>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</si>
  <si>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</si>
  <si>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</si>
  <si>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</si>
  <si>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</si>
  <si>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</si>
  <si>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</si>
  <si>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</si>
  <si>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</si>
  <si>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</si>
  <si>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</si>
  <si>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</si>
  <si>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</si>
  <si>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</si>
  <si>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</si>
  <si>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</si>
  <si>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</si>
  <si>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</si>
  <si>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</si>
  <si>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</si>
  <si>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</si>
  <si>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</si>
  <si>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</si>
  <si>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</si>
  <si>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</si>
  <si>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</si>
  <si>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</si>
  <si>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</si>
  <si>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</si>
  <si>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</si>
  <si>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</si>
  <si>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</si>
  <si>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</si>
  <si>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</si>
  <si>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</si>
  <si>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</si>
  <si>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</si>
  <si>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</si>
  <si>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</si>
  <si>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</si>
  <si>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</si>
  <si>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</si>
  <si>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</si>
  <si>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</si>
  <si>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</si>
  <si>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</si>
  <si>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</si>
  <si>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</si>
  <si>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</si>
  <si>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</si>
  <si>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</si>
  <si>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</si>
  <si>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</si>
  <si>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</si>
  <si>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</si>
  <si>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</si>
  <si>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</si>
  <si>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</si>
  <si>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</si>
  <si>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</si>
  <si>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</si>
  <si>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</si>
  <si>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</si>
  <si>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</si>
  <si>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</si>
  <si>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</si>
  <si>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</si>
  <si>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</si>
  <si>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</si>
  <si>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33011</t>
  </si>
  <si>
    <t>IEPER</t>
  </si>
  <si>
    <t>Paarden&amp;pony's 200 - 600 kg</t>
  </si>
  <si>
    <t>Paarden&amp;pony's &lt; 200 kg</t>
  </si>
  <si>
    <t>Fluvius</t>
  </si>
  <si>
    <t>referentietaak LNE (2017); Jaarverslag De Lijn</t>
  </si>
  <si>
    <t>Biomass Center Ieper bvba</t>
  </si>
  <si>
    <t>Bargiestraat 1, 8900 Ieper</t>
  </si>
  <si>
    <t>WKK-0102 Biomass Center Ieper</t>
  </si>
  <si>
    <t>interne verbrandingsmotor</t>
  </si>
  <si>
    <t>WKK interne verbrandinsgmotor (gas)</t>
  </si>
  <si>
    <t>GASELWEST</t>
  </si>
  <si>
    <t>IVVO cvba</t>
  </si>
  <si>
    <t>Bargiestraat 6 , 8900 Ieper</t>
  </si>
  <si>
    <t>WKK-0267 IVVO</t>
  </si>
  <si>
    <t>Jan Yperman Ziekenhuis VZW</t>
  </si>
  <si>
    <t>Briekestraat 12 , 8900 Ieper</t>
  </si>
  <si>
    <t>WKK-0571 Jan Yperman Ziekenhuis</t>
  </si>
  <si>
    <t>Waterleau Newenergy Ieper nv</t>
  </si>
  <si>
    <t>Nieuwstraat 26 , 3150 Wespelaar</t>
  </si>
  <si>
    <t>WKK-0507 Waterleau Newenergy Ieper</t>
  </si>
  <si>
    <t>Bargiestraat 4 , 8900 Ieper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</si>
</sst>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286347.09394502261</c:v>
                </c:pt>
                <c:pt idx="1">
                  <c:v>226607.64589006951</c:v>
                </c:pt>
                <c:pt idx="2">
                  <c:v>2708.8539999999998</c:v>
                </c:pt>
                <c:pt idx="3">
                  <c:v>63485.635287355006</c:v>
                </c:pt>
                <c:pt idx="4">
                  <c:v>466854.47971259389</c:v>
                </c:pt>
                <c:pt idx="5">
                  <c:v>231580.66547636461</c:v>
                </c:pt>
                <c:pt idx="6">
                  <c:v>3635.2080268159848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286347.09394502261</c:v>
                </c:pt>
                <c:pt idx="1">
                  <c:v>226607.64589006951</c:v>
                </c:pt>
                <c:pt idx="2">
                  <c:v>2708.8539999999998</c:v>
                </c:pt>
                <c:pt idx="3">
                  <c:v>63485.635287355006</c:v>
                </c:pt>
                <c:pt idx="4">
                  <c:v>466854.47971259389</c:v>
                </c:pt>
                <c:pt idx="5">
                  <c:v>231580.66547636461</c:v>
                </c:pt>
                <c:pt idx="6">
                  <c:v>3635.2080268159848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51619.565899888963</c:v>
                </c:pt>
                <c:pt idx="2">
                  <c:v>37566.756169767934</c:v>
                </c:pt>
                <c:pt idx="3">
                  <c:v>450.11183727000076</c:v>
                </c:pt>
                <c:pt idx="4">
                  <c:v>12516.839520879435</c:v>
                </c:pt>
                <c:pt idx="5">
                  <c:v>89541.389769149639</c:v>
                </c:pt>
                <c:pt idx="6">
                  <c:v>59351.022929605751</c:v>
                </c:pt>
                <c:pt idx="7">
                  <c:v>941.43616225034521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51619.565899888963</c:v>
                </c:pt>
                <c:pt idx="2">
                  <c:v>37566.756169767934</c:v>
                </c:pt>
                <c:pt idx="3">
                  <c:v>450.11183727000076</c:v>
                </c:pt>
                <c:pt idx="4">
                  <c:v>12516.839520879435</c:v>
                </c:pt>
                <c:pt idx="5">
                  <c:v>89541.389769149639</c:v>
                </c:pt>
                <c:pt idx="6">
                  <c:v>59351.022929605751</c:v>
                </c:pt>
                <c:pt idx="7">
                  <c:v>941.43616225034521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33011</v>
      </c>
      <c r="B6" s="390"/>
      <c r="C6" s="391"/>
    </row>
    <row r="7" spans="1:7" s="388" customFormat="1" ht="15.75" customHeight="1">
      <c r="A7" s="392" t="str">
        <f>txtMunicipality</f>
        <v>IEPER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0.16616319567979698</v>
      </c>
      <c r="C17" s="498">
        <f ca="1">'EF ele_warmte'!B22</f>
        <v>9.6478434784092008E-3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0.16616319567979698</v>
      </c>
      <c r="C29" s="499">
        <f ca="1">'EF ele_warmte'!B22</f>
        <v>9.6478434784092008E-3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15142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9122.5300000000007</v>
      </c>
      <c r="C14" s="330"/>
      <c r="D14" s="330"/>
      <c r="E14" s="330"/>
      <c r="F14" s="330"/>
    </row>
    <row r="15" spans="1:6">
      <c r="A15" s="1291" t="s">
        <v>183</v>
      </c>
      <c r="B15" s="1292">
        <v>117</v>
      </c>
      <c r="C15" s="330"/>
      <c r="D15" s="330"/>
      <c r="E15" s="330"/>
      <c r="F15" s="330"/>
    </row>
    <row r="16" spans="1:6">
      <c r="A16" s="1291" t="s">
        <v>6</v>
      </c>
      <c r="B16" s="1292">
        <v>4239</v>
      </c>
      <c r="C16" s="330"/>
      <c r="D16" s="330"/>
      <c r="E16" s="330"/>
      <c r="F16" s="330"/>
    </row>
    <row r="17" spans="1:6">
      <c r="A17" s="1291" t="s">
        <v>7</v>
      </c>
      <c r="B17" s="1292">
        <v>2523</v>
      </c>
      <c r="C17" s="330"/>
      <c r="D17" s="330"/>
      <c r="E17" s="330"/>
      <c r="F17" s="330"/>
    </row>
    <row r="18" spans="1:6">
      <c r="A18" s="1291" t="s">
        <v>8</v>
      </c>
      <c r="B18" s="1292">
        <v>4007</v>
      </c>
      <c r="C18" s="330"/>
      <c r="D18" s="330"/>
      <c r="E18" s="330"/>
      <c r="F18" s="330"/>
    </row>
    <row r="19" spans="1:6">
      <c r="A19" s="1291" t="s">
        <v>9</v>
      </c>
      <c r="B19" s="1292">
        <v>3605</v>
      </c>
      <c r="C19" s="330"/>
      <c r="D19" s="330"/>
      <c r="E19" s="330"/>
      <c r="F19" s="330"/>
    </row>
    <row r="20" spans="1:6">
      <c r="A20" s="1291" t="s">
        <v>10</v>
      </c>
      <c r="B20" s="1292">
        <v>2444</v>
      </c>
      <c r="C20" s="330"/>
      <c r="D20" s="330"/>
      <c r="E20" s="330"/>
      <c r="F20" s="330"/>
    </row>
    <row r="21" spans="1:6">
      <c r="A21" s="1291" t="s">
        <v>11</v>
      </c>
      <c r="B21" s="1292">
        <v>47940</v>
      </c>
      <c r="C21" s="330"/>
      <c r="D21" s="330"/>
      <c r="E21" s="330"/>
      <c r="F21" s="330"/>
    </row>
    <row r="22" spans="1:6">
      <c r="A22" s="1291" t="s">
        <v>12</v>
      </c>
      <c r="B22" s="1292">
        <v>101597</v>
      </c>
      <c r="C22" s="330"/>
      <c r="D22" s="330"/>
      <c r="E22" s="330"/>
      <c r="F22" s="330"/>
    </row>
    <row r="23" spans="1:6">
      <c r="A23" s="1291" t="s">
        <v>13</v>
      </c>
      <c r="B23" s="1292">
        <v>1943</v>
      </c>
      <c r="C23" s="330"/>
      <c r="D23" s="330"/>
      <c r="E23" s="330"/>
      <c r="F23" s="330"/>
    </row>
    <row r="24" spans="1:6">
      <c r="A24" s="1291" t="s">
        <v>14</v>
      </c>
      <c r="B24" s="1292">
        <v>104</v>
      </c>
      <c r="C24" s="330"/>
      <c r="D24" s="330"/>
      <c r="E24" s="330"/>
      <c r="F24" s="330"/>
    </row>
    <row r="25" spans="1:6">
      <c r="A25" s="1291" t="s">
        <v>15</v>
      </c>
      <c r="B25" s="1292">
        <v>12395</v>
      </c>
      <c r="C25" s="330"/>
      <c r="D25" s="330"/>
      <c r="E25" s="330"/>
      <c r="F25" s="330"/>
    </row>
    <row r="26" spans="1:6">
      <c r="A26" s="1291" t="s">
        <v>16</v>
      </c>
      <c r="B26" s="1292">
        <v>876</v>
      </c>
      <c r="C26" s="330"/>
      <c r="D26" s="330"/>
      <c r="E26" s="330"/>
      <c r="F26" s="330"/>
    </row>
    <row r="27" spans="1:6">
      <c r="A27" s="1291" t="s">
        <v>17</v>
      </c>
      <c r="B27" s="1292">
        <v>20</v>
      </c>
      <c r="C27" s="330"/>
      <c r="D27" s="330"/>
      <c r="E27" s="330"/>
      <c r="F27" s="330"/>
    </row>
    <row r="28" spans="1:6" s="43" customFormat="1">
      <c r="A28" s="1293" t="s">
        <v>18</v>
      </c>
      <c r="B28" s="1294">
        <v>461786</v>
      </c>
      <c r="C28" s="336"/>
      <c r="D28" s="336"/>
      <c r="E28" s="336"/>
      <c r="F28" s="336"/>
    </row>
    <row r="29" spans="1:6">
      <c r="A29" s="1293" t="s">
        <v>892</v>
      </c>
      <c r="B29" s="1294">
        <v>183</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18</v>
      </c>
      <c r="F36" s="1292">
        <v>67285.244172999999</v>
      </c>
    </row>
    <row r="37" spans="1:6">
      <c r="A37" s="1291" t="s">
        <v>24</v>
      </c>
      <c r="B37" s="1291" t="s">
        <v>27</v>
      </c>
      <c r="C37" s="1292">
        <v>0</v>
      </c>
      <c r="D37" s="1292">
        <v>0</v>
      </c>
      <c r="E37" s="1292">
        <v>0</v>
      </c>
      <c r="F37" s="1292">
        <v>0</v>
      </c>
    </row>
    <row r="38" spans="1:6">
      <c r="A38" s="1291" t="s">
        <v>24</v>
      </c>
      <c r="B38" s="1291" t="s">
        <v>28</v>
      </c>
      <c r="C38" s="1292">
        <v>4</v>
      </c>
      <c r="D38" s="1292">
        <v>2917748.2434</v>
      </c>
      <c r="E38" s="1292">
        <v>4</v>
      </c>
      <c r="F38" s="1292">
        <v>5451.0338677</v>
      </c>
    </row>
    <row r="39" spans="1:6">
      <c r="A39" s="1291" t="s">
        <v>29</v>
      </c>
      <c r="B39" s="1291" t="s">
        <v>30</v>
      </c>
      <c r="C39" s="1292">
        <v>10620</v>
      </c>
      <c r="D39" s="1292">
        <v>149744778.66</v>
      </c>
      <c r="E39" s="1292">
        <v>14327</v>
      </c>
      <c r="F39" s="1292">
        <v>50565146.152999997</v>
      </c>
    </row>
    <row r="40" spans="1:6">
      <c r="A40" s="1291" t="s">
        <v>29</v>
      </c>
      <c r="B40" s="1291" t="s">
        <v>28</v>
      </c>
      <c r="C40" s="1292">
        <v>0</v>
      </c>
      <c r="D40" s="1292">
        <v>0</v>
      </c>
      <c r="E40" s="1292">
        <v>0</v>
      </c>
      <c r="F40" s="1292">
        <v>0</v>
      </c>
    </row>
    <row r="41" spans="1:6">
      <c r="A41" s="1291" t="s">
        <v>31</v>
      </c>
      <c r="B41" s="1291" t="s">
        <v>32</v>
      </c>
      <c r="C41" s="1292">
        <v>107</v>
      </c>
      <c r="D41" s="1292">
        <v>1647544.6370999999</v>
      </c>
      <c r="E41" s="1292">
        <v>244</v>
      </c>
      <c r="F41" s="1292">
        <v>14575513.683</v>
      </c>
    </row>
    <row r="42" spans="1:6">
      <c r="A42" s="1291" t="s">
        <v>31</v>
      </c>
      <c r="B42" s="1291" t="s">
        <v>33</v>
      </c>
      <c r="C42" s="1292">
        <v>4</v>
      </c>
      <c r="D42" s="1292">
        <v>3707856.2722999998</v>
      </c>
      <c r="E42" s="1292">
        <v>4</v>
      </c>
      <c r="F42" s="1292">
        <v>19287746.778999999</v>
      </c>
    </row>
    <row r="43" spans="1:6">
      <c r="A43" s="1291" t="s">
        <v>31</v>
      </c>
      <c r="B43" s="1291" t="s">
        <v>34</v>
      </c>
      <c r="C43" s="1292">
        <v>0</v>
      </c>
      <c r="D43" s="1292">
        <v>0</v>
      </c>
      <c r="E43" s="1292">
        <v>0</v>
      </c>
      <c r="F43" s="1292">
        <v>0</v>
      </c>
    </row>
    <row r="44" spans="1:6">
      <c r="A44" s="1291" t="s">
        <v>31</v>
      </c>
      <c r="B44" s="1291" t="s">
        <v>35</v>
      </c>
      <c r="C44" s="1292">
        <v>17</v>
      </c>
      <c r="D44" s="1292">
        <v>26785184.59</v>
      </c>
      <c r="E44" s="1292">
        <v>33</v>
      </c>
      <c r="F44" s="1292">
        <v>5012952.9258000003</v>
      </c>
    </row>
    <row r="45" spans="1:6">
      <c r="A45" s="1291" t="s">
        <v>31</v>
      </c>
      <c r="B45" s="1291" t="s">
        <v>36</v>
      </c>
      <c r="C45" s="1292">
        <v>6</v>
      </c>
      <c r="D45" s="1292">
        <v>252882.37776</v>
      </c>
      <c r="E45" s="1292">
        <v>6</v>
      </c>
      <c r="F45" s="1292">
        <v>126095.38589999999</v>
      </c>
    </row>
    <row r="46" spans="1:6">
      <c r="A46" s="1291" t="s">
        <v>31</v>
      </c>
      <c r="B46" s="1291" t="s">
        <v>37</v>
      </c>
      <c r="C46" s="1292">
        <v>0</v>
      </c>
      <c r="D46" s="1292">
        <v>0</v>
      </c>
      <c r="E46" s="1292">
        <v>0</v>
      </c>
      <c r="F46" s="1292">
        <v>0</v>
      </c>
    </row>
    <row r="47" spans="1:6">
      <c r="A47" s="1291" t="s">
        <v>31</v>
      </c>
      <c r="B47" s="1291" t="s">
        <v>38</v>
      </c>
      <c r="C47" s="1292">
        <v>8</v>
      </c>
      <c r="D47" s="1292">
        <v>96568.259114</v>
      </c>
      <c r="E47" s="1292">
        <v>11</v>
      </c>
      <c r="F47" s="1292">
        <v>92881.592617999995</v>
      </c>
    </row>
    <row r="48" spans="1:6">
      <c r="A48" s="1291" t="s">
        <v>31</v>
      </c>
      <c r="B48" s="1291" t="s">
        <v>28</v>
      </c>
      <c r="C48" s="1292">
        <v>82</v>
      </c>
      <c r="D48" s="1292">
        <v>224971462.94</v>
      </c>
      <c r="E48" s="1292">
        <v>107</v>
      </c>
      <c r="F48" s="1292">
        <v>112756814.09999999</v>
      </c>
    </row>
    <row r="49" spans="1:6">
      <c r="A49" s="1291" t="s">
        <v>31</v>
      </c>
      <c r="B49" s="1291" t="s">
        <v>39</v>
      </c>
      <c r="C49" s="1292">
        <v>3</v>
      </c>
      <c r="D49" s="1292">
        <v>283934.92242000002</v>
      </c>
      <c r="E49" s="1292">
        <v>7</v>
      </c>
      <c r="F49" s="1292">
        <v>50541.305654999996</v>
      </c>
    </row>
    <row r="50" spans="1:6">
      <c r="A50" s="1291" t="s">
        <v>31</v>
      </c>
      <c r="B50" s="1291" t="s">
        <v>40</v>
      </c>
      <c r="C50" s="1292">
        <v>28</v>
      </c>
      <c r="D50" s="1292">
        <v>14579789.516000001</v>
      </c>
      <c r="E50" s="1292">
        <v>44</v>
      </c>
      <c r="F50" s="1292">
        <v>6566648.3088999996</v>
      </c>
    </row>
    <row r="51" spans="1:6">
      <c r="A51" s="1291" t="s">
        <v>41</v>
      </c>
      <c r="B51" s="1291" t="s">
        <v>42</v>
      </c>
      <c r="C51" s="1292">
        <v>58</v>
      </c>
      <c r="D51" s="1292">
        <v>1066537.9764</v>
      </c>
      <c r="E51" s="1292">
        <v>367</v>
      </c>
      <c r="F51" s="1292">
        <v>8117735.3192999996</v>
      </c>
    </row>
    <row r="52" spans="1:6">
      <c r="A52" s="1291" t="s">
        <v>41</v>
      </c>
      <c r="B52" s="1291" t="s">
        <v>28</v>
      </c>
      <c r="C52" s="1292">
        <v>9</v>
      </c>
      <c r="D52" s="1292">
        <v>293354.09868</v>
      </c>
      <c r="E52" s="1292">
        <v>22</v>
      </c>
      <c r="F52" s="1292">
        <v>2007871.0271000001</v>
      </c>
    </row>
    <row r="53" spans="1:6">
      <c r="A53" s="1291" t="s">
        <v>43</v>
      </c>
      <c r="B53" s="1291" t="s">
        <v>44</v>
      </c>
      <c r="C53" s="1292">
        <v>361</v>
      </c>
      <c r="D53" s="1292">
        <v>6714984.5869000005</v>
      </c>
      <c r="E53" s="1292">
        <v>609</v>
      </c>
      <c r="F53" s="1292">
        <v>3114809.8975</v>
      </c>
    </row>
    <row r="54" spans="1:6">
      <c r="A54" s="1291" t="s">
        <v>45</v>
      </c>
      <c r="B54" s="1291" t="s">
        <v>46</v>
      </c>
      <c r="C54" s="1292">
        <v>0</v>
      </c>
      <c r="D54" s="1292">
        <v>0</v>
      </c>
      <c r="E54" s="1292">
        <v>2</v>
      </c>
      <c r="F54" s="1292">
        <v>2708854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140</v>
      </c>
      <c r="D57" s="1292">
        <v>5728190.4444000004</v>
      </c>
      <c r="E57" s="1292">
        <v>229</v>
      </c>
      <c r="F57" s="1292">
        <v>8233464.6312999995</v>
      </c>
    </row>
    <row r="58" spans="1:6">
      <c r="A58" s="1291" t="s">
        <v>48</v>
      </c>
      <c r="B58" s="1291" t="s">
        <v>50</v>
      </c>
      <c r="C58" s="1292">
        <v>119</v>
      </c>
      <c r="D58" s="1292">
        <v>25964504.232999999</v>
      </c>
      <c r="E58" s="1292">
        <v>164</v>
      </c>
      <c r="F58" s="1292">
        <v>14299092.391000001</v>
      </c>
    </row>
    <row r="59" spans="1:6">
      <c r="A59" s="1291" t="s">
        <v>48</v>
      </c>
      <c r="B59" s="1291" t="s">
        <v>51</v>
      </c>
      <c r="C59" s="1292">
        <v>287</v>
      </c>
      <c r="D59" s="1292">
        <v>11472228.802999999</v>
      </c>
      <c r="E59" s="1292">
        <v>554</v>
      </c>
      <c r="F59" s="1292">
        <v>16767133.095000001</v>
      </c>
    </row>
    <row r="60" spans="1:6">
      <c r="A60" s="1291" t="s">
        <v>48</v>
      </c>
      <c r="B60" s="1291" t="s">
        <v>52</v>
      </c>
      <c r="C60" s="1292">
        <v>208</v>
      </c>
      <c r="D60" s="1292">
        <v>14275785.460999999</v>
      </c>
      <c r="E60" s="1292">
        <v>250</v>
      </c>
      <c r="F60" s="1292">
        <v>8092510.1897</v>
      </c>
    </row>
    <row r="61" spans="1:6">
      <c r="A61" s="1291" t="s">
        <v>48</v>
      </c>
      <c r="B61" s="1291" t="s">
        <v>53</v>
      </c>
      <c r="C61" s="1292">
        <v>339</v>
      </c>
      <c r="D61" s="1292">
        <v>16123009.225</v>
      </c>
      <c r="E61" s="1292">
        <v>845</v>
      </c>
      <c r="F61" s="1292">
        <v>11857736.254000001</v>
      </c>
    </row>
    <row r="62" spans="1:6">
      <c r="A62" s="1291" t="s">
        <v>48</v>
      </c>
      <c r="B62" s="1291" t="s">
        <v>54</v>
      </c>
      <c r="C62" s="1292">
        <v>27</v>
      </c>
      <c r="D62" s="1292">
        <v>1193052.0497999999</v>
      </c>
      <c r="E62" s="1292">
        <v>34</v>
      </c>
      <c r="F62" s="1292">
        <v>476106.42673000001</v>
      </c>
    </row>
    <row r="63" spans="1:6">
      <c r="A63" s="1291" t="s">
        <v>48</v>
      </c>
      <c r="B63" s="1291" t="s">
        <v>28</v>
      </c>
      <c r="C63" s="1292">
        <v>267</v>
      </c>
      <c r="D63" s="1292">
        <v>15121401.904999999</v>
      </c>
      <c r="E63" s="1292">
        <v>319</v>
      </c>
      <c r="F63" s="1292">
        <v>16420297.425000001</v>
      </c>
    </row>
    <row r="64" spans="1:6">
      <c r="A64" s="1291" t="s">
        <v>55</v>
      </c>
      <c r="B64" s="1291" t="s">
        <v>56</v>
      </c>
      <c r="C64" s="1292">
        <v>0</v>
      </c>
      <c r="D64" s="1292">
        <v>0</v>
      </c>
      <c r="E64" s="1292">
        <v>0</v>
      </c>
      <c r="F64" s="1292">
        <v>0</v>
      </c>
    </row>
    <row r="65" spans="1:6">
      <c r="A65" s="1291" t="s">
        <v>55</v>
      </c>
      <c r="B65" s="1291" t="s">
        <v>28</v>
      </c>
      <c r="C65" s="1292">
        <v>4</v>
      </c>
      <c r="D65" s="1292">
        <v>15284719.472999999</v>
      </c>
      <c r="E65" s="1292">
        <v>11</v>
      </c>
      <c r="F65" s="1292">
        <v>1719463.1767</v>
      </c>
    </row>
    <row r="66" spans="1:6">
      <c r="A66" s="1291" t="s">
        <v>55</v>
      </c>
      <c r="B66" s="1291" t="s">
        <v>57</v>
      </c>
      <c r="C66" s="1292">
        <v>3</v>
      </c>
      <c r="D66" s="1292">
        <v>434037.21195999999</v>
      </c>
      <c r="E66" s="1292">
        <v>23</v>
      </c>
      <c r="F66" s="1292">
        <v>595660.43137000001</v>
      </c>
    </row>
    <row r="67" spans="1:6">
      <c r="A67" s="1293" t="s">
        <v>55</v>
      </c>
      <c r="B67" s="1293" t="s">
        <v>58</v>
      </c>
      <c r="C67" s="1292">
        <v>0</v>
      </c>
      <c r="D67" s="1292">
        <v>0</v>
      </c>
      <c r="E67" s="1292">
        <v>0</v>
      </c>
      <c r="F67" s="1292">
        <v>0</v>
      </c>
    </row>
    <row r="68" spans="1:6">
      <c r="A68" s="1286" t="s">
        <v>55</v>
      </c>
      <c r="B68" s="1286" t="s">
        <v>59</v>
      </c>
      <c r="C68" s="1295">
        <v>8</v>
      </c>
      <c r="D68" s="1295">
        <v>294137.46490999998</v>
      </c>
      <c r="E68" s="1295">
        <v>25</v>
      </c>
      <c r="F68" s="1295">
        <v>587727.03940999997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181491731</v>
      </c>
      <c r="E73" s="449"/>
      <c r="F73" s="330"/>
    </row>
    <row r="74" spans="1:6">
      <c r="A74" s="1291" t="s">
        <v>63</v>
      </c>
      <c r="B74" s="1291" t="s">
        <v>664</v>
      </c>
      <c r="C74" s="1305" t="s">
        <v>666</v>
      </c>
      <c r="D74" s="1306">
        <v>24121397.832430266</v>
      </c>
      <c r="E74" s="449"/>
      <c r="F74" s="330"/>
    </row>
    <row r="75" spans="1:6">
      <c r="A75" s="1291" t="s">
        <v>64</v>
      </c>
      <c r="B75" s="1291" t="s">
        <v>663</v>
      </c>
      <c r="C75" s="1305" t="s">
        <v>667</v>
      </c>
      <c r="D75" s="1306">
        <v>39124491</v>
      </c>
      <c r="E75" s="449"/>
      <c r="F75" s="330"/>
    </row>
    <row r="76" spans="1:6">
      <c r="A76" s="1291" t="s">
        <v>64</v>
      </c>
      <c r="B76" s="1291" t="s">
        <v>664</v>
      </c>
      <c r="C76" s="1305" t="s">
        <v>668</v>
      </c>
      <c r="D76" s="1306">
        <v>2431400.8324302658</v>
      </c>
      <c r="E76" s="449"/>
      <c r="F76" s="330"/>
    </row>
    <row r="77" spans="1:6">
      <c r="A77" s="1291" t="s">
        <v>65</v>
      </c>
      <c r="B77" s="1291" t="s">
        <v>663</v>
      </c>
      <c r="C77" s="1305" t="s">
        <v>669</v>
      </c>
      <c r="D77" s="1306">
        <v>8319810</v>
      </c>
      <c r="E77" s="449"/>
      <c r="F77" s="330"/>
    </row>
    <row r="78" spans="1:6">
      <c r="A78" s="1286" t="s">
        <v>65</v>
      </c>
      <c r="B78" s="1286" t="s">
        <v>664</v>
      </c>
      <c r="C78" s="1286" t="s">
        <v>670</v>
      </c>
      <c r="D78" s="1307">
        <v>1568871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986354.33513946855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36511.721806962072</v>
      </c>
      <c r="C90" s="330"/>
      <c r="D90" s="330"/>
      <c r="E90" s="330"/>
      <c r="F90" s="330"/>
    </row>
    <row r="91" spans="1:6">
      <c r="A91" s="1291" t="s">
        <v>67</v>
      </c>
      <c r="B91" s="1292">
        <v>6699.7239305486391</v>
      </c>
      <c r="C91" s="330"/>
      <c r="D91" s="330"/>
      <c r="E91" s="330"/>
      <c r="F91" s="330"/>
    </row>
    <row r="92" spans="1:6">
      <c r="A92" s="1286" t="s">
        <v>68</v>
      </c>
      <c r="B92" s="1287">
        <v>8873.5480843262776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7879</v>
      </c>
      <c r="C97" s="330"/>
      <c r="D97" s="330"/>
      <c r="E97" s="330"/>
      <c r="F97" s="330"/>
    </row>
    <row r="98" spans="1:6">
      <c r="A98" s="1291" t="s">
        <v>71</v>
      </c>
      <c r="B98" s="1292">
        <v>2</v>
      </c>
      <c r="C98" s="330"/>
      <c r="D98" s="330"/>
      <c r="E98" s="330"/>
      <c r="F98" s="330"/>
    </row>
    <row r="99" spans="1:6">
      <c r="A99" s="1291" t="s">
        <v>72</v>
      </c>
      <c r="B99" s="1292">
        <v>295</v>
      </c>
      <c r="C99" s="330"/>
      <c r="D99" s="330"/>
      <c r="E99" s="330"/>
      <c r="F99" s="330"/>
    </row>
    <row r="100" spans="1:6">
      <c r="A100" s="1291" t="s">
        <v>73</v>
      </c>
      <c r="B100" s="1292">
        <v>1386</v>
      </c>
      <c r="C100" s="330"/>
      <c r="D100" s="330"/>
      <c r="E100" s="330"/>
      <c r="F100" s="330"/>
    </row>
    <row r="101" spans="1:6">
      <c r="A101" s="1291" t="s">
        <v>74</v>
      </c>
      <c r="B101" s="1292">
        <v>247</v>
      </c>
      <c r="C101" s="330"/>
      <c r="D101" s="330"/>
      <c r="E101" s="330"/>
      <c r="F101" s="330"/>
    </row>
    <row r="102" spans="1:6">
      <c r="A102" s="1291" t="s">
        <v>75</v>
      </c>
      <c r="B102" s="1292">
        <v>262</v>
      </c>
      <c r="C102" s="330"/>
      <c r="D102" s="330"/>
      <c r="E102" s="330"/>
      <c r="F102" s="330"/>
    </row>
    <row r="103" spans="1:6">
      <c r="A103" s="1291" t="s">
        <v>76</v>
      </c>
      <c r="B103" s="1292">
        <v>465</v>
      </c>
      <c r="C103" s="330"/>
      <c r="D103" s="330"/>
      <c r="E103" s="330"/>
      <c r="F103" s="330"/>
    </row>
    <row r="104" spans="1:6">
      <c r="A104" s="1291" t="s">
        <v>77</v>
      </c>
      <c r="B104" s="1292">
        <v>3046</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30</v>
      </c>
      <c r="C123" s="1292">
        <v>35</v>
      </c>
      <c r="D123" s="330"/>
      <c r="E123" s="330"/>
      <c r="F123" s="330"/>
    </row>
    <row r="124" spans="1:6" s="43" customFormat="1">
      <c r="A124" s="1293" t="s">
        <v>88</v>
      </c>
      <c r="B124" s="1314">
        <v>3</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422</v>
      </c>
      <c r="C129" s="330"/>
      <c r="D129" s="330"/>
      <c r="E129" s="330"/>
      <c r="F129" s="330"/>
    </row>
    <row r="130" spans="1:6">
      <c r="A130" s="1291" t="s">
        <v>294</v>
      </c>
      <c r="B130" s="1292">
        <v>8</v>
      </c>
      <c r="C130" s="330"/>
      <c r="D130" s="330"/>
      <c r="E130" s="330"/>
      <c r="F130" s="330"/>
    </row>
    <row r="131" spans="1:6">
      <c r="A131" s="1291" t="s">
        <v>295</v>
      </c>
      <c r="B131" s="1292">
        <v>5</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329530.77890884341</v>
      </c>
      <c r="C3" s="43" t="s">
        <v>169</v>
      </c>
      <c r="D3" s="43"/>
      <c r="E3" s="154"/>
      <c r="F3" s="43"/>
      <c r="G3" s="43"/>
      <c r="H3" s="43"/>
      <c r="I3" s="43"/>
      <c r="J3" s="43"/>
      <c r="K3" s="96"/>
    </row>
    <row r="4" spans="1:11">
      <c r="A4" s="358" t="s">
        <v>170</v>
      </c>
      <c r="B4" s="49">
        <f>IF(ISERROR('SEAP template'!B78+'SEAP template'!C78),0,'SEAP template'!B78+'SEAP template'!C78)</f>
        <v>83121.493821836993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299.43529411764717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0.16616319567979698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427.7647058823531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44337.857142857145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9.6478434784092008E-3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2708.8539999999998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2708.8539999999998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0.16616319567979698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450.11183727000076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50565.146152999994</v>
      </c>
      <c r="C5" s="17">
        <f>IF(ISERROR('Eigen informatie GS &amp; warmtenet'!B57),0,'Eigen informatie GS &amp; warmtenet'!B57)</f>
        <v>0</v>
      </c>
      <c r="D5" s="30">
        <f>(SUM(HH_hh_gas_kWh,HH_rest_gas_kWh)/1000)*0.902</f>
        <v>135069.79035132</v>
      </c>
      <c r="E5" s="17">
        <f>B46*B57</f>
        <v>46101.584203990264</v>
      </c>
      <c r="F5" s="17">
        <f>B51*B62</f>
        <v>11805.378522148401</v>
      </c>
      <c r="G5" s="18"/>
      <c r="H5" s="17"/>
      <c r="I5" s="17"/>
      <c r="J5" s="17">
        <f>B50*B61+C50*C61</f>
        <v>3398.4710619549869</v>
      </c>
      <c r="K5" s="17"/>
      <c r="L5" s="17"/>
      <c r="M5" s="17"/>
      <c r="N5" s="17">
        <f>B48*B59+C48*C59</f>
        <v>30846.993055393694</v>
      </c>
      <c r="O5" s="17">
        <f>B69*B70*B71</f>
        <v>716.00666666666677</v>
      </c>
      <c r="P5" s="17">
        <f>B77*B78*B79/1000-B77*B78*B79/1000/B80</f>
        <v>1144</v>
      </c>
    </row>
    <row r="6" spans="1:16">
      <c r="A6" s="16" t="s">
        <v>623</v>
      </c>
      <c r="B6" s="762">
        <f>kWh_PV_kleiner_dan_10kW</f>
        <v>6699.7239305486391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57264.870083548631</v>
      </c>
      <c r="C8" s="21">
        <f>C5</f>
        <v>0</v>
      </c>
      <c r="D8" s="21">
        <f>D5</f>
        <v>135069.79035132</v>
      </c>
      <c r="E8" s="21">
        <f>E5</f>
        <v>46101.584203990264</v>
      </c>
      <c r="F8" s="21">
        <f>F5</f>
        <v>11805.378522148401</v>
      </c>
      <c r="G8" s="21"/>
      <c r="H8" s="21"/>
      <c r="I8" s="21"/>
      <c r="J8" s="21">
        <f>J5</f>
        <v>3398.4710619549869</v>
      </c>
      <c r="K8" s="21"/>
      <c r="L8" s="21">
        <f>L5</f>
        <v>0</v>
      </c>
      <c r="M8" s="21">
        <f>M5</f>
        <v>0</v>
      </c>
      <c r="N8" s="21">
        <f>N5</f>
        <v>30846.993055393694</v>
      </c>
      <c r="O8" s="21">
        <f>O5</f>
        <v>716.00666666666677</v>
      </c>
      <c r="P8" s="21">
        <f>P5</f>
        <v>1144</v>
      </c>
    </row>
    <row r="9" spans="1:16">
      <c r="B9" s="19"/>
      <c r="C9" s="19"/>
      <c r="D9" s="258"/>
      <c r="E9" s="19"/>
      <c r="F9" s="19"/>
      <c r="G9" s="19"/>
      <c r="H9" s="19"/>
      <c r="I9" s="19"/>
      <c r="J9" s="19"/>
      <c r="K9" s="19"/>
      <c r="L9" s="19"/>
      <c r="M9" s="19"/>
      <c r="N9" s="19"/>
      <c r="O9" s="19"/>
      <c r="P9" s="19"/>
    </row>
    <row r="10" spans="1:16">
      <c r="A10" s="24" t="s">
        <v>213</v>
      </c>
      <c r="B10" s="25">
        <f ca="1">'EF ele_warmte'!B12</f>
        <v>0.16616319567979698</v>
      </c>
      <c r="C10" s="25">
        <f ca="1">'EF ele_warmte'!B22</f>
        <v>9.6478434784092008E-3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9515.3138132708427</v>
      </c>
      <c r="C12" s="23">
        <f ca="1">C10*C8</f>
        <v>0</v>
      </c>
      <c r="D12" s="23">
        <f>D8*D10</f>
        <v>27284.097650966643</v>
      </c>
      <c r="E12" s="23">
        <f>E10*E8</f>
        <v>10465.05961430579</v>
      </c>
      <c r="F12" s="23">
        <f>F10*F8</f>
        <v>3152.0360654136234</v>
      </c>
      <c r="G12" s="23"/>
      <c r="H12" s="23"/>
      <c r="I12" s="23"/>
      <c r="J12" s="23">
        <f>J10*J8</f>
        <v>1203.0587559320652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15142</v>
      </c>
      <c r="C28" s="36"/>
      <c r="D28" s="228"/>
    </row>
    <row r="29" spans="1:7" s="15" customFormat="1">
      <c r="A29" s="230" t="s">
        <v>696</v>
      </c>
      <c r="B29" s="37">
        <f>SUM(HH_hh_gas_aantal,HH_rest_gas_aantal)</f>
        <v>10620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10620</v>
      </c>
      <c r="C32" s="167">
        <f>IF(ISERROR(B32/SUM($B$32,$B$34,$B$35,$B$36,$B$38,$B$39)*100),0,B32/SUM($B$32,$B$34,$B$35,$B$36,$B$38,$B$39)*100)</f>
        <v>70.415064315077586</v>
      </c>
      <c r="D32" s="233"/>
      <c r="G32" s="15"/>
    </row>
    <row r="33" spans="1:7">
      <c r="A33" s="171" t="s">
        <v>71</v>
      </c>
      <c r="B33" s="34" t="s">
        <v>110</v>
      </c>
      <c r="C33" s="167"/>
      <c r="D33" s="233"/>
      <c r="G33" s="15"/>
    </row>
    <row r="34" spans="1:7">
      <c r="A34" s="171" t="s">
        <v>72</v>
      </c>
      <c r="B34" s="33">
        <f>IF((($B$28-$B$32-$B$39-$B$77-$B$38)*C20/100)&lt;0,0,($B$28-$B$32-$B$39-$B$77-$B$38)*C20/100)</f>
        <v>564.90663900414938</v>
      </c>
      <c r="C34" s="167">
        <f>IF(ISERROR(B34/SUM($B$32,$B$34,$B$35,$B$36,$B$38,$B$39)*100),0,B34/SUM($B$32,$B$34,$B$35,$B$36,$B$38,$B$39)*100)</f>
        <v>3.7455684856394997</v>
      </c>
      <c r="D34" s="233"/>
      <c r="G34" s="15"/>
    </row>
    <row r="35" spans="1:7">
      <c r="A35" s="171" t="s">
        <v>73</v>
      </c>
      <c r="B35" s="33">
        <f>IF((($B$28-$B$32-$B$39-$B$77-$B$38)*C21/100)&lt;0,0,($B$28-$B$32-$B$39-$B$77-$B$38)*C21/100)</f>
        <v>2654.1037344398342</v>
      </c>
      <c r="C35" s="167">
        <f>IF(ISERROR(B35/SUM($B$32,$B$34,$B$35,$B$36,$B$38,$B$39)*100),0,B35/SUM($B$32,$B$34,$B$35,$B$36,$B$38,$B$39)*100)</f>
        <v>17.597823461343552</v>
      </c>
      <c r="D35" s="233"/>
      <c r="G35" s="15"/>
    </row>
    <row r="36" spans="1:7">
      <c r="A36" s="171" t="s">
        <v>74</v>
      </c>
      <c r="B36" s="33">
        <f>IF((($B$28-$B$32-$B$39-$B$77-$B$38)*C22/100)&lt;0,0,($B$28-$B$32-$B$39-$B$77-$B$38)*C22/100)</f>
        <v>472.98962655601662</v>
      </c>
      <c r="C36" s="167">
        <f>IF(ISERROR(B36/SUM($B$32,$B$34,$B$35,$B$36,$B$38,$B$39)*100),0,B36/SUM($B$32,$B$34,$B$35,$B$36,$B$38,$B$39)*100)</f>
        <v>3.1361200540778187</v>
      </c>
      <c r="D36" s="233"/>
      <c r="G36" s="15"/>
    </row>
    <row r="37" spans="1:7">
      <c r="A37" s="171" t="s">
        <v>75</v>
      </c>
      <c r="B37" s="34" t="s">
        <v>110</v>
      </c>
      <c r="C37" s="167"/>
      <c r="D37" s="173"/>
      <c r="G37" s="15"/>
    </row>
    <row r="38" spans="1:7">
      <c r="A38" s="171" t="s">
        <v>76</v>
      </c>
      <c r="B38" s="33">
        <f>IF((B24-(B29-B18)*0.1)&lt;0,0,B24-(B29-B18)*0.1)</f>
        <v>190.89999999999998</v>
      </c>
      <c r="C38" s="167">
        <f>IF(ISERROR(B38/SUM($B$32,$B$34,$B$35,$B$36,$B$38,$B$39)*100),0,B38/SUM($B$32,$B$34,$B$35,$B$36,$B$38,$B$39)*100)</f>
        <v>1.265747248375547</v>
      </c>
      <c r="D38" s="234"/>
      <c r="G38" s="15"/>
    </row>
    <row r="39" spans="1:7">
      <c r="A39" s="171" t="s">
        <v>77</v>
      </c>
      <c r="B39" s="33">
        <f>IF((B25-(B29-B18))&lt;0,0,B25-(B29-B18)*0.9)</f>
        <v>579.09999999999991</v>
      </c>
      <c r="C39" s="167">
        <f>IF(ISERROR(B39/SUM($B$32,$B$34,$B$35,$B$36,$B$38,$B$39)*100),0,B39/SUM($B$32,$B$34,$B$35,$B$36,$B$38,$B$39)*100)</f>
        <v>3.8396764354860093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10620</v>
      </c>
      <c r="C44" s="34" t="s">
        <v>110</v>
      </c>
      <c r="D44" s="174"/>
    </row>
    <row r="45" spans="1:7">
      <c r="A45" s="171" t="s">
        <v>71</v>
      </c>
      <c r="B45" s="33" t="str">
        <f t="shared" si="0"/>
        <v>-</v>
      </c>
      <c r="C45" s="34" t="s">
        <v>110</v>
      </c>
      <c r="D45" s="174"/>
    </row>
    <row r="46" spans="1:7">
      <c r="A46" s="171" t="s">
        <v>72</v>
      </c>
      <c r="B46" s="33">
        <f t="shared" si="0"/>
        <v>564.90663900414938</v>
      </c>
      <c r="C46" s="34" t="s">
        <v>110</v>
      </c>
      <c r="D46" s="174"/>
    </row>
    <row r="47" spans="1:7">
      <c r="A47" s="171" t="s">
        <v>73</v>
      </c>
      <c r="B47" s="33">
        <f t="shared" si="0"/>
        <v>2654.1037344398342</v>
      </c>
      <c r="C47" s="34" t="s">
        <v>110</v>
      </c>
      <c r="D47" s="174"/>
    </row>
    <row r="48" spans="1:7">
      <c r="A48" s="171" t="s">
        <v>74</v>
      </c>
      <c r="B48" s="33">
        <f t="shared" si="0"/>
        <v>472.98962655601662</v>
      </c>
      <c r="C48" s="33">
        <f>B48*10</f>
        <v>4729.8962655601663</v>
      </c>
      <c r="D48" s="234"/>
    </row>
    <row r="49" spans="1:6">
      <c r="A49" s="171" t="s">
        <v>75</v>
      </c>
      <c r="B49" s="33" t="str">
        <f t="shared" si="0"/>
        <v>-</v>
      </c>
      <c r="C49" s="34" t="s">
        <v>110</v>
      </c>
      <c r="D49" s="234"/>
    </row>
    <row r="50" spans="1:6">
      <c r="A50" s="171" t="s">
        <v>76</v>
      </c>
      <c r="B50" s="33">
        <f t="shared" si="0"/>
        <v>190.89999999999998</v>
      </c>
      <c r="C50" s="33">
        <f>B50*2</f>
        <v>381.79999999999995</v>
      </c>
      <c r="D50" s="234"/>
    </row>
    <row r="51" spans="1:6">
      <c r="A51" s="171" t="s">
        <v>77</v>
      </c>
      <c r="B51" s="33">
        <f t="shared" si="0"/>
        <v>579.09999999999991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76146.340412730002</v>
      </c>
      <c r="C5" s="17">
        <f>IF(ISERROR('Eigen informatie GS &amp; warmtenet'!B58),0,'Eigen informatie GS &amp; warmtenet'!B58)</f>
        <v>0</v>
      </c>
      <c r="D5" s="30">
        <f>SUM(D6:D12)</f>
        <v>81070.111253322408</v>
      </c>
      <c r="E5" s="17">
        <f>SUM(E6:E12)</f>
        <v>1256.3960935122925</v>
      </c>
      <c r="F5" s="17">
        <f>SUM(F6:F12)</f>
        <v>19038.672416219066</v>
      </c>
      <c r="G5" s="18"/>
      <c r="H5" s="17"/>
      <c r="I5" s="17"/>
      <c r="J5" s="17">
        <f>SUM(J6:J12)</f>
        <v>0</v>
      </c>
      <c r="K5" s="17"/>
      <c r="L5" s="17"/>
      <c r="M5" s="17"/>
      <c r="N5" s="17">
        <f>SUM(N6:N12)</f>
        <v>8140.0649808405506</v>
      </c>
      <c r="O5" s="17">
        <f>B38*B39*B40</f>
        <v>12.506666666666668</v>
      </c>
      <c r="P5" s="17">
        <f>B46*B47*B48/1000-B46*B47*B48/1000/B49</f>
        <v>95.333333333333343</v>
      </c>
      <c r="R5" s="32"/>
    </row>
    <row r="6" spans="1:18">
      <c r="A6" s="32" t="s">
        <v>53</v>
      </c>
      <c r="B6" s="37">
        <f>B26</f>
        <v>11857.736254000001</v>
      </c>
      <c r="C6" s="33"/>
      <c r="D6" s="37">
        <f>IF(ISERROR(TER_kantoor_gas_kWh/1000),0,TER_kantoor_gas_kWh/1000)*0.902</f>
        <v>14542.954320950001</v>
      </c>
      <c r="E6" s="33">
        <f>$C$26*'E Balans VL '!I12/100/3.6*1000000</f>
        <v>155.23237417790727</v>
      </c>
      <c r="F6" s="33">
        <f>$C$26*('E Balans VL '!L12+'E Balans VL '!N12)/100/3.6*1000000</f>
        <v>3023.6002115007695</v>
      </c>
      <c r="G6" s="34"/>
      <c r="H6" s="33"/>
      <c r="I6" s="33"/>
      <c r="J6" s="33">
        <f>$C$26*('E Balans VL '!D12+'E Balans VL '!E12)/100/3.6*1000000</f>
        <v>0</v>
      </c>
      <c r="K6" s="33"/>
      <c r="L6" s="33"/>
      <c r="M6" s="33"/>
      <c r="N6" s="33">
        <f>$C$26*'E Balans VL '!Y12/100/3.6*1000000</f>
        <v>11.897666545701679</v>
      </c>
      <c r="O6" s="33"/>
      <c r="P6" s="33"/>
      <c r="R6" s="32"/>
    </row>
    <row r="7" spans="1:18">
      <c r="A7" s="32" t="s">
        <v>52</v>
      </c>
      <c r="B7" s="37">
        <f t="shared" ref="B7:B12" si="0">B27</f>
        <v>8092.5101897000004</v>
      </c>
      <c r="C7" s="33"/>
      <c r="D7" s="37">
        <f>IF(ISERROR(TER_horeca_gas_kWh/1000),0,TER_horeca_gas_kWh/1000)*0.902</f>
        <v>12876.758485822</v>
      </c>
      <c r="E7" s="33">
        <f>$C$27*'E Balans VL '!I9/100/3.6*1000000</f>
        <v>267.81286219088798</v>
      </c>
      <c r="F7" s="33">
        <f>$C$27*('E Balans VL '!L9+'E Balans VL '!N9)/100/3.6*1000000</f>
        <v>3479.7483673152506</v>
      </c>
      <c r="G7" s="34"/>
      <c r="H7" s="33"/>
      <c r="I7" s="33"/>
      <c r="J7" s="33">
        <f>$C$27*('E Balans VL '!D9+'E Balans VL '!E9)/100/3.6*1000000</f>
        <v>0</v>
      </c>
      <c r="K7" s="33"/>
      <c r="L7" s="33"/>
      <c r="M7" s="33"/>
      <c r="N7" s="33">
        <f>$C$27*'E Balans VL '!Y9/100/3.6*1000000</f>
        <v>1.9479847188050696</v>
      </c>
      <c r="O7" s="33"/>
      <c r="P7" s="33"/>
      <c r="R7" s="32"/>
    </row>
    <row r="8" spans="1:18">
      <c r="A8" s="6" t="s">
        <v>51</v>
      </c>
      <c r="B8" s="37">
        <f t="shared" si="0"/>
        <v>16767.133095000001</v>
      </c>
      <c r="C8" s="33"/>
      <c r="D8" s="37">
        <f>IF(ISERROR(TER_handel_gas_kWh/1000),0,TER_handel_gas_kWh/1000)*0.902</f>
        <v>10347.950380306</v>
      </c>
      <c r="E8" s="33">
        <f>$C$28*'E Balans VL '!I13/100/3.6*1000000</f>
        <v>529.19633989496663</v>
      </c>
      <c r="F8" s="33">
        <f>$C$28*('E Balans VL '!L13+'E Balans VL '!N13)/100/3.6*1000000</f>
        <v>3288.3300508125035</v>
      </c>
      <c r="G8" s="34"/>
      <c r="H8" s="33"/>
      <c r="I8" s="33"/>
      <c r="J8" s="33">
        <f>$C$28*('E Balans VL '!D13+'E Balans VL '!E13)/100/3.6*1000000</f>
        <v>0</v>
      </c>
      <c r="K8" s="33"/>
      <c r="L8" s="33"/>
      <c r="M8" s="33"/>
      <c r="N8" s="33">
        <f>$C$28*'E Balans VL '!Y13/100/3.6*1000000</f>
        <v>19.899331684838174</v>
      </c>
      <c r="O8" s="33"/>
      <c r="P8" s="33"/>
      <c r="R8" s="32"/>
    </row>
    <row r="9" spans="1:18">
      <c r="A9" s="32" t="s">
        <v>50</v>
      </c>
      <c r="B9" s="37">
        <f t="shared" si="0"/>
        <v>14299.092391</v>
      </c>
      <c r="C9" s="33"/>
      <c r="D9" s="37">
        <f>IF(ISERROR(TER_gezond_gas_kWh/1000),0,TER_gezond_gas_kWh/1000)*0.902</f>
        <v>23419.982818166001</v>
      </c>
      <c r="E9" s="33">
        <f>$C$29*'E Balans VL '!I10/100/3.6*1000000</f>
        <v>1.8307021367143694</v>
      </c>
      <c r="F9" s="33">
        <f>$C$29*('E Balans VL '!L10+'E Balans VL '!N10)/100/3.6*1000000</f>
        <v>2979.1002749320251</v>
      </c>
      <c r="G9" s="34"/>
      <c r="H9" s="33"/>
      <c r="I9" s="33"/>
      <c r="J9" s="33">
        <f>$C$29*('E Balans VL '!D10+'E Balans VL '!E10)/100/3.6*1000000</f>
        <v>0</v>
      </c>
      <c r="K9" s="33"/>
      <c r="L9" s="33"/>
      <c r="M9" s="33"/>
      <c r="N9" s="33">
        <f>$C$29*'E Balans VL '!Y10/100/3.6*1000000</f>
        <v>167.9495987718891</v>
      </c>
      <c r="O9" s="33"/>
      <c r="P9" s="33"/>
      <c r="R9" s="32"/>
    </row>
    <row r="10" spans="1:18">
      <c r="A10" s="32" t="s">
        <v>49</v>
      </c>
      <c r="B10" s="37">
        <f t="shared" si="0"/>
        <v>8233.4646312999994</v>
      </c>
      <c r="C10" s="33"/>
      <c r="D10" s="37">
        <f>IF(ISERROR(TER_ander_gas_kWh/1000),0,TER_ander_gas_kWh/1000)*0.902</f>
        <v>5166.8277808488001</v>
      </c>
      <c r="E10" s="33">
        <f>$C$30*'E Balans VL '!I14/100/3.6*1000000</f>
        <v>12.381194577924555</v>
      </c>
      <c r="F10" s="33">
        <f>$C$30*('E Balans VL '!L14+'E Balans VL '!N14)/100/3.6*1000000</f>
        <v>1817.6835881768388</v>
      </c>
      <c r="G10" s="34"/>
      <c r="H10" s="33"/>
      <c r="I10" s="33"/>
      <c r="J10" s="33">
        <f>$C$30*('E Balans VL '!D14+'E Balans VL '!E14)/100/3.6*1000000</f>
        <v>0</v>
      </c>
      <c r="K10" s="33"/>
      <c r="L10" s="33"/>
      <c r="M10" s="33"/>
      <c r="N10" s="33">
        <f>$C$30*'E Balans VL '!Y14/100/3.6*1000000</f>
        <v>6488.5242207427655</v>
      </c>
      <c r="O10" s="33"/>
      <c r="P10" s="33"/>
      <c r="R10" s="32"/>
    </row>
    <row r="11" spans="1:18">
      <c r="A11" s="32" t="s">
        <v>54</v>
      </c>
      <c r="B11" s="37">
        <f t="shared" si="0"/>
        <v>476.10642673000001</v>
      </c>
      <c r="C11" s="33"/>
      <c r="D11" s="37">
        <f>IF(ISERROR(TER_onderwijs_gas_kWh/1000),0,TER_onderwijs_gas_kWh/1000)*0.902</f>
        <v>1076.1329489195998</v>
      </c>
      <c r="E11" s="33">
        <f>$C$31*'E Balans VL '!I11/100/3.6*1000000</f>
        <v>0.83846331505217842</v>
      </c>
      <c r="F11" s="33">
        <f>$C$31*('E Balans VL '!L11+'E Balans VL '!N11)/100/3.6*1000000</f>
        <v>219.82695235278385</v>
      </c>
      <c r="G11" s="34"/>
      <c r="H11" s="33"/>
      <c r="I11" s="33"/>
      <c r="J11" s="33">
        <f>$C$31*('E Balans VL '!D11+'E Balans VL '!E11)/100/3.6*1000000</f>
        <v>0</v>
      </c>
      <c r="K11" s="33"/>
      <c r="L11" s="33"/>
      <c r="M11" s="33"/>
      <c r="N11" s="33">
        <f>$C$31*'E Balans VL '!Y11/100/3.6*1000000</f>
        <v>0.88699285696840802</v>
      </c>
      <c r="O11" s="33"/>
      <c r="P11" s="33"/>
      <c r="R11" s="32"/>
    </row>
    <row r="12" spans="1:18">
      <c r="A12" s="32" t="s">
        <v>259</v>
      </c>
      <c r="B12" s="37">
        <f t="shared" si="0"/>
        <v>16420.297425000001</v>
      </c>
      <c r="C12" s="33"/>
      <c r="D12" s="37">
        <f>IF(ISERROR(TER_rest_gas_kWh/1000),0,TER_rest_gas_kWh/1000)*0.902</f>
        <v>13639.504518309999</v>
      </c>
      <c r="E12" s="33">
        <f>$C$32*'E Balans VL '!I8/100/3.6*1000000</f>
        <v>289.10415721883936</v>
      </c>
      <c r="F12" s="33">
        <f>$C$32*('E Balans VL '!L8+'E Balans VL '!N8)/100/3.6*1000000</f>
        <v>4230.3829711288954</v>
      </c>
      <c r="G12" s="34"/>
      <c r="H12" s="33"/>
      <c r="I12" s="33"/>
      <c r="J12" s="33">
        <f>$C$32*('E Balans VL '!D8+'E Balans VL '!E8)/100/3.6*1000000</f>
        <v>0</v>
      </c>
      <c r="K12" s="33"/>
      <c r="L12" s="33"/>
      <c r="M12" s="33"/>
      <c r="N12" s="33">
        <f>$C$32*'E Balans VL '!Y8/100/3.6*1000000</f>
        <v>1448.9591855195831</v>
      </c>
      <c r="O12" s="33"/>
      <c r="P12" s="33"/>
      <c r="R12" s="32"/>
    </row>
    <row r="13" spans="1:18">
      <c r="A13" s="16" t="s">
        <v>490</v>
      </c>
      <c r="B13" s="247">
        <f ca="1">'lokale energieproductie'!N41+'lokale energieproductie'!N34</f>
        <v>21654</v>
      </c>
      <c r="C13" s="247">
        <f ca="1">'lokale energieproductie'!O41+'lokale energieproductie'!O34</f>
        <v>30934.285714285714</v>
      </c>
      <c r="D13" s="308">
        <f ca="1">('lokale energieproductie'!P34+'lokale energieproductie'!P41)*(-1)</f>
        <v>-3600.0000000000009</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-58268.571428571435</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97800.340412730002</v>
      </c>
      <c r="C16" s="21">
        <f t="shared" ca="1" si="1"/>
        <v>30934.285714285714</v>
      </c>
      <c r="D16" s="21">
        <f t="shared" ca="1" si="1"/>
        <v>77470.111253322408</v>
      </c>
      <c r="E16" s="21">
        <f t="shared" si="1"/>
        <v>1256.3960935122925</v>
      </c>
      <c r="F16" s="21">
        <f t="shared" ca="1" si="1"/>
        <v>19038.672416219066</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0.16616319567979698</v>
      </c>
      <c r="C18" s="25">
        <f ca="1">'EF ele_warmte'!B22</f>
        <v>9.6478434784092008E-3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16250.817101551213</v>
      </c>
      <c r="C20" s="23">
        <f t="shared" ref="C20:P20" ca="1" si="2">C16*C18</f>
        <v>298.44914668781831</v>
      </c>
      <c r="D20" s="23">
        <f t="shared" ca="1" si="2"/>
        <v>15648.962473171126</v>
      </c>
      <c r="E20" s="23">
        <f t="shared" si="2"/>
        <v>285.20191322729039</v>
      </c>
      <c r="F20" s="23">
        <f t="shared" ca="1" si="2"/>
        <v>5083.3255351304906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11857.736254000001</v>
      </c>
      <c r="C26" s="39">
        <f>IF(ISERROR(B26*3.6/1000000/'E Balans VL '!Z12*100),0,B26*3.6/1000000/'E Balans VL '!Z12*100)</f>
        <v>0.25400192247726805</v>
      </c>
      <c r="D26" s="237" t="s">
        <v>659</v>
      </c>
      <c r="F26" s="6"/>
    </row>
    <row r="27" spans="1:18">
      <c r="A27" s="231" t="s">
        <v>52</v>
      </c>
      <c r="B27" s="33">
        <f>IF(ISERROR(TER_horeca_ele_kWh/1000),0,TER_horeca_ele_kWh/1000)</f>
        <v>8092.5101897000004</v>
      </c>
      <c r="C27" s="39">
        <f>IF(ISERROR(B27*3.6/1000000/'E Balans VL '!Z9*100),0,B27*3.6/1000000/'E Balans VL '!Z9*100)</f>
        <v>0.64939581344512587</v>
      </c>
      <c r="D27" s="237" t="s">
        <v>659</v>
      </c>
      <c r="F27" s="6"/>
    </row>
    <row r="28" spans="1:18">
      <c r="A28" s="171" t="s">
        <v>51</v>
      </c>
      <c r="B28" s="33">
        <f>IF(ISERROR(TER_handel_ele_kWh/1000),0,TER_handel_ele_kWh/1000)</f>
        <v>16767.133095000001</v>
      </c>
      <c r="C28" s="39">
        <f>IF(ISERROR(B28*3.6/1000000/'E Balans VL '!Z13*100),0,B28*3.6/1000000/'E Balans VL '!Z13*100)</f>
        <v>0.49453425386307415</v>
      </c>
      <c r="D28" s="237" t="s">
        <v>659</v>
      </c>
      <c r="F28" s="6"/>
    </row>
    <row r="29" spans="1:18">
      <c r="A29" s="231" t="s">
        <v>50</v>
      </c>
      <c r="B29" s="33">
        <f>IF(ISERROR(TER_gezond_ele_kWh/1000),0,TER_gezond_ele_kWh/1000)</f>
        <v>14299.092391</v>
      </c>
      <c r="C29" s="39">
        <f>IF(ISERROR(B29*3.6/1000000/'E Balans VL '!Z10*100),0,B29*3.6/1000000/'E Balans VL '!Z10*100)</f>
        <v>1.5267596943154267</v>
      </c>
      <c r="D29" s="237" t="s">
        <v>659</v>
      </c>
      <c r="F29" s="6"/>
    </row>
    <row r="30" spans="1:18">
      <c r="A30" s="231" t="s">
        <v>49</v>
      </c>
      <c r="B30" s="33">
        <f>IF(ISERROR(TER_ander_ele_kWh/1000),0,TER_ander_ele_kWh/1000)</f>
        <v>8233.4646312999994</v>
      </c>
      <c r="C30" s="39">
        <f>IF(ISERROR(B30*3.6/1000000/'E Balans VL '!Z14*100),0,B30*3.6/1000000/'E Balans VL '!Z14*100)</f>
        <v>0.62190591511355042</v>
      </c>
      <c r="D30" s="237" t="s">
        <v>659</v>
      </c>
      <c r="F30" s="6"/>
    </row>
    <row r="31" spans="1:18">
      <c r="A31" s="231" t="s">
        <v>54</v>
      </c>
      <c r="B31" s="33">
        <f>IF(ISERROR(TER_onderwijs_ele_kWh/1000),0,TER_onderwijs_ele_kWh/1000)</f>
        <v>476.10642673000001</v>
      </c>
      <c r="C31" s="39">
        <f>IF(ISERROR(B31*3.6/1000000/'E Balans VL '!Z11*100),0,B31*3.6/1000000/'E Balans VL '!Z11*100)</f>
        <v>9.6141781217163449E-2</v>
      </c>
      <c r="D31" s="237" t="s">
        <v>659</v>
      </c>
    </row>
    <row r="32" spans="1:18">
      <c r="A32" s="231" t="s">
        <v>259</v>
      </c>
      <c r="B32" s="33">
        <f>IF(ISERROR(TER_rest_ele_kWh/1000),0,TER_rest_ele_kWh/1000)</f>
        <v>16420.297425000001</v>
      </c>
      <c r="C32" s="39">
        <f>IF(ISERROR(B32*3.6/1000000/'E Balans VL '!Z8*100),0,B32*3.6/1000000/'E Balans VL '!Z8*100)</f>
        <v>0.13614713075246276</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158469.19408087299</v>
      </c>
      <c r="C5" s="17">
        <f>IF(ISERROR('Eigen informatie GS &amp; warmtenet'!B59),0,'Eigen informatie GS &amp; warmtenet'!B59)</f>
        <v>0</v>
      </c>
      <c r="D5" s="30">
        <f>SUM(D6:D15)</f>
        <v>245637.35161025403</v>
      </c>
      <c r="E5" s="17">
        <f>SUM(E6:E15)</f>
        <v>10235.74955849345</v>
      </c>
      <c r="F5" s="17">
        <f>SUM(F6:F15)</f>
        <v>40979.497482867642</v>
      </c>
      <c r="G5" s="18"/>
      <c r="H5" s="17"/>
      <c r="I5" s="17"/>
      <c r="J5" s="17">
        <f>SUM(J6:J15)</f>
        <v>920.49734716048272</v>
      </c>
      <c r="K5" s="17"/>
      <c r="L5" s="17"/>
      <c r="M5" s="17"/>
      <c r="N5" s="17">
        <f>SUM(N6:N15)</f>
        <v>10612.189632945338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5012.9529258000002</v>
      </c>
      <c r="C8" s="33"/>
      <c r="D8" s="37">
        <f>IF( ISERROR(IND_metaal_Gas_kWH/1000),0,IND_metaal_Gas_kWH/1000)*0.902</f>
        <v>24160.236500180003</v>
      </c>
      <c r="E8" s="33">
        <f>C30*'E Balans VL '!I18/100/3.6*1000000</f>
        <v>180.38121148090391</v>
      </c>
      <c r="F8" s="33">
        <f>C30*'E Balans VL '!L18/100/3.6*1000000+C30*'E Balans VL '!N18/100/3.6*1000000</f>
        <v>2188.9940402466232</v>
      </c>
      <c r="G8" s="34"/>
      <c r="H8" s="33"/>
      <c r="I8" s="33"/>
      <c r="J8" s="40">
        <f>C30*'E Balans VL '!D18/100/3.6*1000000+C30*'E Balans VL '!E18/100/3.6*1000000</f>
        <v>0</v>
      </c>
      <c r="K8" s="33"/>
      <c r="L8" s="33"/>
      <c r="M8" s="33"/>
      <c r="N8" s="33">
        <f>C30*'E Balans VL '!Y18/100/3.6*1000000</f>
        <v>251.24579397861427</v>
      </c>
      <c r="O8" s="33"/>
      <c r="P8" s="33"/>
      <c r="R8" s="32"/>
    </row>
    <row r="9" spans="1:18">
      <c r="A9" s="6" t="s">
        <v>32</v>
      </c>
      <c r="B9" s="37">
        <f t="shared" si="0"/>
        <v>14575.513683000001</v>
      </c>
      <c r="C9" s="33"/>
      <c r="D9" s="37">
        <f>IF( ISERROR(IND_andere_gas_kWh/1000),0,IND_andere_gas_kWh/1000)*0.902</f>
        <v>1486.0852626642002</v>
      </c>
      <c r="E9" s="33">
        <f>C31*'E Balans VL '!I19/100/3.6*1000000</f>
        <v>3719.3413116677211</v>
      </c>
      <c r="F9" s="33">
        <f>C31*'E Balans VL '!L19/100/3.6*1000000+C31*'E Balans VL '!N19/100/3.6*1000000</f>
        <v>12548.42174286372</v>
      </c>
      <c r="G9" s="34"/>
      <c r="H9" s="33"/>
      <c r="I9" s="33"/>
      <c r="J9" s="40">
        <f>C31*'E Balans VL '!D19/100/3.6*1000000+C31*'E Balans VL '!E19/100/3.6*1000000</f>
        <v>0</v>
      </c>
      <c r="K9" s="33"/>
      <c r="L9" s="33"/>
      <c r="M9" s="33"/>
      <c r="N9" s="33">
        <f>C31*'E Balans VL '!Y19/100/3.6*1000000</f>
        <v>1149.8374710626526</v>
      </c>
      <c r="O9" s="33"/>
      <c r="P9" s="33"/>
      <c r="R9" s="32"/>
    </row>
    <row r="10" spans="1:18">
      <c r="A10" s="6" t="s">
        <v>40</v>
      </c>
      <c r="B10" s="37">
        <f t="shared" si="0"/>
        <v>6566.6483088999994</v>
      </c>
      <c r="C10" s="33"/>
      <c r="D10" s="37">
        <f>IF( ISERROR(IND_voed_gas_kWh/1000),0,IND_voed_gas_kWh/1000)*0.902</f>
        <v>13150.970143432001</v>
      </c>
      <c r="E10" s="33">
        <f>C32*'E Balans VL '!I20/100/3.6*1000000</f>
        <v>166.93321675927331</v>
      </c>
      <c r="F10" s="33">
        <f>C32*'E Balans VL '!L20/100/3.6*1000000+C32*'E Balans VL '!N20/100/3.6*1000000</f>
        <v>1485.9339384119357</v>
      </c>
      <c r="G10" s="34"/>
      <c r="H10" s="33"/>
      <c r="I10" s="33"/>
      <c r="J10" s="40">
        <f>C32*'E Balans VL '!D20/100/3.6*1000000+C32*'E Balans VL '!E20/100/3.6*1000000</f>
        <v>0</v>
      </c>
      <c r="K10" s="33"/>
      <c r="L10" s="33"/>
      <c r="M10" s="33"/>
      <c r="N10" s="33">
        <f>C32*'E Balans VL '!Y20/100/3.6*1000000</f>
        <v>2462.6711118411472</v>
      </c>
      <c r="O10" s="33"/>
      <c r="P10" s="33"/>
      <c r="R10" s="32"/>
    </row>
    <row r="11" spans="1:18">
      <c r="A11" s="6" t="s">
        <v>39</v>
      </c>
      <c r="B11" s="37">
        <f t="shared" si="0"/>
        <v>50.541305654999995</v>
      </c>
      <c r="C11" s="33"/>
      <c r="D11" s="37">
        <f>IF( ISERROR(IND_textiel_gas_kWh/1000),0,IND_textiel_gas_kWh/1000)*0.902</f>
        <v>256.10930002284005</v>
      </c>
      <c r="E11" s="33">
        <f>C33*'E Balans VL '!I21/100/3.6*1000000</f>
        <v>0.13874947573494384</v>
      </c>
      <c r="F11" s="33">
        <f>C33*'E Balans VL '!L21/100/3.6*1000000+C33*'E Balans VL '!N21/100/3.6*1000000</f>
        <v>2.6794893930665733</v>
      </c>
      <c r="G11" s="34"/>
      <c r="H11" s="33"/>
      <c r="I11" s="33"/>
      <c r="J11" s="40">
        <f>C33*'E Balans VL '!D21/100/3.6*1000000+C33*'E Balans VL '!E21/100/3.6*1000000</f>
        <v>0</v>
      </c>
      <c r="K11" s="33"/>
      <c r="L11" s="33"/>
      <c r="M11" s="33"/>
      <c r="N11" s="33">
        <f>C33*'E Balans VL '!Y21/100/3.6*1000000</f>
        <v>0.10157966065956658</v>
      </c>
      <c r="O11" s="33"/>
      <c r="P11" s="33"/>
      <c r="R11" s="32"/>
    </row>
    <row r="12" spans="1:18">
      <c r="A12" s="6" t="s">
        <v>36</v>
      </c>
      <c r="B12" s="37">
        <f t="shared" si="0"/>
        <v>126.0953859</v>
      </c>
      <c r="C12" s="33"/>
      <c r="D12" s="37">
        <f>IF( ISERROR(IND_min_gas_kWh/1000),0,IND_min_gas_kWh/1000)*0.902</f>
        <v>228.09990473952001</v>
      </c>
      <c r="E12" s="33">
        <f>C34*'E Balans VL '!I22/100/3.6*1000000</f>
        <v>2.6792109273176519</v>
      </c>
      <c r="F12" s="33">
        <f>C34*'E Balans VL '!L22/100/3.6*1000000+C34*'E Balans VL '!N22/100/3.6*1000000</f>
        <v>20.573536806898606</v>
      </c>
      <c r="G12" s="34"/>
      <c r="H12" s="33"/>
      <c r="I12" s="33"/>
      <c r="J12" s="40">
        <f>C34*'E Balans VL '!D22/100/3.6*1000000+C34*'E Balans VL '!E22/100/3.6*1000000</f>
        <v>0.14691289185946679</v>
      </c>
      <c r="K12" s="33"/>
      <c r="L12" s="33"/>
      <c r="M12" s="33"/>
      <c r="N12" s="33">
        <f>C34*'E Balans VL '!Y22/100/3.6*1000000</f>
        <v>0</v>
      </c>
      <c r="O12" s="33"/>
      <c r="P12" s="33"/>
      <c r="R12" s="32"/>
    </row>
    <row r="13" spans="1:18">
      <c r="A13" s="6" t="s">
        <v>38</v>
      </c>
      <c r="B13" s="37">
        <f t="shared" si="0"/>
        <v>92.881592617999999</v>
      </c>
      <c r="C13" s="33"/>
      <c r="D13" s="37">
        <f>IF( ISERROR(IND_papier_gas_kWh/1000),0,IND_papier_gas_kWh/1000)*0.902</f>
        <v>87.104569720827996</v>
      </c>
      <c r="E13" s="33">
        <f>C35*'E Balans VL '!I23/100/3.6*1000000</f>
        <v>0.39834212983154293</v>
      </c>
      <c r="F13" s="33">
        <f>C35*'E Balans VL '!L23/100/3.6*1000000+C35*'E Balans VL '!N23/100/3.6*1000000</f>
        <v>2.3344027086015191</v>
      </c>
      <c r="G13" s="34"/>
      <c r="H13" s="33"/>
      <c r="I13" s="33"/>
      <c r="J13" s="40">
        <f>C35*'E Balans VL '!D23/100/3.6*1000000+C35*'E Balans VL '!E23/100/3.6*1000000</f>
        <v>6.2179131911956684</v>
      </c>
      <c r="K13" s="33"/>
      <c r="L13" s="33"/>
      <c r="M13" s="33"/>
      <c r="N13" s="33">
        <f>C35*'E Balans VL '!Y23/100/3.6*1000000</f>
        <v>22.650444272716829</v>
      </c>
      <c r="O13" s="33"/>
      <c r="P13" s="33"/>
      <c r="R13" s="32"/>
    </row>
    <row r="14" spans="1:18">
      <c r="A14" s="6" t="s">
        <v>33</v>
      </c>
      <c r="B14" s="37">
        <f t="shared" si="0"/>
        <v>19287.746779000001</v>
      </c>
      <c r="C14" s="33"/>
      <c r="D14" s="37">
        <f>IF( ISERROR(IND_chemie_gas_kWh/1000),0,IND_chemie_gas_kWh/1000)*0.902</f>
        <v>3344.4863576145999</v>
      </c>
      <c r="E14" s="33">
        <f>C36*'E Balans VL '!I24/100/3.6*1000000</f>
        <v>46.239351731308474</v>
      </c>
      <c r="F14" s="33">
        <f>C36*'E Balans VL '!L24/100/3.6*1000000+C36*'E Balans VL '!N24/100/3.6*1000000</f>
        <v>154.78853087136449</v>
      </c>
      <c r="G14" s="34"/>
      <c r="H14" s="33"/>
      <c r="I14" s="33"/>
      <c r="J14" s="40">
        <f>C36*'E Balans VL '!D24/100/3.6*1000000+C36*'E Balans VL '!E24/100/3.6*1000000</f>
        <v>0</v>
      </c>
      <c r="K14" s="33"/>
      <c r="L14" s="33"/>
      <c r="M14" s="33"/>
      <c r="N14" s="33">
        <f>C36*'E Balans VL '!Y24/100/3.6*1000000</f>
        <v>398.66277288836278</v>
      </c>
      <c r="O14" s="33"/>
      <c r="P14" s="33"/>
      <c r="R14" s="32"/>
    </row>
    <row r="15" spans="1:18">
      <c r="A15" s="6" t="s">
        <v>269</v>
      </c>
      <c r="B15" s="37">
        <f t="shared" si="0"/>
        <v>112756.81409999999</v>
      </c>
      <c r="C15" s="33"/>
      <c r="D15" s="37">
        <f>IF( ISERROR(IND_rest_gas_kWh/1000),0,IND_rest_gas_kWh/1000)*0.902</f>
        <v>202924.25957188001</v>
      </c>
      <c r="E15" s="33">
        <f>C37*'E Balans VL '!I15/100/3.6*1000000</f>
        <v>6119.6381643213581</v>
      </c>
      <c r="F15" s="33">
        <f>C37*'E Balans VL '!L15/100/3.6*1000000+C37*'E Balans VL '!N15/100/3.6*1000000</f>
        <v>24575.771801565432</v>
      </c>
      <c r="G15" s="34"/>
      <c r="H15" s="33"/>
      <c r="I15" s="33"/>
      <c r="J15" s="40">
        <f>C37*'E Balans VL '!D15/100/3.6*1000000+C37*'E Balans VL '!E15/100/3.6*1000000</f>
        <v>914.13252107742755</v>
      </c>
      <c r="K15" s="33"/>
      <c r="L15" s="33"/>
      <c r="M15" s="33"/>
      <c r="N15" s="33">
        <f>C37*'E Balans VL '!Y15/100/3.6*1000000</f>
        <v>6327.0204592411837</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158469.19408087299</v>
      </c>
      <c r="C18" s="21">
        <f>C5+C16</f>
        <v>0</v>
      </c>
      <c r="D18" s="21">
        <f>MAX((D5+D16),0)</f>
        <v>245637.35161025403</v>
      </c>
      <c r="E18" s="21">
        <f>MAX((E5+E16),0)</f>
        <v>10235.74955849345</v>
      </c>
      <c r="F18" s="21">
        <f>MAX((F5+F16),0)</f>
        <v>40979.497482867642</v>
      </c>
      <c r="G18" s="21"/>
      <c r="H18" s="21"/>
      <c r="I18" s="21"/>
      <c r="J18" s="21">
        <f>MAX((J5+J16),0)</f>
        <v>920.49734716048272</v>
      </c>
      <c r="K18" s="21"/>
      <c r="L18" s="21">
        <f>MAX((L5+L16),0)</f>
        <v>0</v>
      </c>
      <c r="M18" s="21"/>
      <c r="N18" s="21">
        <f>MAX((N5+N16),0)</f>
        <v>10612.189632945338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0.16616319567979698</v>
      </c>
      <c r="C20" s="25">
        <f ca="1">'EF ele_warmte'!B22</f>
        <v>9.6478434784092008E-3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26331.747705279824</v>
      </c>
      <c r="C22" s="23">
        <f ca="1">C18*C20</f>
        <v>0</v>
      </c>
      <c r="D22" s="23">
        <f>D18*D20</f>
        <v>49618.745025271317</v>
      </c>
      <c r="E22" s="23">
        <f>E18*E20</f>
        <v>2323.515149778013</v>
      </c>
      <c r="F22" s="23">
        <f>F18*F20</f>
        <v>10941.525827925661</v>
      </c>
      <c r="G22" s="23"/>
      <c r="H22" s="23"/>
      <c r="I22" s="23"/>
      <c r="J22" s="23">
        <f>J18*J20</f>
        <v>325.85606089481087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5012.9529258000002</v>
      </c>
      <c r="C30" s="39">
        <f>IF(ISERROR(B30*3.6/1000000/'E Balans VL '!Z18*100),0,B30*3.6/1000000/'E Balans VL '!Z18*100)</f>
        <v>1.0621372500988495</v>
      </c>
      <c r="D30" s="237" t="s">
        <v>659</v>
      </c>
    </row>
    <row r="31" spans="1:18">
      <c r="A31" s="6" t="s">
        <v>32</v>
      </c>
      <c r="B31" s="37">
        <f>IF( ISERROR(IND_ander_ele_kWh/1000),0,IND_ander_ele_kWh/1000)</f>
        <v>14575.513683000001</v>
      </c>
      <c r="C31" s="39">
        <f>IF(ISERROR(B31*3.6/1000000/'E Balans VL '!Z19*100),0,B31*3.6/1000000/'E Balans VL '!Z19*100)</f>
        <v>0.61351646702823226</v>
      </c>
      <c r="D31" s="237" t="s">
        <v>659</v>
      </c>
    </row>
    <row r="32" spans="1:18">
      <c r="A32" s="171" t="s">
        <v>40</v>
      </c>
      <c r="B32" s="37">
        <f>IF( ISERROR(IND_voed_ele_kWh/1000),0,IND_voed_ele_kWh/1000)</f>
        <v>6566.6483088999994</v>
      </c>
      <c r="C32" s="39">
        <f>IF(ISERROR(B32*3.6/1000000/'E Balans VL '!Z20*100),0,B32*3.6/1000000/'E Balans VL '!Z20*100)</f>
        <v>1.0970328965174931</v>
      </c>
      <c r="D32" s="237" t="s">
        <v>659</v>
      </c>
    </row>
    <row r="33" spans="1:5">
      <c r="A33" s="171" t="s">
        <v>39</v>
      </c>
      <c r="B33" s="37">
        <f>IF( ISERROR(IND_textiel_ele_kWh/1000),0,IND_textiel_ele_kWh/1000)</f>
        <v>50.541305654999995</v>
      </c>
      <c r="C33" s="39">
        <f>IF(ISERROR(B33*3.6/1000000/'E Balans VL '!Z21*100),0,B33*3.6/1000000/'E Balans VL '!Z21*100)</f>
        <v>2.9507526698494286E-3</v>
      </c>
      <c r="D33" s="237" t="s">
        <v>659</v>
      </c>
    </row>
    <row r="34" spans="1:5">
      <c r="A34" s="171" t="s">
        <v>36</v>
      </c>
      <c r="B34" s="37">
        <f>IF( ISERROR(IND_min_ele_kWh/1000),0,IND_min_ele_kWh/1000)</f>
        <v>126.0953859</v>
      </c>
      <c r="C34" s="39">
        <f>IF(ISERROR(B34*3.6/1000000/'E Balans VL '!Z22*100),0,B34*3.6/1000000/'E Balans VL '!Z22*100)</f>
        <v>1.5983270193232715E-2</v>
      </c>
      <c r="D34" s="237" t="s">
        <v>659</v>
      </c>
    </row>
    <row r="35" spans="1:5">
      <c r="A35" s="171" t="s">
        <v>38</v>
      </c>
      <c r="B35" s="37">
        <f>IF( ISERROR(IND_papier_ele_kWh/1000),0,IND_papier_ele_kWh/1000)</f>
        <v>92.881592617999999</v>
      </c>
      <c r="C35" s="39">
        <f>IF(ISERROR(B35*3.6/1000000/'E Balans VL '!Z22*100),0,B35*3.6/1000000/'E Balans VL '!Z22*100)</f>
        <v>1.1773242773281071E-2</v>
      </c>
      <c r="D35" s="237" t="s">
        <v>659</v>
      </c>
    </row>
    <row r="36" spans="1:5">
      <c r="A36" s="171" t="s">
        <v>33</v>
      </c>
      <c r="B36" s="37">
        <f>IF( ISERROR(IND_chemie_ele_kWh/1000),0,IND_chemie_ele_kWh/1000)</f>
        <v>19287.746779000001</v>
      </c>
      <c r="C36" s="39">
        <f>IF(ISERROR(B36*3.6/1000000/'E Balans VL '!Z24*100),0,B36*3.6/1000000/'E Balans VL '!Z24*100)</f>
        <v>0.62646663736774155</v>
      </c>
      <c r="D36" s="237" t="s">
        <v>659</v>
      </c>
    </row>
    <row r="37" spans="1:5">
      <c r="A37" s="171" t="s">
        <v>269</v>
      </c>
      <c r="B37" s="37">
        <f>IF( ISERROR(IND_rest_ele_kWh/1000),0,IND_rest_ele_kWh/1000)</f>
        <v>112756.81409999999</v>
      </c>
      <c r="C37" s="39">
        <f>IF(ISERROR(B37*3.6/1000000/'E Balans VL '!Z15*100),0,B37*3.6/1000000/'E Balans VL '!Z15*100)</f>
        <v>0.91032942166888675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10125.6063464</v>
      </c>
      <c r="C5" s="17">
        <f>'Eigen informatie GS &amp; warmtenet'!B60</f>
        <v>0</v>
      </c>
      <c r="D5" s="30">
        <f>IF(ISERROR(SUM(LB_lb_gas_kWh,LB_rest_gas_kWh)/1000),0,SUM(LB_lb_gas_kWh,LB_rest_gas_kWh)/1000)*0.902</f>
        <v>1226.6226517221601</v>
      </c>
      <c r="E5" s="17">
        <f>B17*'E Balans VL '!I25/3.6*1000000/100</f>
        <v>261.10050984013708</v>
      </c>
      <c r="F5" s="17">
        <f>B17*('E Balans VL '!L25/3.6*1000000+'E Balans VL '!N25/3.6*1000000)/100</f>
        <v>37011.019524148011</v>
      </c>
      <c r="G5" s="18"/>
      <c r="H5" s="17"/>
      <c r="I5" s="17"/>
      <c r="J5" s="17">
        <f>('E Balans VL '!D25+'E Balans VL '!E25)/3.6*1000000*landbouw!B17/100</f>
        <v>1457.7148266732679</v>
      </c>
      <c r="K5" s="17"/>
      <c r="L5" s="17">
        <f>L6*(-1)</f>
        <v>0</v>
      </c>
      <c r="M5" s="17"/>
      <c r="N5" s="17">
        <f>N6*(-1)</f>
        <v>26807.142857142859</v>
      </c>
      <c r="O5" s="17"/>
      <c r="P5" s="17"/>
      <c r="R5" s="32"/>
    </row>
    <row r="6" spans="1:18">
      <c r="A6" s="16" t="s">
        <v>490</v>
      </c>
      <c r="B6" s="17" t="s">
        <v>210</v>
      </c>
      <c r="C6" s="17">
        <f>'lokale energieproductie'!O42+'lokale energieproductie'!O35</f>
        <v>13403.571428571429</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-26807.142857142859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10125.6063464</v>
      </c>
      <c r="C8" s="21">
        <f>C5+C6</f>
        <v>13403.571428571429</v>
      </c>
      <c r="D8" s="21">
        <f>MAX((D5+D6),0)</f>
        <v>1226.6226517221601</v>
      </c>
      <c r="E8" s="21">
        <f>MAX((E5+E6),0)</f>
        <v>261.10050984013708</v>
      </c>
      <c r="F8" s="21">
        <f>MAX((F5+F6),0)</f>
        <v>37011.019524148011</v>
      </c>
      <c r="G8" s="21"/>
      <c r="H8" s="21"/>
      <c r="I8" s="21"/>
      <c r="J8" s="21">
        <f>MAX((J5+J6),0)</f>
        <v>1457.7148266732679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0.16616319567979698</v>
      </c>
      <c r="C10" s="31">
        <f ca="1">'EF ele_warmte'!B22</f>
        <v>9.6478434784092008E-3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1682.5031087134573</v>
      </c>
      <c r="C12" s="23">
        <f ca="1">C8*C10</f>
        <v>129.31555919453476</v>
      </c>
      <c r="D12" s="23">
        <f>D8*D10</f>
        <v>247.77777564787635</v>
      </c>
      <c r="E12" s="23">
        <f>E8*E10</f>
        <v>59.26981573371112</v>
      </c>
      <c r="F12" s="23">
        <f>F8*F10</f>
        <v>9881.9422129475188</v>
      </c>
      <c r="G12" s="23"/>
      <c r="H12" s="23"/>
      <c r="I12" s="23"/>
      <c r="J12" s="23">
        <f>J8*J10</f>
        <v>516.03104864233683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1.4277775653549252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1543.8457394078396</v>
      </c>
      <c r="C26" s="247">
        <f>B26*'GWP N2O_CH4'!B5</f>
        <v>32420.760527564631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940.81756219374688</v>
      </c>
      <c r="C27" s="247">
        <f>B27*'GWP N2O_CH4'!B5</f>
        <v>19757.168806068683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20.815445315678872</v>
      </c>
      <c r="C28" s="247">
        <f>B28*'GWP N2O_CH4'!B4</f>
        <v>6452.7880478604502</v>
      </c>
      <c r="D28" s="50"/>
    </row>
    <row r="29" spans="1:4">
      <c r="A29" s="41" t="s">
        <v>276</v>
      </c>
      <c r="B29" s="247">
        <f>B34*'ha_N2O bodem landbouw'!B4</f>
        <v>60.182065830681083</v>
      </c>
      <c r="C29" s="247">
        <f>B29*'GWP N2O_CH4'!B4</f>
        <v>18656.440407511134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1.3544235200494109E-2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1.6957471605025121E-4</v>
      </c>
      <c r="C5" s="437" t="s">
        <v>210</v>
      </c>
      <c r="D5" s="422">
        <f>SUM(D6:D11)</f>
        <v>3.4230636294179441E-4</v>
      </c>
      <c r="E5" s="422">
        <f>SUM(E6:E11)</f>
        <v>1.5383532067756252E-3</v>
      </c>
      <c r="F5" s="435" t="s">
        <v>210</v>
      </c>
      <c r="G5" s="422">
        <f>SUM(G6:G11)</f>
        <v>0.6895938727560903</v>
      </c>
      <c r="H5" s="422">
        <f>SUM(H6:H11)</f>
        <v>0.11684975654910396</v>
      </c>
      <c r="I5" s="437" t="s">
        <v>210</v>
      </c>
      <c r="J5" s="437" t="s">
        <v>210</v>
      </c>
      <c r="K5" s="437" t="s">
        <v>210</v>
      </c>
      <c r="L5" s="437" t="s">
        <v>210</v>
      </c>
      <c r="M5" s="422">
        <f>SUM(M6:M11)</f>
        <v>2.5196532123950705E-2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1.3443234986178836E-4</v>
      </c>
      <c r="C6" s="423"/>
      <c r="D6" s="865">
        <f>vkm_GW_PW*SUMIFS(TableVerdeelsleutelVkm[CNG],TableVerdeelsleutelVkm[Voertuigtype],"Lichte voertuigen")*SUMIFS(TableECFTransport[EnergieConsumptieFactor (PJ per km)],TableECFTransport[Index],CONCATENATE($A6,"_CNG_CNG"))</f>
        <v>2.4233806099208482E-4</v>
      </c>
      <c r="E6" s="865">
        <f>vkm_GW_PW*SUMIFS(TableVerdeelsleutelVkm[LPG],TableVerdeelsleutelVkm[Voertuigtype],"Lichte voertuigen")*SUMIFS(TableECFTransport[EnergieConsumptieFactor (PJ per km)],TableECFTransport[Index],CONCATENATE($A6,"_LPG_LPG"))</f>
        <v>1.0947443257778857E-3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0.29908265555069458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8.3207939934957495E-2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1.1902919600264718E-2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0.2328156833287415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4.2011159831647923E-6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7.3243944483944471E-3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2.8979817610954348E-5</v>
      </c>
      <c r="C8" s="423"/>
      <c r="D8" s="425">
        <f>vkm_NGW_PW*SUMIFS(TableVerdeelsleutelVkm[CNG],TableVerdeelsleutelVkm[Voertuigtype],"Lichte voertuigen")*SUMIFS(TableECFTransport[EnergieConsumptieFactor (PJ per km)],TableECFTransport[Index],CONCATENATE($A8,"_CNG_CNG"))</f>
        <v>8.8795079707700001E-5</v>
      </c>
      <c r="E8" s="425">
        <f>vkm_NGW_PW*SUMIFS(TableVerdeelsleutelVkm[LPG],TableVerdeelsleutelVkm[Voertuigtype],"Lichte voertuigen")*SUMIFS(TableECFTransport[EnergieConsumptieFactor (PJ per km)],TableECFTransport[Index],CONCATENATE($A8,"_LPG_LPG"))</f>
        <v>3.8075362227309097E-4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9.7671937825349525E-2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2.9627489846427883E-2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3.9607125911461658E-3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3.0213264073614739E-2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6.7301836796188467E-7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9.5051481262422731E-4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6.1625485775085004E-6</v>
      </c>
      <c r="C10" s="423"/>
      <c r="D10" s="425">
        <f>vkm_SW_PW*SUMIFS(TableVerdeelsleutelVkm[CNG],TableVerdeelsleutelVkm[Voertuigtype],"Lichte voertuigen")*SUMIFS(TableECFTransport[EnergieConsumptieFactor (PJ per km)],TableECFTransport[Index],CONCATENATE($A10,"_CNG_CNG"))</f>
        <v>1.1173222242009566E-5</v>
      </c>
      <c r="E10" s="425">
        <f>vkm_SW_PW*SUMIFS(TableVerdeelsleutelVkm[LPG],TableVerdeelsleutelVkm[Voertuigtype],"Lichte voertuigen")*SUMIFS(TableECFTransport[EnergieConsumptieFactor (PJ per km)],TableECFTransport[Index],CONCATENATE($A10,"_LPG_LPG"))</f>
        <v>6.2855258724648361E-5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1.5411512364848565E-2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4.0091750884811419E-3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6.0500246821864332E-4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1.4398819612841372E-2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2.7754488630769718E-7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4.5298820330250003E-4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47.104087791736447</v>
      </c>
      <c r="C14" s="21"/>
      <c r="D14" s="21">
        <f t="shared" ref="D14:M14" si="0">((D5)*10^9/3600)+D12</f>
        <v>95.085100817165113</v>
      </c>
      <c r="E14" s="21">
        <f t="shared" si="0"/>
        <v>427.32033521545145</v>
      </c>
      <c r="F14" s="21"/>
      <c r="G14" s="21">
        <f t="shared" si="0"/>
        <v>191553.85354335842</v>
      </c>
      <c r="H14" s="21">
        <f t="shared" si="0"/>
        <v>32458.265708084433</v>
      </c>
      <c r="I14" s="21"/>
      <c r="J14" s="21"/>
      <c r="K14" s="21"/>
      <c r="L14" s="21"/>
      <c r="M14" s="21">
        <f t="shared" si="0"/>
        <v>6999.0367010974178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0.16616319567979698</v>
      </c>
      <c r="C16" s="56">
        <f ca="1">'EF ele_warmte'!B22</f>
        <v>9.6478434784092008E-3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7.8269657570566391</v>
      </c>
      <c r="C18" s="23"/>
      <c r="D18" s="23">
        <f t="shared" ref="D18:M18" si="1">D14*D16</f>
        <v>19.207190365067355</v>
      </c>
      <c r="E18" s="23">
        <f t="shared" si="1"/>
        <v>97.001716093907476</v>
      </c>
      <c r="F18" s="23"/>
      <c r="G18" s="23">
        <f t="shared" si="1"/>
        <v>51144.878896076698</v>
      </c>
      <c r="H18" s="23">
        <f t="shared" si="1"/>
        <v>8082.1081613130236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1.2693521288768699E-2</v>
      </c>
      <c r="H50" s="319">
        <f t="shared" si="2"/>
        <v>0</v>
      </c>
      <c r="I50" s="319">
        <f t="shared" si="2"/>
        <v>0</v>
      </c>
      <c r="J50" s="319">
        <f t="shared" si="2"/>
        <v>0</v>
      </c>
      <c r="K50" s="319">
        <f t="shared" si="2"/>
        <v>0</v>
      </c>
      <c r="L50" s="319">
        <f t="shared" si="2"/>
        <v>0</v>
      </c>
      <c r="M50" s="319">
        <f t="shared" si="2"/>
        <v>3.9322760776884681E-4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1.2693521288768699E-2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3.9322760776884681E-4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3525.9781357690831</v>
      </c>
      <c r="H54" s="21">
        <f t="shared" si="3"/>
        <v>0</v>
      </c>
      <c r="I54" s="21">
        <f t="shared" si="3"/>
        <v>0</v>
      </c>
      <c r="J54" s="21">
        <f t="shared" si="3"/>
        <v>0</v>
      </c>
      <c r="K54" s="21">
        <f t="shared" si="3"/>
        <v>0</v>
      </c>
      <c r="L54" s="21">
        <f t="shared" si="3"/>
        <v>0</v>
      </c>
      <c r="M54" s="21">
        <f t="shared" si="3"/>
        <v>109.22989104690188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0.16616319567979698</v>
      </c>
      <c r="C56" s="56">
        <f ca="1">'EF ele_warmte'!B22</f>
        <v>9.6478434784092008E-3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941.43616225034521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100509.19441273001</v>
      </c>
      <c r="D10" s="978">
        <f ca="1">tertiair!C16</f>
        <v>30934.285714285714</v>
      </c>
      <c r="E10" s="978">
        <f ca="1">tertiair!D16</f>
        <v>77470.111253322408</v>
      </c>
      <c r="F10" s="978">
        <f>tertiair!E16</f>
        <v>1256.3960935122925</v>
      </c>
      <c r="G10" s="978">
        <f ca="1">tertiair!F16</f>
        <v>19038.672416219066</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12.506666666666668</v>
      </c>
      <c r="Q10" s="979">
        <f>tertiair!P16</f>
        <v>95.333333333333343</v>
      </c>
      <c r="R10" s="674">
        <f ca="1">SUM(C10:Q10)</f>
        <v>229316.49989006951</v>
      </c>
      <c r="S10" s="67"/>
    </row>
    <row r="11" spans="1:19" s="447" customFormat="1">
      <c r="A11" s="783" t="s">
        <v>224</v>
      </c>
      <c r="B11" s="788"/>
      <c r="C11" s="978">
        <f>huishoudens!B8</f>
        <v>57264.870083548631</v>
      </c>
      <c r="D11" s="978">
        <f>huishoudens!C8</f>
        <v>0</v>
      </c>
      <c r="E11" s="978">
        <f>huishoudens!D8</f>
        <v>135069.79035132</v>
      </c>
      <c r="F11" s="978">
        <f>huishoudens!E8</f>
        <v>46101.584203990264</v>
      </c>
      <c r="G11" s="978">
        <f>huishoudens!F8</f>
        <v>11805.378522148401</v>
      </c>
      <c r="H11" s="978">
        <f>huishoudens!G8</f>
        <v>0</v>
      </c>
      <c r="I11" s="978">
        <f>huishoudens!H8</f>
        <v>0</v>
      </c>
      <c r="J11" s="978">
        <f>huishoudens!I8</f>
        <v>0</v>
      </c>
      <c r="K11" s="978">
        <f>huishoudens!J8</f>
        <v>3398.4710619549869</v>
      </c>
      <c r="L11" s="978">
        <f>huishoudens!K8</f>
        <v>0</v>
      </c>
      <c r="M11" s="978">
        <f>huishoudens!L8</f>
        <v>0</v>
      </c>
      <c r="N11" s="978">
        <f>huishoudens!M8</f>
        <v>0</v>
      </c>
      <c r="O11" s="978">
        <f>huishoudens!N8</f>
        <v>30846.993055393694</v>
      </c>
      <c r="P11" s="978">
        <f>huishoudens!O8</f>
        <v>716.00666666666677</v>
      </c>
      <c r="Q11" s="979">
        <f>huishoudens!P8</f>
        <v>1144</v>
      </c>
      <c r="R11" s="674">
        <f>SUM(C11:Q11)</f>
        <v>286347.09394502261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158469.19408087299</v>
      </c>
      <c r="D13" s="978">
        <f>industrie!C18</f>
        <v>0</v>
      </c>
      <c r="E13" s="978">
        <f>industrie!D18</f>
        <v>245637.35161025403</v>
      </c>
      <c r="F13" s="978">
        <f>industrie!E18</f>
        <v>10235.74955849345</v>
      </c>
      <c r="G13" s="978">
        <f>industrie!F18</f>
        <v>40979.497482867642</v>
      </c>
      <c r="H13" s="978">
        <f>industrie!G18</f>
        <v>0</v>
      </c>
      <c r="I13" s="978">
        <f>industrie!H18</f>
        <v>0</v>
      </c>
      <c r="J13" s="978">
        <f>industrie!I18</f>
        <v>0</v>
      </c>
      <c r="K13" s="978">
        <f>industrie!J18</f>
        <v>920.49734716048272</v>
      </c>
      <c r="L13" s="978">
        <f>industrie!K18</f>
        <v>0</v>
      </c>
      <c r="M13" s="978">
        <f>industrie!L18</f>
        <v>0</v>
      </c>
      <c r="N13" s="978">
        <f>industrie!M18</f>
        <v>0</v>
      </c>
      <c r="O13" s="978">
        <f>industrie!N18</f>
        <v>10612.189632945338</v>
      </c>
      <c r="P13" s="978">
        <f>industrie!O18</f>
        <v>0</v>
      </c>
      <c r="Q13" s="979">
        <f>industrie!P18</f>
        <v>0</v>
      </c>
      <c r="R13" s="674">
        <f>SUM(C13:Q13)</f>
        <v>466854.47971259389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316243.25857715163</v>
      </c>
      <c r="D16" s="706">
        <f t="shared" ref="D16:R16" ca="1" si="0">SUM(D9:D15)</f>
        <v>30934.285714285714</v>
      </c>
      <c r="E16" s="706">
        <f t="shared" ca="1" si="0"/>
        <v>458177.25321489642</v>
      </c>
      <c r="F16" s="706">
        <f t="shared" si="0"/>
        <v>57593.729855996011</v>
      </c>
      <c r="G16" s="706">
        <f t="shared" ca="1" si="0"/>
        <v>71823.548421235115</v>
      </c>
      <c r="H16" s="706">
        <f t="shared" si="0"/>
        <v>0</v>
      </c>
      <c r="I16" s="706">
        <f t="shared" si="0"/>
        <v>0</v>
      </c>
      <c r="J16" s="706">
        <f t="shared" si="0"/>
        <v>0</v>
      </c>
      <c r="K16" s="706">
        <f t="shared" si="0"/>
        <v>4318.9684091154695</v>
      </c>
      <c r="L16" s="706">
        <f t="shared" si="0"/>
        <v>0</v>
      </c>
      <c r="M16" s="706">
        <f t="shared" ca="1" si="0"/>
        <v>0</v>
      </c>
      <c r="N16" s="706">
        <f t="shared" si="0"/>
        <v>0</v>
      </c>
      <c r="O16" s="706">
        <f t="shared" ca="1" si="0"/>
        <v>41459.182688339031</v>
      </c>
      <c r="P16" s="706">
        <f t="shared" si="0"/>
        <v>728.51333333333343</v>
      </c>
      <c r="Q16" s="706">
        <f t="shared" si="0"/>
        <v>1239.3333333333333</v>
      </c>
      <c r="R16" s="706">
        <f t="shared" ca="1" si="0"/>
        <v>982518.07354768598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3525.9781357690831</v>
      </c>
      <c r="I19" s="978">
        <f>transport!H54</f>
        <v>0</v>
      </c>
      <c r="J19" s="978">
        <f>transport!I54</f>
        <v>0</v>
      </c>
      <c r="K19" s="978">
        <f>transport!J54</f>
        <v>0</v>
      </c>
      <c r="L19" s="978">
        <f>transport!K54</f>
        <v>0</v>
      </c>
      <c r="M19" s="978">
        <f>transport!L54</f>
        <v>0</v>
      </c>
      <c r="N19" s="978">
        <f>transport!M54</f>
        <v>109.22989104690188</v>
      </c>
      <c r="O19" s="978">
        <f>transport!N54</f>
        <v>0</v>
      </c>
      <c r="P19" s="978">
        <f>transport!O54</f>
        <v>0</v>
      </c>
      <c r="Q19" s="979">
        <f>transport!P54</f>
        <v>0</v>
      </c>
      <c r="R19" s="674">
        <f>SUM(C19:Q19)</f>
        <v>3635.2080268159848</v>
      </c>
      <c r="S19" s="67"/>
    </row>
    <row r="20" spans="1:19" s="447" customFormat="1">
      <c r="A20" s="783" t="s">
        <v>306</v>
      </c>
      <c r="B20" s="788"/>
      <c r="C20" s="978">
        <f>transport!B14</f>
        <v>47.104087791736447</v>
      </c>
      <c r="D20" s="978">
        <f>transport!C14</f>
        <v>0</v>
      </c>
      <c r="E20" s="978">
        <f>transport!D14</f>
        <v>95.085100817165113</v>
      </c>
      <c r="F20" s="978">
        <f>transport!E14</f>
        <v>427.32033521545145</v>
      </c>
      <c r="G20" s="978">
        <f>transport!F14</f>
        <v>0</v>
      </c>
      <c r="H20" s="978">
        <f>transport!G14</f>
        <v>191553.85354335842</v>
      </c>
      <c r="I20" s="978">
        <f>transport!H14</f>
        <v>32458.265708084433</v>
      </c>
      <c r="J20" s="978">
        <f>transport!I14</f>
        <v>0</v>
      </c>
      <c r="K20" s="978">
        <f>transport!J14</f>
        <v>0</v>
      </c>
      <c r="L20" s="978">
        <f>transport!K14</f>
        <v>0</v>
      </c>
      <c r="M20" s="978">
        <f>transport!L14</f>
        <v>0</v>
      </c>
      <c r="N20" s="978">
        <f>transport!M14</f>
        <v>6999.0367010974178</v>
      </c>
      <c r="O20" s="978">
        <f>transport!N14</f>
        <v>0</v>
      </c>
      <c r="P20" s="978">
        <f>transport!O14</f>
        <v>0</v>
      </c>
      <c r="Q20" s="979">
        <f>transport!P14</f>
        <v>0</v>
      </c>
      <c r="R20" s="674">
        <f>SUM(C20:Q20)</f>
        <v>231580.66547636461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47.104087791736447</v>
      </c>
      <c r="D22" s="786">
        <f t="shared" ref="D22:R22" si="1">SUM(D18:D21)</f>
        <v>0</v>
      </c>
      <c r="E22" s="786">
        <f t="shared" si="1"/>
        <v>95.085100817165113</v>
      </c>
      <c r="F22" s="786">
        <f t="shared" si="1"/>
        <v>427.32033521545145</v>
      </c>
      <c r="G22" s="786">
        <f t="shared" si="1"/>
        <v>0</v>
      </c>
      <c r="H22" s="786">
        <f t="shared" si="1"/>
        <v>195079.8316791275</v>
      </c>
      <c r="I22" s="786">
        <f t="shared" si="1"/>
        <v>32458.265708084433</v>
      </c>
      <c r="J22" s="786">
        <f t="shared" si="1"/>
        <v>0</v>
      </c>
      <c r="K22" s="786">
        <f t="shared" si="1"/>
        <v>0</v>
      </c>
      <c r="L22" s="786">
        <f t="shared" si="1"/>
        <v>0</v>
      </c>
      <c r="M22" s="786">
        <f t="shared" si="1"/>
        <v>0</v>
      </c>
      <c r="N22" s="786">
        <f t="shared" si="1"/>
        <v>7108.2665921443195</v>
      </c>
      <c r="O22" s="786">
        <f t="shared" si="1"/>
        <v>0</v>
      </c>
      <c r="P22" s="786">
        <f t="shared" si="1"/>
        <v>0</v>
      </c>
      <c r="Q22" s="786">
        <f t="shared" si="1"/>
        <v>0</v>
      </c>
      <c r="R22" s="786">
        <f t="shared" si="1"/>
        <v>235215.8735031806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10125.6063464</v>
      </c>
      <c r="D24" s="978">
        <f>+landbouw!C8</f>
        <v>13403.571428571429</v>
      </c>
      <c r="E24" s="978">
        <f>+landbouw!D8</f>
        <v>1226.6226517221601</v>
      </c>
      <c r="F24" s="978">
        <f>+landbouw!E8</f>
        <v>261.10050984013708</v>
      </c>
      <c r="G24" s="978">
        <f>+landbouw!F8</f>
        <v>37011.019524148011</v>
      </c>
      <c r="H24" s="978">
        <f>+landbouw!G8</f>
        <v>0</v>
      </c>
      <c r="I24" s="978">
        <f>+landbouw!H8</f>
        <v>0</v>
      </c>
      <c r="J24" s="978">
        <f>+landbouw!I8</f>
        <v>0</v>
      </c>
      <c r="K24" s="978">
        <f>+landbouw!J8</f>
        <v>1457.7148266732679</v>
      </c>
      <c r="L24" s="978">
        <f>+landbouw!K8</f>
        <v>0</v>
      </c>
      <c r="M24" s="978">
        <f>+landbouw!L8</f>
        <v>0</v>
      </c>
      <c r="N24" s="978">
        <f>+landbouw!M8</f>
        <v>0</v>
      </c>
      <c r="O24" s="978">
        <f>+landbouw!N8</f>
        <v>0</v>
      </c>
      <c r="P24" s="978">
        <f>+landbouw!O8</f>
        <v>0</v>
      </c>
      <c r="Q24" s="979">
        <f>+landbouw!P8</f>
        <v>0</v>
      </c>
      <c r="R24" s="674">
        <f>SUM(C24:Q24)</f>
        <v>63485.635287355006</v>
      </c>
      <c r="S24" s="67"/>
    </row>
    <row r="25" spans="1:19" s="447" customFormat="1" ht="15" thickBot="1">
      <c r="A25" s="805" t="s">
        <v>834</v>
      </c>
      <c r="B25" s="981"/>
      <c r="C25" s="982">
        <f>IF(Onbekend_ele_kWh="---",0,Onbekend_ele_kWh)/1000+IF(REST_rest_ele_kWh="---",0,REST_rest_ele_kWh)/1000</f>
        <v>3114.8098974999998</v>
      </c>
      <c r="D25" s="982"/>
      <c r="E25" s="982">
        <f>IF(onbekend_gas_kWh="---",0,onbekend_gas_kWh)/1000+IF(REST_rest_gas_kWh="---",0,REST_rest_gas_kWh)/1000</f>
        <v>6714.9845869000001</v>
      </c>
      <c r="F25" s="982"/>
      <c r="G25" s="982"/>
      <c r="H25" s="982"/>
      <c r="I25" s="982"/>
      <c r="J25" s="982"/>
      <c r="K25" s="982"/>
      <c r="L25" s="982"/>
      <c r="M25" s="982"/>
      <c r="N25" s="982"/>
      <c r="O25" s="982"/>
      <c r="P25" s="982"/>
      <c r="Q25" s="983"/>
      <c r="R25" s="674">
        <f>SUM(C25:Q25)</f>
        <v>9829.7944843999994</v>
      </c>
      <c r="S25" s="67"/>
    </row>
    <row r="26" spans="1:19" s="447" customFormat="1" ht="15.75" thickBot="1">
      <c r="A26" s="679" t="s">
        <v>835</v>
      </c>
      <c r="B26" s="791"/>
      <c r="C26" s="786">
        <f>SUM(C24:C25)</f>
        <v>13240.416243899999</v>
      </c>
      <c r="D26" s="786">
        <f t="shared" ref="D26:R26" si="2">SUM(D24:D25)</f>
        <v>13403.571428571429</v>
      </c>
      <c r="E26" s="786">
        <f t="shared" si="2"/>
        <v>7941.6072386221604</v>
      </c>
      <c r="F26" s="786">
        <f t="shared" si="2"/>
        <v>261.10050984013708</v>
      </c>
      <c r="G26" s="786">
        <f t="shared" si="2"/>
        <v>37011.019524148011</v>
      </c>
      <c r="H26" s="786">
        <f t="shared" si="2"/>
        <v>0</v>
      </c>
      <c r="I26" s="786">
        <f t="shared" si="2"/>
        <v>0</v>
      </c>
      <c r="J26" s="786">
        <f t="shared" si="2"/>
        <v>0</v>
      </c>
      <c r="K26" s="786">
        <f t="shared" si="2"/>
        <v>1457.7148266732679</v>
      </c>
      <c r="L26" s="786">
        <f t="shared" si="2"/>
        <v>0</v>
      </c>
      <c r="M26" s="786">
        <f t="shared" si="2"/>
        <v>0</v>
      </c>
      <c r="N26" s="786">
        <f t="shared" si="2"/>
        <v>0</v>
      </c>
      <c r="O26" s="786">
        <f t="shared" si="2"/>
        <v>0</v>
      </c>
      <c r="P26" s="786">
        <f t="shared" si="2"/>
        <v>0</v>
      </c>
      <c r="Q26" s="786">
        <f t="shared" si="2"/>
        <v>0</v>
      </c>
      <c r="R26" s="786">
        <f t="shared" si="2"/>
        <v>73315.429771755007</v>
      </c>
      <c r="S26" s="67"/>
    </row>
    <row r="27" spans="1:19" s="447" customFormat="1" ht="17.25" thickTop="1" thickBot="1">
      <c r="A27" s="680" t="s">
        <v>115</v>
      </c>
      <c r="B27" s="779"/>
      <c r="C27" s="681">
        <f ca="1">C22+C16+C26</f>
        <v>329530.77890884341</v>
      </c>
      <c r="D27" s="681">
        <f t="shared" ref="D27:R27" ca="1" si="3">D22+D16+D26</f>
        <v>44337.857142857145</v>
      </c>
      <c r="E27" s="681">
        <f t="shared" ca="1" si="3"/>
        <v>466213.94555433572</v>
      </c>
      <c r="F27" s="681">
        <f t="shared" si="3"/>
        <v>58282.1507010516</v>
      </c>
      <c r="G27" s="681">
        <f t="shared" ca="1" si="3"/>
        <v>108834.56794538313</v>
      </c>
      <c r="H27" s="681">
        <f t="shared" si="3"/>
        <v>195079.8316791275</v>
      </c>
      <c r="I27" s="681">
        <f t="shared" si="3"/>
        <v>32458.265708084433</v>
      </c>
      <c r="J27" s="681">
        <f t="shared" si="3"/>
        <v>0</v>
      </c>
      <c r="K27" s="681">
        <f t="shared" si="3"/>
        <v>5776.6832357887379</v>
      </c>
      <c r="L27" s="681">
        <f t="shared" si="3"/>
        <v>0</v>
      </c>
      <c r="M27" s="681">
        <f t="shared" ca="1" si="3"/>
        <v>0</v>
      </c>
      <c r="N27" s="681">
        <f t="shared" si="3"/>
        <v>7108.2665921443195</v>
      </c>
      <c r="O27" s="681">
        <f t="shared" ca="1" si="3"/>
        <v>41459.182688339031</v>
      </c>
      <c r="P27" s="681">
        <f t="shared" si="3"/>
        <v>728.51333333333343</v>
      </c>
      <c r="Q27" s="681">
        <f t="shared" si="3"/>
        <v>1239.3333333333333</v>
      </c>
      <c r="R27" s="681">
        <f t="shared" ca="1" si="3"/>
        <v>1291049.3768226216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16700.928938821213</v>
      </c>
      <c r="D40" s="978">
        <f ca="1">tertiair!C20</f>
        <v>298.44914668781831</v>
      </c>
      <c r="E40" s="978">
        <f ca="1">tertiair!D20</f>
        <v>15648.962473171126</v>
      </c>
      <c r="F40" s="978">
        <f>tertiair!E20</f>
        <v>285.20191322729039</v>
      </c>
      <c r="G40" s="978">
        <f ca="1">tertiair!F20</f>
        <v>5083.3255351304906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38016.868007037934</v>
      </c>
    </row>
    <row r="41" spans="1:18">
      <c r="A41" s="796" t="s">
        <v>224</v>
      </c>
      <c r="B41" s="803"/>
      <c r="C41" s="978">
        <f ca="1">huishoudens!B12</f>
        <v>9515.3138132708427</v>
      </c>
      <c r="D41" s="978">
        <f ca="1">huishoudens!C12</f>
        <v>0</v>
      </c>
      <c r="E41" s="978">
        <f>huishoudens!D12</f>
        <v>27284.097650966643</v>
      </c>
      <c r="F41" s="978">
        <f>huishoudens!E12</f>
        <v>10465.05961430579</v>
      </c>
      <c r="G41" s="978">
        <f>huishoudens!F12</f>
        <v>3152.0360654136234</v>
      </c>
      <c r="H41" s="978">
        <f>huishoudens!G12</f>
        <v>0</v>
      </c>
      <c r="I41" s="978">
        <f>huishoudens!H12</f>
        <v>0</v>
      </c>
      <c r="J41" s="978">
        <f>huishoudens!I12</f>
        <v>0</v>
      </c>
      <c r="K41" s="978">
        <f>huishoudens!J12</f>
        <v>1203.0587559320652</v>
      </c>
      <c r="L41" s="978">
        <f>huishoudens!K12</f>
        <v>0</v>
      </c>
      <c r="M41" s="978">
        <f>huishoudens!L12</f>
        <v>0</v>
      </c>
      <c r="N41" s="978">
        <f>huishoudens!M12</f>
        <v>0</v>
      </c>
      <c r="O41" s="978">
        <f>huishoudens!N12</f>
        <v>0</v>
      </c>
      <c r="P41" s="978">
        <f>huishoudens!O12</f>
        <v>0</v>
      </c>
      <c r="Q41" s="748">
        <f>huishoudens!P12</f>
        <v>0</v>
      </c>
      <c r="R41" s="824">
        <f t="shared" ca="1" si="4"/>
        <v>51619.565899888963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26331.747705279824</v>
      </c>
      <c r="D43" s="978">
        <f ca="1">industrie!C22</f>
        <v>0</v>
      </c>
      <c r="E43" s="978">
        <f>industrie!D22</f>
        <v>49618.745025271317</v>
      </c>
      <c r="F43" s="978">
        <f>industrie!E22</f>
        <v>2323.515149778013</v>
      </c>
      <c r="G43" s="978">
        <f>industrie!F22</f>
        <v>10941.525827925661</v>
      </c>
      <c r="H43" s="978">
        <f>industrie!G22</f>
        <v>0</v>
      </c>
      <c r="I43" s="978">
        <f>industrie!H22</f>
        <v>0</v>
      </c>
      <c r="J43" s="978">
        <f>industrie!I22</f>
        <v>0</v>
      </c>
      <c r="K43" s="978">
        <f>industrie!J22</f>
        <v>325.85606089481087</v>
      </c>
      <c r="L43" s="978">
        <f>industrie!K22</f>
        <v>0</v>
      </c>
      <c r="M43" s="978">
        <f>industrie!L22</f>
        <v>0</v>
      </c>
      <c r="N43" s="978">
        <f>industrie!M22</f>
        <v>0</v>
      </c>
      <c r="O43" s="978">
        <f>industrie!N22</f>
        <v>0</v>
      </c>
      <c r="P43" s="978">
        <f>industrie!O22</f>
        <v>0</v>
      </c>
      <c r="Q43" s="748">
        <f>industrie!P22</f>
        <v>0</v>
      </c>
      <c r="R43" s="823">
        <f t="shared" ca="1" si="4"/>
        <v>89541.389769149639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52547.990457371881</v>
      </c>
      <c r="D46" s="706">
        <f t="shared" ref="D46:Q46" ca="1" si="5">SUM(D39:D45)</f>
        <v>298.44914668781831</v>
      </c>
      <c r="E46" s="706">
        <f t="shared" ca="1" si="5"/>
        <v>92551.805149409091</v>
      </c>
      <c r="F46" s="706">
        <f t="shared" si="5"/>
        <v>13073.776677311094</v>
      </c>
      <c r="G46" s="706">
        <f t="shared" ca="1" si="5"/>
        <v>19176.887428469774</v>
      </c>
      <c r="H46" s="706">
        <f t="shared" si="5"/>
        <v>0</v>
      </c>
      <c r="I46" s="706">
        <f t="shared" si="5"/>
        <v>0</v>
      </c>
      <c r="J46" s="706">
        <f t="shared" si="5"/>
        <v>0</v>
      </c>
      <c r="K46" s="706">
        <f t="shared" si="5"/>
        <v>1528.9148168268762</v>
      </c>
      <c r="L46" s="706">
        <f t="shared" si="5"/>
        <v>0</v>
      </c>
      <c r="M46" s="706">
        <f t="shared" ca="1" si="5"/>
        <v>0</v>
      </c>
      <c r="N46" s="706">
        <f t="shared" si="5"/>
        <v>0</v>
      </c>
      <c r="O46" s="706">
        <f t="shared" ca="1" si="5"/>
        <v>0</v>
      </c>
      <c r="P46" s="706">
        <f t="shared" si="5"/>
        <v>0</v>
      </c>
      <c r="Q46" s="706">
        <f t="shared" si="5"/>
        <v>0</v>
      </c>
      <c r="R46" s="706">
        <f ca="1">SUM(R39:R45)</f>
        <v>179177.82367607654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941.43616225034521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941.43616225034521</v>
      </c>
    </row>
    <row r="50" spans="1:18">
      <c r="A50" s="799" t="s">
        <v>306</v>
      </c>
      <c r="B50" s="809"/>
      <c r="C50" s="677">
        <f ca="1">transport!B18</f>
        <v>7.8269657570566391</v>
      </c>
      <c r="D50" s="677">
        <f>transport!C18</f>
        <v>0</v>
      </c>
      <c r="E50" s="677">
        <f>transport!D18</f>
        <v>19.207190365067355</v>
      </c>
      <c r="F50" s="677">
        <f>transport!E18</f>
        <v>97.001716093907476</v>
      </c>
      <c r="G50" s="677">
        <f>transport!F18</f>
        <v>0</v>
      </c>
      <c r="H50" s="677">
        <f>transport!G18</f>
        <v>51144.878896076698</v>
      </c>
      <c r="I50" s="677">
        <f>transport!H18</f>
        <v>8082.1081613130236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59351.022929605751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7.8269657570566391</v>
      </c>
      <c r="D52" s="706">
        <f t="shared" ref="D52:Q52" ca="1" si="6">SUM(D48:D51)</f>
        <v>0</v>
      </c>
      <c r="E52" s="706">
        <f t="shared" si="6"/>
        <v>19.207190365067355</v>
      </c>
      <c r="F52" s="706">
        <f t="shared" si="6"/>
        <v>97.001716093907476</v>
      </c>
      <c r="G52" s="706">
        <f t="shared" si="6"/>
        <v>0</v>
      </c>
      <c r="H52" s="706">
        <f t="shared" si="6"/>
        <v>52086.31505832704</v>
      </c>
      <c r="I52" s="706">
        <f t="shared" si="6"/>
        <v>8082.1081613130236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60292.459091856093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1682.5031087134573</v>
      </c>
      <c r="D54" s="677">
        <f ca="1">+landbouw!C12</f>
        <v>129.31555919453476</v>
      </c>
      <c r="E54" s="677">
        <f>+landbouw!D12</f>
        <v>247.77777564787635</v>
      </c>
      <c r="F54" s="677">
        <f>+landbouw!E12</f>
        <v>59.26981573371112</v>
      </c>
      <c r="G54" s="677">
        <f>+landbouw!F12</f>
        <v>9881.9422129475188</v>
      </c>
      <c r="H54" s="677">
        <f>+landbouw!G12</f>
        <v>0</v>
      </c>
      <c r="I54" s="677">
        <f>+landbouw!H12</f>
        <v>0</v>
      </c>
      <c r="J54" s="677">
        <f>+landbouw!I12</f>
        <v>0</v>
      </c>
      <c r="K54" s="677">
        <f>+landbouw!J12</f>
        <v>516.03104864233683</v>
      </c>
      <c r="L54" s="677">
        <f>+landbouw!K12</f>
        <v>0</v>
      </c>
      <c r="M54" s="677">
        <f>+landbouw!L12</f>
        <v>0</v>
      </c>
      <c r="N54" s="677">
        <f>+landbouw!M12</f>
        <v>0</v>
      </c>
      <c r="O54" s="677">
        <f>+landbouw!N12</f>
        <v>0</v>
      </c>
      <c r="P54" s="677">
        <f>+landbouw!O12</f>
        <v>0</v>
      </c>
      <c r="Q54" s="678">
        <f>+landbouw!P12</f>
        <v>0</v>
      </c>
      <c r="R54" s="705">
        <f ca="1">SUM(C54:Q54)</f>
        <v>12516.839520879435</v>
      </c>
    </row>
    <row r="55" spans="1:18" ht="15" thickBot="1">
      <c r="A55" s="799" t="s">
        <v>834</v>
      </c>
      <c r="B55" s="809"/>
      <c r="C55" s="677">
        <f ca="1">C25*'EF ele_warmte'!B12</f>
        <v>517.5667665036608</v>
      </c>
      <c r="D55" s="677"/>
      <c r="E55" s="677">
        <f>E25*EF_CO2_aardgas</f>
        <v>1356.4268865538002</v>
      </c>
      <c r="F55" s="677"/>
      <c r="G55" s="677"/>
      <c r="H55" s="677"/>
      <c r="I55" s="677"/>
      <c r="J55" s="677"/>
      <c r="K55" s="677"/>
      <c r="L55" s="677"/>
      <c r="M55" s="677"/>
      <c r="N55" s="677"/>
      <c r="O55" s="677"/>
      <c r="P55" s="677"/>
      <c r="Q55" s="678"/>
      <c r="R55" s="705">
        <f ca="1">SUM(C55:Q55)</f>
        <v>1873.993653057461</v>
      </c>
    </row>
    <row r="56" spans="1:18" ht="15.75" thickBot="1">
      <c r="A56" s="797" t="s">
        <v>835</v>
      </c>
      <c r="B56" s="810"/>
      <c r="C56" s="706">
        <f ca="1">SUM(C54:C55)</f>
        <v>2200.0698752171184</v>
      </c>
      <c r="D56" s="706">
        <f t="shared" ref="D56:Q56" ca="1" si="7">SUM(D54:D55)</f>
        <v>129.31555919453476</v>
      </c>
      <c r="E56" s="706">
        <f t="shared" si="7"/>
        <v>1604.2046622016765</v>
      </c>
      <c r="F56" s="706">
        <f t="shared" si="7"/>
        <v>59.26981573371112</v>
      </c>
      <c r="G56" s="706">
        <f t="shared" si="7"/>
        <v>9881.9422129475188</v>
      </c>
      <c r="H56" s="706">
        <f t="shared" si="7"/>
        <v>0</v>
      </c>
      <c r="I56" s="706">
        <f t="shared" si="7"/>
        <v>0</v>
      </c>
      <c r="J56" s="706">
        <f t="shared" si="7"/>
        <v>0</v>
      </c>
      <c r="K56" s="706">
        <f t="shared" si="7"/>
        <v>516.03104864233683</v>
      </c>
      <c r="L56" s="706">
        <f t="shared" si="7"/>
        <v>0</v>
      </c>
      <c r="M56" s="706">
        <f t="shared" si="7"/>
        <v>0</v>
      </c>
      <c r="N56" s="706">
        <f t="shared" si="7"/>
        <v>0</v>
      </c>
      <c r="O56" s="706">
        <f t="shared" si="7"/>
        <v>0</v>
      </c>
      <c r="P56" s="706">
        <f t="shared" si="7"/>
        <v>0</v>
      </c>
      <c r="Q56" s="707">
        <f t="shared" si="7"/>
        <v>0</v>
      </c>
      <c r="R56" s="708">
        <f ca="1">SUM(R54:R55)</f>
        <v>14390.833173936897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54755.887298346053</v>
      </c>
      <c r="D61" s="714">
        <f t="shared" ref="D61:Q61" ca="1" si="8">D46+D52+D56</f>
        <v>427.76470588235304</v>
      </c>
      <c r="E61" s="714">
        <f t="shared" ca="1" si="8"/>
        <v>94175.217001975834</v>
      </c>
      <c r="F61" s="714">
        <f t="shared" si="8"/>
        <v>13230.048209138713</v>
      </c>
      <c r="G61" s="714">
        <f t="shared" ca="1" si="8"/>
        <v>29058.829641417295</v>
      </c>
      <c r="H61" s="714">
        <f t="shared" si="8"/>
        <v>52086.31505832704</v>
      </c>
      <c r="I61" s="714">
        <f t="shared" si="8"/>
        <v>8082.1081613130236</v>
      </c>
      <c r="J61" s="714">
        <f t="shared" si="8"/>
        <v>0</v>
      </c>
      <c r="K61" s="714">
        <f t="shared" si="8"/>
        <v>2044.945865469213</v>
      </c>
      <c r="L61" s="714">
        <f t="shared" si="8"/>
        <v>0</v>
      </c>
      <c r="M61" s="714">
        <f t="shared" ca="1" si="8"/>
        <v>0</v>
      </c>
      <c r="N61" s="714">
        <f t="shared" si="8"/>
        <v>0</v>
      </c>
      <c r="O61" s="714">
        <f t="shared" ca="1" si="8"/>
        <v>0</v>
      </c>
      <c r="P61" s="714">
        <f t="shared" si="8"/>
        <v>0</v>
      </c>
      <c r="Q61" s="714">
        <f t="shared" si="8"/>
        <v>0</v>
      </c>
      <c r="R61" s="714">
        <f ca="1">R46+R52+R56</f>
        <v>253861.11594186953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0.16616319567979695</v>
      </c>
      <c r="D63" s="755">
        <f t="shared" ca="1" si="9"/>
        <v>9.6478434784091991E-3</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36511.721806962072</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15573.272014874918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29776.5</v>
      </c>
      <c r="C76" s="724">
        <f>'lokale energieproductie'!B8*IFERROR(SUM(D76:H76)/SUM(D76:O76),0)</f>
        <v>1260.0000000000005</v>
      </c>
      <c r="D76" s="999">
        <f>'lokale energieproductie'!C8</f>
        <v>1482.3529411764709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35031.176470588238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299.43529411764717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81861.493821836993</v>
      </c>
      <c r="C78" s="729">
        <f>SUM(C72:C77)</f>
        <v>1260.0000000000005</v>
      </c>
      <c r="D78" s="730">
        <f t="shared" ref="D78:H78" si="10">SUM(D76:D77)</f>
        <v>1482.3529411764709</v>
      </c>
      <c r="E78" s="730">
        <f t="shared" si="10"/>
        <v>0</v>
      </c>
      <c r="F78" s="730">
        <f t="shared" si="10"/>
        <v>0</v>
      </c>
      <c r="G78" s="730">
        <f t="shared" si="10"/>
        <v>0</v>
      </c>
      <c r="H78" s="730">
        <f t="shared" si="10"/>
        <v>0</v>
      </c>
      <c r="I78" s="730">
        <f>SUM(I76:I77)</f>
        <v>0</v>
      </c>
      <c r="J78" s="730">
        <f>SUM(J76:J77)</f>
        <v>35031.176470588238</v>
      </c>
      <c r="K78" s="730">
        <f t="shared" ref="K78:L78" si="11">SUM(K76:K77)</f>
        <v>0</v>
      </c>
      <c r="L78" s="730">
        <f t="shared" si="11"/>
        <v>0</v>
      </c>
      <c r="M78" s="730">
        <f>SUM(M76:M77)</f>
        <v>0</v>
      </c>
      <c r="N78" s="730">
        <f>SUM(N76:N77)</f>
        <v>0</v>
      </c>
      <c r="O78" s="834">
        <f>SUM(O76:O77)</f>
        <v>0</v>
      </c>
      <c r="P78" s="731">
        <v>0</v>
      </c>
      <c r="Q78" s="731">
        <f>SUM(Q76:Q77)</f>
        <v>299.43529411764717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42537.857142857145</v>
      </c>
      <c r="C87" s="740">
        <f>'lokale energieproductie'!B17*IFERROR(SUM(D87:H87)/SUM(D87:O87),0)</f>
        <v>1800.0000000000007</v>
      </c>
      <c r="D87" s="751">
        <f>'lokale energieproductie'!C17</f>
        <v>2117.6470588235302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50044.537815126052</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427.7647058823531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42537.857142857145</v>
      </c>
      <c r="C90" s="729">
        <f>SUM(C87:C89)</f>
        <v>1800.0000000000007</v>
      </c>
      <c r="D90" s="729">
        <f t="shared" ref="D90:H90" si="12">SUM(D87:D89)</f>
        <v>2117.6470588235302</v>
      </c>
      <c r="E90" s="729">
        <f t="shared" si="12"/>
        <v>0</v>
      </c>
      <c r="F90" s="729">
        <f t="shared" si="12"/>
        <v>0</v>
      </c>
      <c r="G90" s="729">
        <f t="shared" si="12"/>
        <v>0</v>
      </c>
      <c r="H90" s="729">
        <f t="shared" si="12"/>
        <v>0</v>
      </c>
      <c r="I90" s="729">
        <f>SUM(I87:I89)</f>
        <v>0</v>
      </c>
      <c r="J90" s="729">
        <f>SUM(J87:J89)</f>
        <v>50044.537815126052</v>
      </c>
      <c r="K90" s="729">
        <f t="shared" ref="K90:L90" si="13">SUM(K87:K89)</f>
        <v>0</v>
      </c>
      <c r="L90" s="729">
        <f t="shared" si="13"/>
        <v>0</v>
      </c>
      <c r="M90" s="729">
        <f>SUM(M87:M89)</f>
        <v>0</v>
      </c>
      <c r="N90" s="729">
        <f>SUM(N87:N89)</f>
        <v>0</v>
      </c>
      <c r="O90" s="729">
        <f>SUM(O87:O89)</f>
        <v>0</v>
      </c>
      <c r="P90" s="729">
        <v>0</v>
      </c>
      <c r="Q90" s="729">
        <f>SUM(Q87:Q89)</f>
        <v>427.7647058823531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36511.721806962072</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15573.272014874918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31036.5</v>
      </c>
      <c r="C8" s="544">
        <f>B51</f>
        <v>1482.3529411764709</v>
      </c>
      <c r="D8" s="1009"/>
      <c r="E8" s="1009">
        <f>E51</f>
        <v>0</v>
      </c>
      <c r="F8" s="1010"/>
      <c r="G8" s="545"/>
      <c r="H8" s="1009">
        <f>I51</f>
        <v>0</v>
      </c>
      <c r="I8" s="1009">
        <f>G51+F51</f>
        <v>0</v>
      </c>
      <c r="J8" s="1009">
        <f>H51+D51+C51</f>
        <v>35031.176470588238</v>
      </c>
      <c r="K8" s="1009"/>
      <c r="L8" s="1009"/>
      <c r="M8" s="1009"/>
      <c r="N8" s="546"/>
      <c r="O8" s="547">
        <f>C8*$C$12+D8*$D$12+E8*$E$12+F8*$F$12+G8*$G$12+H8*$H$12+I8*$I$12+J8*$J$12</f>
        <v>299.43529411764717</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83121.493821836993</v>
      </c>
      <c r="C10" s="557">
        <f t="shared" ref="C10:L10" si="0">SUM(C8:C9)</f>
        <v>1482.3529411764709</v>
      </c>
      <c r="D10" s="557">
        <f t="shared" si="0"/>
        <v>0</v>
      </c>
      <c r="E10" s="557">
        <f t="shared" si="0"/>
        <v>0</v>
      </c>
      <c r="F10" s="557">
        <f t="shared" si="0"/>
        <v>0</v>
      </c>
      <c r="G10" s="557">
        <f t="shared" si="0"/>
        <v>0</v>
      </c>
      <c r="H10" s="557">
        <f t="shared" si="0"/>
        <v>0</v>
      </c>
      <c r="I10" s="557">
        <f t="shared" si="0"/>
        <v>0</v>
      </c>
      <c r="J10" s="557">
        <f t="shared" si="0"/>
        <v>35031.176470588238</v>
      </c>
      <c r="K10" s="557">
        <f t="shared" si="0"/>
        <v>0</v>
      </c>
      <c r="L10" s="557">
        <f t="shared" si="0"/>
        <v>0</v>
      </c>
      <c r="M10" s="1012"/>
      <c r="N10" s="1012"/>
      <c r="O10" s="558">
        <f>SUM(O4:O9)</f>
        <v>299.43529411764717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44337.857142857145</v>
      </c>
      <c r="C17" s="569">
        <f>B52</f>
        <v>2117.6470588235302</v>
      </c>
      <c r="D17" s="570"/>
      <c r="E17" s="570">
        <f>E52</f>
        <v>0</v>
      </c>
      <c r="F17" s="1015"/>
      <c r="G17" s="571"/>
      <c r="H17" s="569">
        <f>I52</f>
        <v>0</v>
      </c>
      <c r="I17" s="570">
        <f>G52+F52</f>
        <v>0</v>
      </c>
      <c r="J17" s="570">
        <f>H52+D52+C52</f>
        <v>50044.537815126052</v>
      </c>
      <c r="K17" s="570"/>
      <c r="L17" s="570"/>
      <c r="M17" s="570"/>
      <c r="N17" s="1016"/>
      <c r="O17" s="572">
        <f>C17*$C$22+E17*$E$22+H17*$H$22+I17*$I$22+J17*$J$22+D17*$D$22+F17*$F$22+G17*$G$22+K17*$K$22+L17*$L$22</f>
        <v>427.7647058823531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44337.857142857145</v>
      </c>
      <c r="C20" s="556">
        <f>SUM(C17:C19)</f>
        <v>2117.6470588235302</v>
      </c>
      <c r="D20" s="556">
        <f t="shared" ref="D20:L20" si="1">SUM(D17:D19)</f>
        <v>0</v>
      </c>
      <c r="E20" s="556">
        <f t="shared" si="1"/>
        <v>0</v>
      </c>
      <c r="F20" s="556">
        <f t="shared" si="1"/>
        <v>0</v>
      </c>
      <c r="G20" s="556">
        <f t="shared" si="1"/>
        <v>0</v>
      </c>
      <c r="H20" s="556">
        <f t="shared" si="1"/>
        <v>0</v>
      </c>
      <c r="I20" s="556">
        <f t="shared" si="1"/>
        <v>0</v>
      </c>
      <c r="J20" s="556">
        <f t="shared" si="1"/>
        <v>50044.537815126052</v>
      </c>
      <c r="K20" s="556">
        <f t="shared" si="1"/>
        <v>0</v>
      </c>
      <c r="L20" s="556">
        <f t="shared" si="1"/>
        <v>0</v>
      </c>
      <c r="M20" s="556"/>
      <c r="N20" s="556"/>
      <c r="O20" s="575">
        <f>SUM(O17:O19)</f>
        <v>427.7647058823531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33011</v>
      </c>
      <c r="C28" s="770">
        <v>8900</v>
      </c>
      <c r="D28" s="627" t="s">
        <v>896</v>
      </c>
      <c r="E28" s="626" t="s">
        <v>897</v>
      </c>
      <c r="F28" s="626" t="s">
        <v>898</v>
      </c>
      <c r="G28" s="626" t="s">
        <v>899</v>
      </c>
      <c r="H28" s="626" t="s">
        <v>900</v>
      </c>
      <c r="I28" s="626" t="s">
        <v>897</v>
      </c>
      <c r="J28" s="769">
        <v>40199</v>
      </c>
      <c r="K28" s="769">
        <v>39360</v>
      </c>
      <c r="L28" s="626" t="s">
        <v>901</v>
      </c>
      <c r="M28" s="626">
        <v>2085</v>
      </c>
      <c r="N28" s="626">
        <v>9382.5</v>
      </c>
      <c r="O28" s="626">
        <v>13403.571428571429</v>
      </c>
      <c r="P28" s="626">
        <v>0</v>
      </c>
      <c r="Q28" s="626">
        <v>26807.142857142859</v>
      </c>
      <c r="R28" s="626">
        <v>0</v>
      </c>
      <c r="S28" s="626">
        <v>0</v>
      </c>
      <c r="T28" s="626">
        <v>0</v>
      </c>
      <c r="U28" s="626">
        <v>0</v>
      </c>
      <c r="V28" s="626">
        <v>0</v>
      </c>
      <c r="W28" s="626">
        <v>0</v>
      </c>
      <c r="X28" s="626">
        <v>10</v>
      </c>
      <c r="Y28" s="626" t="s">
        <v>111</v>
      </c>
      <c r="Z28" s="628" t="s">
        <v>111</v>
      </c>
    </row>
    <row r="29" spans="1:26" s="580" customFormat="1" ht="63.75">
      <c r="A29" s="579"/>
      <c r="B29" s="770">
        <v>33011</v>
      </c>
      <c r="C29" s="770">
        <v>8900</v>
      </c>
      <c r="D29" s="627" t="s">
        <v>902</v>
      </c>
      <c r="E29" s="626" t="s">
        <v>903</v>
      </c>
      <c r="F29" s="626" t="s">
        <v>904</v>
      </c>
      <c r="G29" s="626" t="s">
        <v>899</v>
      </c>
      <c r="H29" s="626" t="s">
        <v>900</v>
      </c>
      <c r="I29" s="626" t="s">
        <v>903</v>
      </c>
      <c r="J29" s="769">
        <v>37824</v>
      </c>
      <c r="K29" s="769">
        <v>40350</v>
      </c>
      <c r="L29" s="626" t="s">
        <v>901</v>
      </c>
      <c r="M29" s="626">
        <v>1340</v>
      </c>
      <c r="N29" s="626">
        <v>6030</v>
      </c>
      <c r="O29" s="626">
        <v>8614.2857142857138</v>
      </c>
      <c r="P29" s="626">
        <v>0</v>
      </c>
      <c r="Q29" s="626">
        <v>17228.571428571431</v>
      </c>
      <c r="R29" s="626">
        <v>0</v>
      </c>
      <c r="S29" s="626">
        <v>0</v>
      </c>
      <c r="T29" s="626">
        <v>0</v>
      </c>
      <c r="U29" s="626">
        <v>0</v>
      </c>
      <c r="V29" s="626">
        <v>0</v>
      </c>
      <c r="W29" s="626">
        <v>0</v>
      </c>
      <c r="X29" s="626">
        <v>1600</v>
      </c>
      <c r="Y29" s="626" t="s">
        <v>49</v>
      </c>
      <c r="Z29" s="628" t="s">
        <v>155</v>
      </c>
    </row>
    <row r="30" spans="1:26" s="580" customFormat="1" ht="51">
      <c r="A30" s="579"/>
      <c r="B30" s="770">
        <v>33011</v>
      </c>
      <c r="C30" s="770">
        <v>8900</v>
      </c>
      <c r="D30" s="627" t="s">
        <v>905</v>
      </c>
      <c r="E30" s="626" t="s">
        <v>906</v>
      </c>
      <c r="F30" s="626" t="s">
        <v>907</v>
      </c>
      <c r="G30" s="626" t="s">
        <v>899</v>
      </c>
      <c r="H30" s="626" t="s">
        <v>900</v>
      </c>
      <c r="I30" s="626" t="s">
        <v>906</v>
      </c>
      <c r="J30" s="769">
        <v>41484</v>
      </c>
      <c r="K30" s="769">
        <v>41484</v>
      </c>
      <c r="L30" s="626" t="s">
        <v>901</v>
      </c>
      <c r="M30" s="626">
        <v>280</v>
      </c>
      <c r="N30" s="626">
        <v>1260.0000000000002</v>
      </c>
      <c r="O30" s="626">
        <v>1800.0000000000005</v>
      </c>
      <c r="P30" s="626">
        <v>3600.0000000000009</v>
      </c>
      <c r="Q30" s="626">
        <v>0</v>
      </c>
      <c r="R30" s="626">
        <v>0</v>
      </c>
      <c r="S30" s="626">
        <v>0</v>
      </c>
      <c r="T30" s="626">
        <v>0</v>
      </c>
      <c r="U30" s="626">
        <v>0</v>
      </c>
      <c r="V30" s="626">
        <v>0</v>
      </c>
      <c r="W30" s="626">
        <v>0</v>
      </c>
      <c r="X30" s="626">
        <v>1501</v>
      </c>
      <c r="Y30" s="626" t="s">
        <v>50</v>
      </c>
      <c r="Z30" s="628" t="s">
        <v>155</v>
      </c>
    </row>
    <row r="31" spans="1:26" s="580" customFormat="1" ht="63.75">
      <c r="A31" s="579"/>
      <c r="B31" s="770">
        <v>33011</v>
      </c>
      <c r="C31" s="770">
        <v>8900</v>
      </c>
      <c r="D31" s="627" t="s">
        <v>908</v>
      </c>
      <c r="E31" s="626" t="s">
        <v>909</v>
      </c>
      <c r="F31" s="626" t="s">
        <v>910</v>
      </c>
      <c r="G31" s="626" t="s">
        <v>899</v>
      </c>
      <c r="H31" s="626" t="s">
        <v>900</v>
      </c>
      <c r="I31" s="626" t="s">
        <v>911</v>
      </c>
      <c r="J31" s="769">
        <v>41487</v>
      </c>
      <c r="K31" s="769">
        <v>41487</v>
      </c>
      <c r="L31" s="626" t="s">
        <v>901</v>
      </c>
      <c r="M31" s="626">
        <v>3192</v>
      </c>
      <c r="N31" s="626">
        <v>14364</v>
      </c>
      <c r="O31" s="626">
        <v>20520</v>
      </c>
      <c r="P31" s="626">
        <v>0</v>
      </c>
      <c r="Q31" s="626">
        <v>41040</v>
      </c>
      <c r="R31" s="626">
        <v>0</v>
      </c>
      <c r="S31" s="626">
        <v>0</v>
      </c>
      <c r="T31" s="626">
        <v>0</v>
      </c>
      <c r="U31" s="626">
        <v>0</v>
      </c>
      <c r="V31" s="626">
        <v>0</v>
      </c>
      <c r="W31" s="626">
        <v>0</v>
      </c>
      <c r="X31" s="626">
        <v>1600</v>
      </c>
      <c r="Y31" s="626" t="s">
        <v>49</v>
      </c>
      <c r="Z31" s="628" t="s">
        <v>155</v>
      </c>
    </row>
    <row r="32" spans="1:26" s="564" customFormat="1">
      <c r="A32" s="582" t="s">
        <v>279</v>
      </c>
      <c r="B32" s="583"/>
      <c r="C32" s="583"/>
      <c r="D32" s="583"/>
      <c r="E32" s="583"/>
      <c r="F32" s="583"/>
      <c r="G32" s="583"/>
      <c r="H32" s="583"/>
      <c r="I32" s="583"/>
      <c r="J32" s="583"/>
      <c r="K32" s="583"/>
      <c r="L32" s="584"/>
      <c r="M32" s="584">
        <f>SUM(M28:M31)</f>
        <v>6897</v>
      </c>
      <c r="N32" s="584">
        <f>SUM(N28:N31)</f>
        <v>31036.5</v>
      </c>
      <c r="O32" s="584">
        <f>SUM(O28:O31)</f>
        <v>44337.857142857145</v>
      </c>
      <c r="P32" s="584">
        <f>SUM(P28:P31)</f>
        <v>3600.0000000000009</v>
      </c>
      <c r="Q32" s="584">
        <f>SUM(Q28:Q31)</f>
        <v>85075.71428571429</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4812</v>
      </c>
      <c r="N34" s="584">
        <f ca="1">SUMIF($Z$28:AD31,"tertiair",N28:N31)</f>
        <v>21654</v>
      </c>
      <c r="O34" s="584">
        <f ca="1">SUMIF($Z$28:AE31,"tertiair",O28:O31)</f>
        <v>30934.285714285714</v>
      </c>
      <c r="P34" s="584">
        <f ca="1">SUMIF($Z$28:AF31,"tertiair",P28:P31)</f>
        <v>3600.0000000000009</v>
      </c>
      <c r="Q34" s="584">
        <f ca="1">SUMIF($Z$28:AG31,"tertiair",Q28:Q31)</f>
        <v>58268.571428571435</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2085</v>
      </c>
      <c r="N35" s="589">
        <f>SUMIF($Z$28:$Z$31,"landbouw",N28:N31)</f>
        <v>9382.5</v>
      </c>
      <c r="O35" s="589">
        <f>SUMIF($Z$28:$Z$31,"landbouw",O28:O31)</f>
        <v>13403.571428571429</v>
      </c>
      <c r="P35" s="589">
        <f>SUMIF($Z$28:$Z$31,"landbouw",P28:P31)</f>
        <v>0</v>
      </c>
      <c r="Q35" s="589">
        <f>SUMIF($Z$28:$Z$31,"landbouw",Q28:Q31)</f>
        <v>26807.142857142859</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1482.3529411764709</v>
      </c>
      <c r="C51" s="618">
        <f t="shared" si="2"/>
        <v>35031.176470588238</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2117.6470588235302</v>
      </c>
      <c r="C52" s="621">
        <f t="shared" si="3"/>
        <v>50044.537815126052</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57264.870083548631</v>
      </c>
      <c r="C4" s="451">
        <f>huishoudens!C8</f>
        <v>0</v>
      </c>
      <c r="D4" s="451">
        <f>huishoudens!D8</f>
        <v>135069.79035132</v>
      </c>
      <c r="E4" s="451">
        <f>huishoudens!E8</f>
        <v>46101.584203990264</v>
      </c>
      <c r="F4" s="451">
        <f>huishoudens!F8</f>
        <v>11805.378522148401</v>
      </c>
      <c r="G4" s="451">
        <f>huishoudens!G8</f>
        <v>0</v>
      </c>
      <c r="H4" s="451">
        <f>huishoudens!H8</f>
        <v>0</v>
      </c>
      <c r="I4" s="451">
        <f>huishoudens!I8</f>
        <v>0</v>
      </c>
      <c r="J4" s="451">
        <f>huishoudens!J8</f>
        <v>3398.4710619549869</v>
      </c>
      <c r="K4" s="451">
        <f>huishoudens!K8</f>
        <v>0</v>
      </c>
      <c r="L4" s="451">
        <f>huishoudens!L8</f>
        <v>0</v>
      </c>
      <c r="M4" s="451">
        <f>huishoudens!M8</f>
        <v>0</v>
      </c>
      <c r="N4" s="451">
        <f>huishoudens!N8</f>
        <v>30846.993055393694</v>
      </c>
      <c r="O4" s="451">
        <f>huishoudens!O8</f>
        <v>716.00666666666677</v>
      </c>
      <c r="P4" s="452">
        <f>huishoudens!P8</f>
        <v>1144</v>
      </c>
      <c r="Q4" s="453">
        <f>SUM(B4:P4)</f>
        <v>286347.09394502261</v>
      </c>
    </row>
    <row r="5" spans="1:17">
      <c r="A5" s="450" t="s">
        <v>155</v>
      </c>
      <c r="B5" s="451">
        <f ca="1">tertiair!B16</f>
        <v>97800.340412730002</v>
      </c>
      <c r="C5" s="451">
        <f ca="1">tertiair!C16</f>
        <v>30934.285714285714</v>
      </c>
      <c r="D5" s="451">
        <f ca="1">tertiair!D16</f>
        <v>77470.111253322408</v>
      </c>
      <c r="E5" s="451">
        <f>tertiair!E16</f>
        <v>1256.3960935122925</v>
      </c>
      <c r="F5" s="451">
        <f ca="1">tertiair!F16</f>
        <v>19038.672416219066</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12.506666666666668</v>
      </c>
      <c r="P5" s="452">
        <f>tertiair!P16</f>
        <v>95.333333333333343</v>
      </c>
      <c r="Q5" s="450">
        <f t="shared" ref="Q5:Q14" ca="1" si="0">SUM(B5:P5)</f>
        <v>226607.64589006951</v>
      </c>
    </row>
    <row r="6" spans="1:17">
      <c r="A6" s="450" t="s">
        <v>193</v>
      </c>
      <c r="B6" s="451">
        <f>'openbare verlichting'!B8</f>
        <v>2708.8539999999998</v>
      </c>
      <c r="C6" s="451"/>
      <c r="D6" s="451"/>
      <c r="E6" s="451"/>
      <c r="F6" s="451"/>
      <c r="G6" s="451"/>
      <c r="H6" s="451"/>
      <c r="I6" s="451"/>
      <c r="J6" s="451"/>
      <c r="K6" s="451"/>
      <c r="L6" s="451"/>
      <c r="M6" s="451"/>
      <c r="N6" s="451"/>
      <c r="O6" s="451"/>
      <c r="P6" s="452"/>
      <c r="Q6" s="450">
        <f t="shared" si="0"/>
        <v>2708.8539999999998</v>
      </c>
    </row>
    <row r="7" spans="1:17">
      <c r="A7" s="450" t="s">
        <v>111</v>
      </c>
      <c r="B7" s="451">
        <f>landbouw!B8</f>
        <v>10125.6063464</v>
      </c>
      <c r="C7" s="451">
        <f>landbouw!C8</f>
        <v>13403.571428571429</v>
      </c>
      <c r="D7" s="451">
        <f>landbouw!D8</f>
        <v>1226.6226517221601</v>
      </c>
      <c r="E7" s="451">
        <f>landbouw!E8</f>
        <v>261.10050984013708</v>
      </c>
      <c r="F7" s="451">
        <f>landbouw!F8</f>
        <v>37011.019524148011</v>
      </c>
      <c r="G7" s="451">
        <f>landbouw!G8</f>
        <v>0</v>
      </c>
      <c r="H7" s="451">
        <f>landbouw!H8</f>
        <v>0</v>
      </c>
      <c r="I7" s="451">
        <f>landbouw!I8</f>
        <v>0</v>
      </c>
      <c r="J7" s="451">
        <f>landbouw!J8</f>
        <v>1457.7148266732679</v>
      </c>
      <c r="K7" s="451">
        <f>landbouw!K8</f>
        <v>0</v>
      </c>
      <c r="L7" s="451">
        <f>landbouw!L8</f>
        <v>0</v>
      </c>
      <c r="M7" s="451">
        <f>landbouw!M8</f>
        <v>0</v>
      </c>
      <c r="N7" s="451">
        <f>landbouw!N8</f>
        <v>0</v>
      </c>
      <c r="O7" s="451">
        <f>landbouw!O8</f>
        <v>0</v>
      </c>
      <c r="P7" s="452">
        <f>landbouw!P8</f>
        <v>0</v>
      </c>
      <c r="Q7" s="450">
        <f t="shared" si="0"/>
        <v>63485.635287355006</v>
      </c>
    </row>
    <row r="8" spans="1:17">
      <c r="A8" s="450" t="s">
        <v>637</v>
      </c>
      <c r="B8" s="451">
        <f>industrie!B18</f>
        <v>158469.19408087299</v>
      </c>
      <c r="C8" s="451">
        <f>industrie!C18</f>
        <v>0</v>
      </c>
      <c r="D8" s="451">
        <f>industrie!D18</f>
        <v>245637.35161025403</v>
      </c>
      <c r="E8" s="451">
        <f>industrie!E18</f>
        <v>10235.74955849345</v>
      </c>
      <c r="F8" s="451">
        <f>industrie!F18</f>
        <v>40979.497482867642</v>
      </c>
      <c r="G8" s="451">
        <f>industrie!G18</f>
        <v>0</v>
      </c>
      <c r="H8" s="451">
        <f>industrie!H18</f>
        <v>0</v>
      </c>
      <c r="I8" s="451">
        <f>industrie!I18</f>
        <v>0</v>
      </c>
      <c r="J8" s="451">
        <f>industrie!J18</f>
        <v>920.49734716048272</v>
      </c>
      <c r="K8" s="451">
        <f>industrie!K18</f>
        <v>0</v>
      </c>
      <c r="L8" s="451">
        <f>industrie!L18</f>
        <v>0</v>
      </c>
      <c r="M8" s="451">
        <f>industrie!M18</f>
        <v>0</v>
      </c>
      <c r="N8" s="451">
        <f>industrie!N18</f>
        <v>10612.189632945338</v>
      </c>
      <c r="O8" s="451">
        <f>industrie!O18</f>
        <v>0</v>
      </c>
      <c r="P8" s="452">
        <f>industrie!P18</f>
        <v>0</v>
      </c>
      <c r="Q8" s="450">
        <f t="shared" si="0"/>
        <v>466854.47971259389</v>
      </c>
    </row>
    <row r="9" spans="1:17" s="456" customFormat="1">
      <c r="A9" s="454" t="s">
        <v>563</v>
      </c>
      <c r="B9" s="455">
        <f>transport!B14</f>
        <v>47.104087791736447</v>
      </c>
      <c r="C9" s="455">
        <f>transport!C14</f>
        <v>0</v>
      </c>
      <c r="D9" s="455">
        <f>transport!D14</f>
        <v>95.085100817165113</v>
      </c>
      <c r="E9" s="455">
        <f>transport!E14</f>
        <v>427.32033521545145</v>
      </c>
      <c r="F9" s="455">
        <f>transport!F14</f>
        <v>0</v>
      </c>
      <c r="G9" s="455">
        <f>transport!G14</f>
        <v>191553.85354335842</v>
      </c>
      <c r="H9" s="455">
        <f>transport!H14</f>
        <v>32458.265708084433</v>
      </c>
      <c r="I9" s="455">
        <f>transport!I14</f>
        <v>0</v>
      </c>
      <c r="J9" s="455">
        <f>transport!J14</f>
        <v>0</v>
      </c>
      <c r="K9" s="455">
        <f>transport!K14</f>
        <v>0</v>
      </c>
      <c r="L9" s="455">
        <f>transport!L14</f>
        <v>0</v>
      </c>
      <c r="M9" s="455">
        <f>transport!M14</f>
        <v>6999.0367010974178</v>
      </c>
      <c r="N9" s="455">
        <f>transport!N14</f>
        <v>0</v>
      </c>
      <c r="O9" s="455">
        <f>transport!O14</f>
        <v>0</v>
      </c>
      <c r="P9" s="455">
        <f>transport!P14</f>
        <v>0</v>
      </c>
      <c r="Q9" s="454">
        <f>SUM(B9:P9)</f>
        <v>231580.66547636461</v>
      </c>
    </row>
    <row r="10" spans="1:17">
      <c r="A10" s="450" t="s">
        <v>553</v>
      </c>
      <c r="B10" s="451">
        <f>transport!B54</f>
        <v>0</v>
      </c>
      <c r="C10" s="451">
        <f>transport!C54</f>
        <v>0</v>
      </c>
      <c r="D10" s="451">
        <f>transport!D54</f>
        <v>0</v>
      </c>
      <c r="E10" s="451">
        <f>transport!E54</f>
        <v>0</v>
      </c>
      <c r="F10" s="451">
        <f>transport!F54</f>
        <v>0</v>
      </c>
      <c r="G10" s="451">
        <f>transport!G54</f>
        <v>3525.9781357690831</v>
      </c>
      <c r="H10" s="451">
        <f>transport!H54</f>
        <v>0</v>
      </c>
      <c r="I10" s="451">
        <f>transport!I54</f>
        <v>0</v>
      </c>
      <c r="J10" s="451">
        <f>transport!J54</f>
        <v>0</v>
      </c>
      <c r="K10" s="451">
        <f>transport!K54</f>
        <v>0</v>
      </c>
      <c r="L10" s="451">
        <f>transport!L54</f>
        <v>0</v>
      </c>
      <c r="M10" s="451">
        <f>transport!M54</f>
        <v>109.22989104690188</v>
      </c>
      <c r="N10" s="451">
        <f>transport!N54</f>
        <v>0</v>
      </c>
      <c r="O10" s="451">
        <f>transport!O54</f>
        <v>0</v>
      </c>
      <c r="P10" s="452">
        <f>transport!P54</f>
        <v>0</v>
      </c>
      <c r="Q10" s="450">
        <f t="shared" si="0"/>
        <v>3635.2080268159848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3114.8098974999998</v>
      </c>
      <c r="C14" s="458"/>
      <c r="D14" s="458">
        <f>'SEAP template'!E25</f>
        <v>6714.9845869000001</v>
      </c>
      <c r="E14" s="458"/>
      <c r="F14" s="458"/>
      <c r="G14" s="458"/>
      <c r="H14" s="458"/>
      <c r="I14" s="458"/>
      <c r="J14" s="458"/>
      <c r="K14" s="458"/>
      <c r="L14" s="458"/>
      <c r="M14" s="458"/>
      <c r="N14" s="458"/>
      <c r="O14" s="458"/>
      <c r="P14" s="459"/>
      <c r="Q14" s="450">
        <f t="shared" si="0"/>
        <v>9829.7944843999994</v>
      </c>
    </row>
    <row r="15" spans="1:17" s="460" customFormat="1">
      <c r="A15" s="1004" t="s">
        <v>557</v>
      </c>
      <c r="B15" s="944">
        <f ca="1">SUM(B4:B14)</f>
        <v>329530.77890884329</v>
      </c>
      <c r="C15" s="944">
        <f t="shared" ref="C15:Q15" ca="1" si="1">SUM(C4:C14)</f>
        <v>44337.857142857145</v>
      </c>
      <c r="D15" s="944">
        <f t="shared" ca="1" si="1"/>
        <v>466213.94555433572</v>
      </c>
      <c r="E15" s="944">
        <f t="shared" si="1"/>
        <v>58282.1507010516</v>
      </c>
      <c r="F15" s="944">
        <f t="shared" ca="1" si="1"/>
        <v>108834.56794538311</v>
      </c>
      <c r="G15" s="944">
        <f t="shared" si="1"/>
        <v>195079.8316791275</v>
      </c>
      <c r="H15" s="944">
        <f t="shared" si="1"/>
        <v>32458.265708084433</v>
      </c>
      <c r="I15" s="944">
        <f t="shared" si="1"/>
        <v>0</v>
      </c>
      <c r="J15" s="944">
        <f t="shared" si="1"/>
        <v>5776.6832357887379</v>
      </c>
      <c r="K15" s="944">
        <f t="shared" si="1"/>
        <v>0</v>
      </c>
      <c r="L15" s="944">
        <f t="shared" ca="1" si="1"/>
        <v>0</v>
      </c>
      <c r="M15" s="944">
        <f t="shared" si="1"/>
        <v>7108.2665921443195</v>
      </c>
      <c r="N15" s="944">
        <f t="shared" ca="1" si="1"/>
        <v>41459.182688339031</v>
      </c>
      <c r="O15" s="944">
        <f t="shared" si="1"/>
        <v>728.51333333333343</v>
      </c>
      <c r="P15" s="944">
        <f t="shared" si="1"/>
        <v>1239.3333333333333</v>
      </c>
      <c r="Q15" s="944">
        <f t="shared" ca="1" si="1"/>
        <v>1291049.3768226213</v>
      </c>
    </row>
    <row r="17" spans="1:17">
      <c r="A17" s="461" t="s">
        <v>558</v>
      </c>
      <c r="B17" s="760">
        <f ca="1">huishoudens!B10</f>
        <v>0.16616319567979698</v>
      </c>
      <c r="C17" s="760">
        <f ca="1">huishoudens!C10</f>
        <v>9.6478434784092008E-3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9515.3138132708427</v>
      </c>
      <c r="C22" s="451">
        <f t="shared" ref="C22:C32" ca="1" si="3">C4*$C$17</f>
        <v>0</v>
      </c>
      <c r="D22" s="451">
        <f t="shared" ref="D22:D32" si="4">D4*$D$17</f>
        <v>27284.097650966643</v>
      </c>
      <c r="E22" s="451">
        <f t="shared" ref="E22:E32" si="5">E4*$E$17</f>
        <v>10465.05961430579</v>
      </c>
      <c r="F22" s="451">
        <f t="shared" ref="F22:F32" si="6">F4*$F$17</f>
        <v>3152.0360654136234</v>
      </c>
      <c r="G22" s="451">
        <f t="shared" ref="G22:G32" si="7">G4*$G$17</f>
        <v>0</v>
      </c>
      <c r="H22" s="451">
        <f t="shared" ref="H22:H32" si="8">H4*$H$17</f>
        <v>0</v>
      </c>
      <c r="I22" s="451">
        <f t="shared" ref="I22:I32" si="9">I4*$I$17</f>
        <v>0</v>
      </c>
      <c r="J22" s="451">
        <f t="shared" ref="J22:J32" si="10">J4*$J$17</f>
        <v>1203.0587559320652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51619.565899888963</v>
      </c>
    </row>
    <row r="23" spans="1:17">
      <c r="A23" s="450" t="s">
        <v>155</v>
      </c>
      <c r="B23" s="451">
        <f t="shared" ca="1" si="2"/>
        <v>16250.817101551213</v>
      </c>
      <c r="C23" s="451">
        <f t="shared" ca="1" si="3"/>
        <v>298.44914668781831</v>
      </c>
      <c r="D23" s="451">
        <f t="shared" ca="1" si="4"/>
        <v>15648.962473171126</v>
      </c>
      <c r="E23" s="451">
        <f t="shared" si="5"/>
        <v>285.20191322729039</v>
      </c>
      <c r="F23" s="451">
        <f t="shared" ca="1" si="6"/>
        <v>5083.3255351304906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37566.756169767934</v>
      </c>
    </row>
    <row r="24" spans="1:17">
      <c r="A24" s="450" t="s">
        <v>193</v>
      </c>
      <c r="B24" s="451">
        <f t="shared" ca="1" si="2"/>
        <v>450.11183727000076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450.11183727000076</v>
      </c>
    </row>
    <row r="25" spans="1:17">
      <c r="A25" s="450" t="s">
        <v>111</v>
      </c>
      <c r="B25" s="451">
        <f t="shared" ca="1" si="2"/>
        <v>1682.5031087134573</v>
      </c>
      <c r="C25" s="451">
        <f t="shared" ca="1" si="3"/>
        <v>129.31555919453476</v>
      </c>
      <c r="D25" s="451">
        <f t="shared" si="4"/>
        <v>247.77777564787635</v>
      </c>
      <c r="E25" s="451">
        <f t="shared" si="5"/>
        <v>59.26981573371112</v>
      </c>
      <c r="F25" s="451">
        <f t="shared" si="6"/>
        <v>9881.9422129475188</v>
      </c>
      <c r="G25" s="451">
        <f t="shared" si="7"/>
        <v>0</v>
      </c>
      <c r="H25" s="451">
        <f t="shared" si="8"/>
        <v>0</v>
      </c>
      <c r="I25" s="451">
        <f t="shared" si="9"/>
        <v>0</v>
      </c>
      <c r="J25" s="451">
        <f t="shared" si="10"/>
        <v>516.03104864233683</v>
      </c>
      <c r="K25" s="451">
        <f t="shared" si="11"/>
        <v>0</v>
      </c>
      <c r="L25" s="451">
        <f t="shared" si="12"/>
        <v>0</v>
      </c>
      <c r="M25" s="451">
        <f t="shared" si="13"/>
        <v>0</v>
      </c>
      <c r="N25" s="451">
        <f t="shared" si="14"/>
        <v>0</v>
      </c>
      <c r="O25" s="451">
        <f t="shared" si="15"/>
        <v>0</v>
      </c>
      <c r="P25" s="452">
        <f t="shared" si="16"/>
        <v>0</v>
      </c>
      <c r="Q25" s="450">
        <f t="shared" ca="1" si="17"/>
        <v>12516.839520879435</v>
      </c>
    </row>
    <row r="26" spans="1:17">
      <c r="A26" s="450" t="s">
        <v>637</v>
      </c>
      <c r="B26" s="451">
        <f t="shared" ca="1" si="2"/>
        <v>26331.747705279824</v>
      </c>
      <c r="C26" s="451">
        <f t="shared" ca="1" si="3"/>
        <v>0</v>
      </c>
      <c r="D26" s="451">
        <f t="shared" si="4"/>
        <v>49618.745025271317</v>
      </c>
      <c r="E26" s="451">
        <f t="shared" si="5"/>
        <v>2323.515149778013</v>
      </c>
      <c r="F26" s="451">
        <f t="shared" si="6"/>
        <v>10941.525827925661</v>
      </c>
      <c r="G26" s="451">
        <f t="shared" si="7"/>
        <v>0</v>
      </c>
      <c r="H26" s="451">
        <f t="shared" si="8"/>
        <v>0</v>
      </c>
      <c r="I26" s="451">
        <f t="shared" si="9"/>
        <v>0</v>
      </c>
      <c r="J26" s="451">
        <f t="shared" si="10"/>
        <v>325.85606089481087</v>
      </c>
      <c r="K26" s="451">
        <f t="shared" si="11"/>
        <v>0</v>
      </c>
      <c r="L26" s="451">
        <f t="shared" si="12"/>
        <v>0</v>
      </c>
      <c r="M26" s="451">
        <f t="shared" si="13"/>
        <v>0</v>
      </c>
      <c r="N26" s="451">
        <f t="shared" si="14"/>
        <v>0</v>
      </c>
      <c r="O26" s="451">
        <f t="shared" si="15"/>
        <v>0</v>
      </c>
      <c r="P26" s="452">
        <f t="shared" si="16"/>
        <v>0</v>
      </c>
      <c r="Q26" s="450">
        <f t="shared" ca="1" si="17"/>
        <v>89541.389769149639</v>
      </c>
    </row>
    <row r="27" spans="1:17" s="456" customFormat="1">
      <c r="A27" s="454" t="s">
        <v>563</v>
      </c>
      <c r="B27" s="754">
        <f t="shared" ca="1" si="2"/>
        <v>7.8269657570566391</v>
      </c>
      <c r="C27" s="455">
        <f t="shared" ca="1" si="3"/>
        <v>0</v>
      </c>
      <c r="D27" s="455">
        <f t="shared" si="4"/>
        <v>19.207190365067355</v>
      </c>
      <c r="E27" s="455">
        <f t="shared" si="5"/>
        <v>97.001716093907476</v>
      </c>
      <c r="F27" s="455">
        <f t="shared" si="6"/>
        <v>0</v>
      </c>
      <c r="G27" s="455">
        <f t="shared" si="7"/>
        <v>51144.878896076698</v>
      </c>
      <c r="H27" s="455">
        <f t="shared" si="8"/>
        <v>8082.1081613130236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59351.022929605751</v>
      </c>
    </row>
    <row r="28" spans="1:17">
      <c r="A28" s="450" t="s">
        <v>553</v>
      </c>
      <c r="B28" s="451">
        <f t="shared" ca="1" si="2"/>
        <v>0</v>
      </c>
      <c r="C28" s="451">
        <f t="shared" ca="1" si="3"/>
        <v>0</v>
      </c>
      <c r="D28" s="451">
        <f t="shared" si="4"/>
        <v>0</v>
      </c>
      <c r="E28" s="451">
        <f t="shared" si="5"/>
        <v>0</v>
      </c>
      <c r="F28" s="451">
        <f t="shared" si="6"/>
        <v>0</v>
      </c>
      <c r="G28" s="451">
        <f t="shared" si="7"/>
        <v>941.43616225034521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941.43616225034521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517.5667665036608</v>
      </c>
      <c r="C32" s="451">
        <f t="shared" ca="1" si="3"/>
        <v>0</v>
      </c>
      <c r="D32" s="451">
        <f t="shared" si="4"/>
        <v>1356.4268865538002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1873.993653057461</v>
      </c>
    </row>
    <row r="33" spans="1:17" s="460" customFormat="1">
      <c r="A33" s="1004" t="s">
        <v>557</v>
      </c>
      <c r="B33" s="944">
        <f ca="1">SUM(B22:B32)</f>
        <v>54755.887298346053</v>
      </c>
      <c r="C33" s="944">
        <f t="shared" ref="C33:Q33" ca="1" si="18">SUM(C22:C32)</f>
        <v>427.76470588235304</v>
      </c>
      <c r="D33" s="944">
        <f t="shared" ca="1" si="18"/>
        <v>94175.217001975834</v>
      </c>
      <c r="E33" s="944">
        <f t="shared" si="18"/>
        <v>13230.048209138713</v>
      </c>
      <c r="F33" s="944">
        <f t="shared" ca="1" si="18"/>
        <v>29058.829641417295</v>
      </c>
      <c r="G33" s="944">
        <f t="shared" si="18"/>
        <v>52086.31505832704</v>
      </c>
      <c r="H33" s="944">
        <f t="shared" si="18"/>
        <v>8082.1081613130236</v>
      </c>
      <c r="I33" s="944">
        <f t="shared" si="18"/>
        <v>0</v>
      </c>
      <c r="J33" s="944">
        <f t="shared" si="18"/>
        <v>2044.945865469213</v>
      </c>
      <c r="K33" s="944">
        <f t="shared" si="18"/>
        <v>0</v>
      </c>
      <c r="L33" s="944">
        <f t="shared" ca="1" si="18"/>
        <v>0</v>
      </c>
      <c r="M33" s="944">
        <f t="shared" si="18"/>
        <v>0</v>
      </c>
      <c r="N33" s="944">
        <f t="shared" ca="1" si="18"/>
        <v>0</v>
      </c>
      <c r="O33" s="944">
        <f t="shared" si="18"/>
        <v>0</v>
      </c>
      <c r="P33" s="944">
        <f t="shared" si="18"/>
        <v>0</v>
      </c>
      <c r="Q33" s="944">
        <f t="shared" ca="1" si="18"/>
        <v>253861.11594186953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36511.721806962072</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15573.272014874918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29776.5</v>
      </c>
      <c r="C8" s="1021">
        <f>'SEAP template'!C76</f>
        <v>1260.0000000000005</v>
      </c>
      <c r="D8" s="1021">
        <f>'SEAP template'!D76</f>
        <v>1482.3529411764709</v>
      </c>
      <c r="E8" s="1021">
        <f>'SEAP template'!E76</f>
        <v>0</v>
      </c>
      <c r="F8" s="1021">
        <f>'SEAP template'!F76</f>
        <v>0</v>
      </c>
      <c r="G8" s="1021">
        <f>'SEAP template'!G76</f>
        <v>0</v>
      </c>
      <c r="H8" s="1021">
        <f>'SEAP template'!H76</f>
        <v>0</v>
      </c>
      <c r="I8" s="1021">
        <f>'SEAP template'!I76</f>
        <v>0</v>
      </c>
      <c r="J8" s="1021">
        <f>'SEAP template'!J76</f>
        <v>35031.176470588238</v>
      </c>
      <c r="K8" s="1021">
        <f>'SEAP template'!K76</f>
        <v>0</v>
      </c>
      <c r="L8" s="1021">
        <f>'SEAP template'!L76</f>
        <v>0</v>
      </c>
      <c r="M8" s="1021">
        <f>'SEAP template'!M76</f>
        <v>0</v>
      </c>
      <c r="N8" s="1021">
        <f>'SEAP template'!N76</f>
        <v>0</v>
      </c>
      <c r="O8" s="1021">
        <f>'SEAP template'!O76</f>
        <v>0</v>
      </c>
      <c r="P8" s="1022">
        <f>'SEAP template'!Q76</f>
        <v>299.43529411764717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81861.493821836993</v>
      </c>
      <c r="C10" s="1025">
        <f>SUM(C4:C9)</f>
        <v>1260.0000000000005</v>
      </c>
      <c r="D10" s="1025">
        <f t="shared" ref="D10:H10" si="0">SUM(D8:D9)</f>
        <v>1482.3529411764709</v>
      </c>
      <c r="E10" s="1025">
        <f t="shared" si="0"/>
        <v>0</v>
      </c>
      <c r="F10" s="1025">
        <f t="shared" si="0"/>
        <v>0</v>
      </c>
      <c r="G10" s="1025">
        <f t="shared" si="0"/>
        <v>0</v>
      </c>
      <c r="H10" s="1025">
        <f t="shared" si="0"/>
        <v>0</v>
      </c>
      <c r="I10" s="1025">
        <f>SUM(I8:I9)</f>
        <v>0</v>
      </c>
      <c r="J10" s="1025">
        <f>SUM(J8:J9)</f>
        <v>35031.176470588238</v>
      </c>
      <c r="K10" s="1025">
        <f t="shared" ref="K10:L10" si="1">SUM(K8:K9)</f>
        <v>0</v>
      </c>
      <c r="L10" s="1025">
        <f t="shared" si="1"/>
        <v>0</v>
      </c>
      <c r="M10" s="1025">
        <f>SUM(M8:M9)</f>
        <v>0</v>
      </c>
      <c r="N10" s="1025">
        <f>SUM(N8:N9)</f>
        <v>0</v>
      </c>
      <c r="O10" s="1025">
        <f>SUM(O8:O9)</f>
        <v>0</v>
      </c>
      <c r="P10" s="1025">
        <f>SUM(P8:P9)</f>
        <v>299.43529411764717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0.16616319567979698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42537.857142857145</v>
      </c>
      <c r="C17" s="1027">
        <f>'SEAP template'!C87</f>
        <v>1800.0000000000007</v>
      </c>
      <c r="D17" s="1022">
        <f>'SEAP template'!D87</f>
        <v>2117.6470588235302</v>
      </c>
      <c r="E17" s="1022">
        <f>'SEAP template'!E87</f>
        <v>0</v>
      </c>
      <c r="F17" s="1022">
        <f>'SEAP template'!F87</f>
        <v>0</v>
      </c>
      <c r="G17" s="1022">
        <f>'SEAP template'!G87</f>
        <v>0</v>
      </c>
      <c r="H17" s="1022">
        <f>'SEAP template'!H87</f>
        <v>0</v>
      </c>
      <c r="I17" s="1022">
        <f>'SEAP template'!I87</f>
        <v>0</v>
      </c>
      <c r="J17" s="1022">
        <f>'SEAP template'!J87</f>
        <v>50044.537815126052</v>
      </c>
      <c r="K17" s="1022">
        <f>'SEAP template'!K87</f>
        <v>0</v>
      </c>
      <c r="L17" s="1022">
        <f>'SEAP template'!L87</f>
        <v>0</v>
      </c>
      <c r="M17" s="1022">
        <f>'SEAP template'!M87</f>
        <v>0</v>
      </c>
      <c r="N17" s="1022">
        <f>'SEAP template'!N87</f>
        <v>0</v>
      </c>
      <c r="O17" s="1022">
        <f>'SEAP template'!O87</f>
        <v>0</v>
      </c>
      <c r="P17" s="1022">
        <f>'SEAP template'!Q87</f>
        <v>427.7647058823531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42537.857142857145</v>
      </c>
      <c r="C20" s="1025">
        <f>SUM(C17:C19)</f>
        <v>1800.0000000000007</v>
      </c>
      <c r="D20" s="1025">
        <f t="shared" ref="D20:H20" si="2">SUM(D17:D19)</f>
        <v>2117.6470588235302</v>
      </c>
      <c r="E20" s="1025">
        <f t="shared" si="2"/>
        <v>0</v>
      </c>
      <c r="F20" s="1025">
        <f t="shared" si="2"/>
        <v>0</v>
      </c>
      <c r="G20" s="1025">
        <f t="shared" si="2"/>
        <v>0</v>
      </c>
      <c r="H20" s="1025">
        <f t="shared" si="2"/>
        <v>0</v>
      </c>
      <c r="I20" s="1025">
        <f>SUM(I17:I19)</f>
        <v>0</v>
      </c>
      <c r="J20" s="1025">
        <f>SUM(J17:J19)</f>
        <v>50044.537815126052</v>
      </c>
      <c r="K20" s="1025">
        <f t="shared" ref="K20:L20" si="3">SUM(K17:K19)</f>
        <v>0</v>
      </c>
      <c r="L20" s="1025">
        <f t="shared" si="3"/>
        <v>0</v>
      </c>
      <c r="M20" s="1025">
        <f>SUM(M17:M19)</f>
        <v>0</v>
      </c>
      <c r="N20" s="1025">
        <f>SUM(N17:N19)</f>
        <v>0</v>
      </c>
      <c r="O20" s="1025">
        <f>SUM(O17:O19)</f>
        <v>0</v>
      </c>
      <c r="P20" s="1025">
        <f>SUM(P17:P19)</f>
        <v>427.7647058823531</v>
      </c>
    </row>
    <row r="22" spans="1:16">
      <c r="A22" s="461" t="s">
        <v>857</v>
      </c>
      <c r="B22" s="760" t="s">
        <v>851</v>
      </c>
      <c r="C22" s="760">
        <f ca="1">'EF ele_warmte'!B22</f>
        <v>9.6478434784092008E-3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0.16616319567979698</v>
      </c>
      <c r="C17" s="498">
        <f ca="1">'EF ele_warmte'!B22</f>
        <v>9.6478434784092008E-3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2020-06-20T15:55:10Z</dcterms:modified>
</cp:coreProperties>
</file>