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B48" i="18"/>
  <c r="C8" i="18" s="1"/>
  <c r="C10" i="18" s="1"/>
  <c r="D48" i="18"/>
  <c r="C49" i="18"/>
  <c r="J17" i="18" s="1"/>
  <c r="F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Q11" i="14"/>
  <c r="P4" i="48"/>
  <c r="P22" i="48" s="1"/>
  <c r="J15" i="16"/>
  <c r="B7" i="48"/>
  <c r="C24" i="14"/>
  <c r="C26" i="14" s="1"/>
  <c r="E11" i="14"/>
  <c r="D4" i="48"/>
  <c r="D22" i="48"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J5" i="48"/>
  <c r="J23" i="48" s="1"/>
  <c r="K10" i="14"/>
  <c r="J20" i="15"/>
  <c r="K40"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F13" i="14"/>
  <c r="F16" i="14" s="1"/>
  <c r="F27" i="14" s="1"/>
  <c r="E8" i="48"/>
  <c r="E26" i="48" s="1"/>
  <c r="J22" i="16"/>
  <c r="K43" i="14" s="1"/>
  <c r="K46" i="14" s="1"/>
  <c r="K61" i="14" s="1"/>
  <c r="J8" i="48"/>
  <c r="K13" i="14"/>
  <c r="K16" i="14" s="1"/>
  <c r="K27" i="14" s="1"/>
  <c r="E22" i="16"/>
  <c r="F43" i="14" s="1"/>
  <c r="F46" i="14" s="1"/>
  <c r="F61" i="14" s="1"/>
  <c r="F63" i="14" s="1"/>
  <c r="G33" i="48"/>
  <c r="N8" i="48"/>
  <c r="N26" i="48" s="1"/>
  <c r="O13" i="14"/>
  <c r="N22" i="16"/>
  <c r="O43" i="14" s="1"/>
  <c r="G13" i="14"/>
  <c r="F8" i="48"/>
  <c r="E15" i="48" l="1"/>
  <c r="J26" i="48"/>
  <c r="J33" i="48" s="1"/>
  <c r="J15" i="48"/>
  <c r="R13" i="14"/>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<sst xmlns="http://schemas.openxmlformats.org/spreadsheetml/2006/main" count="2407" uniqueCount="896">
  <si>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</si>
  <si>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</si>
  <si>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</si>
  <si>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</si>
  <si>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</si>
  <si>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</si>
  <si>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</si>
  <si>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</si>
  <si>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</si>
  <si>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</si>
  <si>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</si>
  <si>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</si>
  <si>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</si>
  <si>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</si>
  <si>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</si>
  <si>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</si>
  <si>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</si>
  <si>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</si>
  <si>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</si>
  <si>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</si>
  <si>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</si>
  <si>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</si>
  <si>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</si>
  <si>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</si>
  <si>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</si>
  <si>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</si>
  <si>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</si>
  <si>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</si>
  <si>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</si>
  <si>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</si>
  <si>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</si>
  <si>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</si>
  <si>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</si>
  <si>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</si>
  <si>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</si>
  <si>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</si>
  <si>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</si>
  <si>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</si>
  <si>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</si>
  <si>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</si>
  <si>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</si>
  <si>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</si>
  <si>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</si>
  <si>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</si>
  <si>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</si>
  <si>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</si>
  <si>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</si>
  <si>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</si>
  <si>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</si>
  <si>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</si>
  <si>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</si>
  <si>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</si>
  <si>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</si>
  <si>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</si>
  <si>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</si>
  <si>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</si>
  <si>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</si>
  <si>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</si>
  <si>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</si>
  <si>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</si>
  <si>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</si>
  <si>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</si>
  <si>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</si>
  <si>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</si>
  <si>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</si>
  <si>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</si>
  <si>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</si>
  <si>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</si>
  <si>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</si>
  <si>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</si>
  <si>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</si>
  <si>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</si>
  <si>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</si>
  <si>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</si>
  <si>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</si>
  <si>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</si>
  <si>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</si>
  <si>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</si>
  <si>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</si>
  <si>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</si>
  <si>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</si>
  <si>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</si>
  <si>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</si>
  <si>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</si>
  <si>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</si>
  <si>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</si>
  <si>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</si>
  <si>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</si>
  <si>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</si>
  <si>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</si>
  <si>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</si>
  <si>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</si>
  <si>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</si>
  <si>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</si>
  <si>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</si>
  <si>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</si>
  <si>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</si>
  <si>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</si>
  <si>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</si>
  <si>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</si>
  <si>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</si>
  <si>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</si>
  <si>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</si>
  <si>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</si>
  <si>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</si>
  <si>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</si>
  <si>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</si>
  <si>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</si>
  <si>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</si>
  <si>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</si>
  <si>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</si>
  <si>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</si>
  <si>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</si>
  <si>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</si>
  <si>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</si>
  <si>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</si>
  <si>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</si>
  <si>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</si>
  <si>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</si>
  <si>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</si>
  <si>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</si>
  <si>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</si>
  <si>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</si>
  <si>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</si>
  <si>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</si>
  <si>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</si>
  <si>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</si>
  <si>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</si>
  <si>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</si>
  <si>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</si>
  <si>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</si>
  <si>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</si>
  <si>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</si>
  <si>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</si>
  <si>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</si>
  <si>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</si>
  <si>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</si>
  <si>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</si>
  <si>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</si>
  <si>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</si>
  <si>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</si>
  <si>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</si>
  <si>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</si>
  <si>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</si>
  <si>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</si>
  <si>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</si>
  <si>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</si>
  <si>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</si>
  <si>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</si>
  <si>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</si>
  <si>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</si>
  <si>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</si>
  <si>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</si>
  <si>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</si>
  <si>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</si>
  <si>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</si>
  <si>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</si>
  <si>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</si>
  <si>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</si>
  <si>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</si>
  <si>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</si>
  <si>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</si>
  <si>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</si>
  <si>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</si>
  <si>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</si>
  <si>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</si>
  <si>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</si>
  <si>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</si>
  <si>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</si>
  <si>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</si>
  <si>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</si>
  <si>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</si>
  <si>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</si>
  <si>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</si>
  <si>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</si>
  <si>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</si>
  <si>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</si>
  <si>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</si>
  <si>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</si>
  <si>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</si>
  <si>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</si>
  <si>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</si>
  <si>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</si>
  <si>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</si>
  <si>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</si>
  <si>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</si>
  <si>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</si>
  <si>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</si>
  <si>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</si>
  <si>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</si>
  <si>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</si>
  <si>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</si>
  <si>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</si>
  <si>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</si>
  <si>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</si>
  <si>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</si>
  <si>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</si>
  <si>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</si>
  <si>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</si>
  <si>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</si>
  <si>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</si>
  <si>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</si>
  <si>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</si>
  <si>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</si>
  <si>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</si>
  <si>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</si>
  <si>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</si>
  <si>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</si>
  <si>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</si>
  <si>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</si>
  <si>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</si>
  <si>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</si>
  <si>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</si>
  <si>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</si>
  <si>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</si>
  <si>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</si>
  <si>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</si>
  <si>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</si>
  <si>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</si>
  <si>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</si>
  <si>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</si>
  <si>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</si>
  <si>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</si>
  <si>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</si>
  <si>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</si>
  <si>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</si>
  <si>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</si>
  <si>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</si>
  <si>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</si>
  <si>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</si>
  <si>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</si>
  <si>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</si>
  <si>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</si>
  <si>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</si>
  <si>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</si>
  <si>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</si>
  <si>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</si>
  <si>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</si>
  <si>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</si>
  <si>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</si>
  <si>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</si>
  <si>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</si>
  <si>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</si>
  <si>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</si>
  <si>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</si>
  <si>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</si>
  <si>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</si>
  <si>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</si>
  <si>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</si>
  <si>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</si>
  <si>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</si>
  <si>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</si>
  <si>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</si>
  <si>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</si>
  <si>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</si>
  <si>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</si>
  <si>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</si>
  <si>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</si>
  <si>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</si>
  <si>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</si>
  <si>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</si>
  <si>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</si>
  <si>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</si>
  <si>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</si>
  <si>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</si>
  <si>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</si>
  <si>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</si>
  <si>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</si>
  <si>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</si>
  <si>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</si>
  <si>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</si>
  <si>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</si>
  <si>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</si>
  <si>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</si>
  <si>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</si>
  <si>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</si>
  <si>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</si>
  <si>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</si>
  <si>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</si>
  <si>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</si>
  <si>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</si>
  <si>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</si>
  <si>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</si>
  <si>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</si>
  <si>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</si>
  <si>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</si>
  <si>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</si>
  <si>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</si>
  <si>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</si>
  <si>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</si>
  <si>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</si>
  <si>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</si>
  <si>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</si>
  <si>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</si>
  <si>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</si>
  <si>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</si>
  <si>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</si>
  <si>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</si>
  <si>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</si>
  <si>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</si>
  <si>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</si>
  <si>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</si>
  <si>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</si>
  <si>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</si>
  <si>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</si>
  <si>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</si>
  <si>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</si>
  <si>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</si>
  <si>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</si>
  <si>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</si>
  <si>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</si>
  <si>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</si>
  <si>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</si>
  <si>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</si>
  <si>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</si>
  <si>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</si>
  <si>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</si>
  <si>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</si>
  <si>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</si>
  <si>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</si>
  <si>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</si>
  <si>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</si>
  <si>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</si>
  <si>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</si>
  <si>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</si>
  <si>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</si>
  <si>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</si>
  <si>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</si>
  <si>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</si>
  <si>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</si>
  <si>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</si>
  <si>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</si>
  <si>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</si>
  <si>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</si>
  <si>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</si>
  <si>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</si>
  <si>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</si>
  <si>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</si>
  <si>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</si>
  <si>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</si>
  <si>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</si>
  <si>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</si>
  <si>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</si>
  <si>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</si>
  <si>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</si>
  <si>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</si>
  <si>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</si>
  <si>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</si>
  <si>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</si>
  <si>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</si>
  <si>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</si>
  <si>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</si>
  <si>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</si>
  <si>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</si>
  <si>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</si>
  <si>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</si>
  <si>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</si>
  <si>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</si>
  <si>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</si>
  <si>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</si>
  <si>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</si>
  <si>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</si>
  <si>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</si>
  <si>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</si>
  <si>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</si>
  <si>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</si>
  <si>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</si>
  <si>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</si>
  <si>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</si>
  <si>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</si>
  <si>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</si>
  <si>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</si>
  <si>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</si>
  <si>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</si>
  <si>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</si>
  <si>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</si>
  <si>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</si>
  <si>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</si>
  <si>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</si>
  <si>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</si>
  <si>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</si>
  <si>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</si>
  <si>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</si>
  <si>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</si>
  <si>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</si>
  <si>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</si>
  <si>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</si>
  <si>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</si>
  <si>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</si>
  <si>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</si>
  <si>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</si>
  <si>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</si>
  <si>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</si>
  <si>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</si>
  <si>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</si>
  <si>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</si>
  <si>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</si>
  <si>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</si>
  <si>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</si>
  <si>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</si>
  <si>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</si>
  <si>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</si>
  <si>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</si>
  <si>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</si>
  <si>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</si>
  <si>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</si>
  <si>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</si>
  <si>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</si>
  <si>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</si>
  <si>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</si>
  <si>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</si>
  <si>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</si>
  <si>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</si>
  <si>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</si>
  <si>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</si>
  <si>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</si>
  <si>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</si>
  <si>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</si>
  <si>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</si>
  <si>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</si>
  <si>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</si>
  <si>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</si>
  <si>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</si>
  <si>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</si>
  <si>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</si>
  <si>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</si>
  <si>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</si>
  <si>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</si>
  <si>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</si>
  <si>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</si>
  <si>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</si>
  <si>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</si>
  <si>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</si>
  <si>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</si>
  <si>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</si>
  <si>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</si>
  <si>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</si>
  <si>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</si>
  <si>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</si>
  <si>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</si>
  <si>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</si>
  <si>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</si>
  <si>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</si>
  <si>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</si>
  <si>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</si>
  <si>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</si>
  <si>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</si>
  <si>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</si>
  <si>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</si>
  <si>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</si>
  <si>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</si>
  <si>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</si>
  <si>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</si>
  <si>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</si>
  <si>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</si>
  <si>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</si>
  <si>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</si>
  <si>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</si>
  <si>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</si>
  <si>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</si>
  <si>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</si>
  <si>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</si>
  <si>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</si>
  <si>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</si>
  <si>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</si>
  <si>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</si>
  <si>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</si>
  <si>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</si>
  <si>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</si>
  <si>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</si>
  <si>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</si>
  <si>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</si>
  <si>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</si>
  <si>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</si>
  <si>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</si>
  <si>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</si>
  <si>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</si>
  <si>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</si>
  <si>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</si>
  <si>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</si>
  <si>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</si>
  <si>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</si>
  <si>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</si>
  <si>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</si>
  <si>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</si>
  <si>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</si>
  <si>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</si>
  <si>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</si>
  <si>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</si>
  <si>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</si>
  <si>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</si>
  <si>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</si>
  <si>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</si>
  <si>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</si>
  <si>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</si>
  <si>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</si>
  <si>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</si>
  <si>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</si>
  <si>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</si>
  <si>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</si>
  <si>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</si>
  <si>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</si>
  <si>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</si>
  <si>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</si>
  <si>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</si>
  <si>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</si>
  <si>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</si>
  <si>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</si>
  <si>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</si>
  <si>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</si>
  <si>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</si>
  <si>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</si>
  <si>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</si>
  <si>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</si>
  <si>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</si>
  <si>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</si>
  <si>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</si>
  <si>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</si>
  <si>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</si>
  <si>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</si>
  <si>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</si>
  <si>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</si>
  <si>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</si>
  <si>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</si>
  <si>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</si>
  <si>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</si>
  <si>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</si>
  <si>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</si>
  <si>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</si>
  <si>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</si>
  <si>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</si>
  <si>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</si>
  <si>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</si>
  <si>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</si>
  <si>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</si>
  <si>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</si>
  <si>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</si>
  <si>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</si>
  <si>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</si>
  <si>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</si>
  <si>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</si>
  <si>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</si>
  <si>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</si>
  <si>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</si>
  <si>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</si>
  <si>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</si>
  <si>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</si>
  <si>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</si>
  <si>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</si>
  <si>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</si>
  <si>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</si>
  <si>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</si>
  <si>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</si>
  <si>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</si>
  <si>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</si>
  <si>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</si>
  <si>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</si>
  <si>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</si>
  <si>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</si>
  <si>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</si>
  <si>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</si>
  <si>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</si>
  <si>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</si>
  <si>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</si>
  <si>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</si>
  <si>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</si>
  <si>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</si>
  <si>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</si>
  <si>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</si>
  <si>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</si>
  <si>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</si>
  <si>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</si>
  <si>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</si>
  <si>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</si>
  <si>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</si>
  <si>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</si>
  <si>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</si>
  <si>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</si>
  <si>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</si>
  <si>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</si>
  <si>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</si>
  <si>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</si>
  <si>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</si>
  <si>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</si>
  <si>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</si>
  <si>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</si>
  <si>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</si>
  <si>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</si>
  <si>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</si>
  <si>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</si>
  <si>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</si>
  <si>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</si>
  <si>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</si>
  <si>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</si>
  <si>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</si>
  <si>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</si>
  <si>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</si>
  <si>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</si>
  <si>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</si>
  <si>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</si>
  <si>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</si>
  <si>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</si>
  <si>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</si>
  <si>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</si>
  <si>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</si>
  <si>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</si>
  <si>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</si>
  <si>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</si>
  <si>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</si>
  <si>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</si>
  <si>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</si>
  <si>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</si>
  <si>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</si>
  <si>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</si>
  <si>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</si>
  <si>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</si>
  <si>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</si>
  <si>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</si>
  <si>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</si>
  <si>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</si>
  <si>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</si>
  <si>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</si>
  <si>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</si>
  <si>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</si>
  <si>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</si>
  <si>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</si>
  <si>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</si>
  <si>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</si>
  <si>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</si>
  <si>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</si>
  <si>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</si>
  <si>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</si>
  <si>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</si>
  <si>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</si>
  <si>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</si>
  <si>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</si>
  <si>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</si>
  <si>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</si>
  <si>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</si>
  <si>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</si>
  <si>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</si>
  <si>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</si>
  <si>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</si>
  <si>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</si>
  <si>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</si>
  <si>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</si>
  <si>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</si>
  <si>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</si>
  <si>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</si>
  <si>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</si>
  <si>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</si>
  <si>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</si>
  <si>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</si>
  <si>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</si>
  <si>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</si>
  <si>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</si>
  <si>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</si>
  <si>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</si>
  <si>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</si>
  <si>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</si>
  <si>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</si>
  <si>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</si>
  <si>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</si>
  <si>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</si>
  <si>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</si>
  <si>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</si>
  <si>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</si>
  <si>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</si>
  <si>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</si>
  <si>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</si>
  <si>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</si>
  <si>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</si>
  <si>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</si>
  <si>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</si>
  <si>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</si>
  <si>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</si>
  <si>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</si>
  <si>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</si>
  <si>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</si>
  <si>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</si>
  <si>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</si>
  <si>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</si>
  <si>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</si>
  <si>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</si>
  <si>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</si>
  <si>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</si>
  <si>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</si>
  <si>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</si>
  <si>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</si>
  <si>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</si>
  <si>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</si>
  <si>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</si>
  <si>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</si>
  <si>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</si>
  <si>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</si>
  <si>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</si>
  <si>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</si>
  <si>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</si>
  <si>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</si>
  <si>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</si>
  <si>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</si>
  <si>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</si>
  <si>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</si>
  <si>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</si>
  <si>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</si>
  <si>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</si>
  <si>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</si>
  <si>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</si>
  <si>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</si>
  <si>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</si>
  <si>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</si>
  <si>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</si>
  <si>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</si>
  <si>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</si>
  <si>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</si>
  <si>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</si>
  <si>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</si>
  <si>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</si>
  <si>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</si>
  <si>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</si>
  <si>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</si>
  <si>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</si>
  <si>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</si>
  <si>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</si>
  <si>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</si>
  <si>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</si>
  <si>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</si>
  <si>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</si>
  <si>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</si>
  <si>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</si>
  <si>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</si>
  <si>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</si>
  <si>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</si>
  <si>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</si>
  <si>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</si>
  <si>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</si>
  <si>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</si>
  <si>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</si>
  <si>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</si>
  <si>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</si>
  <si>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</si>
  <si>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</si>
  <si>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</si>
  <si>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</si>
  <si>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</si>
  <si>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</si>
  <si>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</si>
  <si>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</si>
  <si>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</si>
  <si>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</si>
  <si>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</si>
  <si>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</si>
  <si>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</si>
  <si>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</si>
  <si>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</si>
  <si>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</si>
  <si>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</si>
  <si>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</si>
  <si>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</si>
  <si>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</si>
  <si>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</si>
  <si>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</si>
  <si>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</si>
  <si>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</si>
  <si>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</si>
  <si>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</si>
  <si>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</si>
  <si>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</si>
  <si>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</si>
  <si>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</si>
  <si>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</si>
  <si>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</si>
  <si>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</si>
  <si>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</si>
  <si>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</si>
  <si>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</si>
  <si>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</si>
  <si>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</si>
  <si>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</si>
  <si>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</si>
  <si>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</si>
  <si>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</si>
  <si>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</si>
  <si>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</si>
  <si>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</si>
  <si>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</si>
  <si>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</si>
  <si>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</si>
  <si>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</si>
  <si>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</si>
  <si>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</si>
  <si>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</si>
  <si>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</si>
  <si>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</si>
  <si>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</si>
  <si>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</si>
  <si>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</si>
  <si>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</si>
  <si>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</si>
  <si>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</si>
  <si>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</si>
  <si>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</si>
  <si>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</si>
  <si>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</si>
  <si>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</si>
  <si>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</si>
  <si>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</si>
  <si>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</si>
  <si>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</si>
  <si>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</si>
  <si>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</si>
  <si>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</si>
  <si>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</si>
  <si>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</si>
  <si>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</si>
  <si>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</si>
  <si>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</si>
  <si>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</si>
  <si>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</si>
  <si>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</si>
  <si>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</si>
  <si>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</si>
  <si>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</si>
  <si>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</si>
  <si>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</si>
  <si>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</si>
  <si>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</si>
  <si>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</si>
  <si>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</si>
  <si>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</si>
  <si>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</si>
  <si>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</si>
  <si>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</si>
  <si>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</si>
  <si>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</si>
  <si>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</si>
  <si>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</si>
  <si>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</si>
  <si>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</si>
  <si>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</si>
  <si>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</si>
  <si>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</si>
  <si>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</si>
  <si>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</si>
  <si>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</si>
  <si>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</si>
  <si>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</si>
  <si>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</si>
  <si>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</si>
  <si>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</si>
  <si>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</si>
  <si>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</si>
  <si>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</si>
  <si>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</si>
  <si>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</si>
  <si>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</si>
  <si>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</si>
  <si>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</si>
  <si>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</si>
  <si>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</si>
  <si>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</si>
  <si>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</si>
  <si>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</si>
  <si>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</si>
  <si>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</si>
  <si>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</si>
  <si>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</si>
  <si>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</si>
  <si>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</si>
  <si>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</si>
  <si>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</si>
  <si>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</si>
  <si>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</si>
  <si>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</si>
  <si>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</si>
  <si>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</si>
  <si>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</si>
  <si>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</si>
  <si>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</si>
  <si>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</si>
  <si>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</si>
  <si>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</si>
  <si>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</si>
  <si>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</si>
  <si>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</si>
  <si>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</si>
  <si>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</si>
  <si>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</si>
  <si>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</si>
  <si>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</si>
  <si>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31042</t>
  </si>
  <si>
    <t>ZUIENKERKE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</si>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</sst>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28854.061259467191</c:v>
                </c:pt>
                <c:pt idx="1">
                  <c:v>5021.3344972602645</c:v>
                </c:pt>
                <c:pt idx="2">
                  <c:v>309.71499999999997</c:v>
                </c:pt>
                <c:pt idx="3">
                  <c:v>6605.1619955635997</c:v>
                </c:pt>
                <c:pt idx="4">
                  <c:v>1138.1057019325031</c:v>
                </c:pt>
                <c:pt idx="5">
                  <c:v>65369.037166673683</c:v>
                </c:pt>
                <c:pt idx="6">
                  <c:v>665.91369538074753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28854.061259467191</c:v>
                </c:pt>
                <c:pt idx="1">
                  <c:v>5021.3344972602645</c:v>
                </c:pt>
                <c:pt idx="2">
                  <c:v>309.71499999999997</c:v>
                </c:pt>
                <c:pt idx="3">
                  <c:v>6605.1619955635997</c:v>
                </c:pt>
                <c:pt idx="4">
                  <c:v>1138.1057019325031</c:v>
                </c:pt>
                <c:pt idx="5">
                  <c:v>65369.037166673683</c:v>
                </c:pt>
                <c:pt idx="6">
                  <c:v>665.91369538074753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5252.4397376304814</c:v>
                </c:pt>
                <c:pt idx="2">
                  <c:v>971.50967488935544</c:v>
                </c:pt>
                <c:pt idx="3">
                  <c:v>57.288121262881326</c:v>
                </c:pt>
                <c:pt idx="4">
                  <c:v>1664.8829905149587</c:v>
                </c:pt>
                <c:pt idx="5">
                  <c:v>234.30850364199722</c:v>
                </c:pt>
                <c:pt idx="6">
                  <c:v>16761.232970790414</c:v>
                </c:pt>
                <c:pt idx="7">
                  <c:v>172.45649468877863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5252.4397376304814</c:v>
                </c:pt>
                <c:pt idx="2">
                  <c:v>971.50967488935544</c:v>
                </c:pt>
                <c:pt idx="3">
                  <c:v>57.288121262881326</c:v>
                </c:pt>
                <c:pt idx="4">
                  <c:v>1664.8829905149587</c:v>
                </c:pt>
                <c:pt idx="5">
                  <c:v>234.30850364199722</c:v>
                </c:pt>
                <c:pt idx="6">
                  <c:v>16761.232970790414</c:v>
                </c:pt>
                <c:pt idx="7">
                  <c:v>172.45649468877863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31042</v>
      </c>
      <c r="B6" s="390"/>
      <c r="C6" s="391"/>
    </row>
    <row r="7" spans="1:7" s="388" customFormat="1" ht="15.75" customHeight="1">
      <c r="A7" s="392" t="str">
        <f>txtMunicipality</f>
        <v>ZUIENKERKE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2541.4447415720001</v>
      </c>
      <c r="D10" s="978">
        <f ca="1">tertiair!C16</f>
        <v>0</v>
      </c>
      <c r="E10" s="978">
        <f ca="1">tertiair!D16</f>
        <v>1832.76941082741</v>
      </c>
      <c r="F10" s="978">
        <f>tertiair!E16</f>
        <v>45.102856696195239</v>
      </c>
      <c r="G10" s="978">
        <f ca="1">tertiair!F16</f>
        <v>667.59499179259706</v>
      </c>
      <c r="H10" s="978">
        <f>tertiair!G16</f>
        <v>0</v>
      </c>
      <c r="I10" s="978">
        <f>tertiair!H16</f>
        <v>0</v>
      </c>
      <c r="J10" s="978">
        <f>tertiair!I16</f>
        <v>0</v>
      </c>
      <c r="K10" s="978">
        <f>tertiair!J16</f>
        <v>0</v>
      </c>
      <c r="L10" s="978">
        <f>tertiair!K16</f>
        <v>0</v>
      </c>
      <c r="M10" s="978">
        <f ca="1">tertiair!L16</f>
        <v>0</v>
      </c>
      <c r="N10" s="978">
        <f>tertiair!M16</f>
        <v>0</v>
      </c>
      <c r="O10" s="978">
        <f ca="1">tertiair!N16</f>
        <v>239.44749637206198</v>
      </c>
      <c r="P10" s="978">
        <f>tertiair!O16</f>
        <v>4.6900000000000004</v>
      </c>
      <c r="Q10" s="979">
        <f>tertiair!P16</f>
        <v>0</v>
      </c>
      <c r="R10" s="674">
        <f ca="1">SUM(C10:Q10)</f>
        <v>5331.0494972602646</v>
      </c>
      <c r="S10" s="67"/>
    </row>
    <row r="11" spans="1:19" s="447" customFormat="1">
      <c r="A11" s="783" t="s">
        <v>224</v>
      </c>
      <c r="B11" s="788"/>
      <c r="C11" s="978">
        <f>huishoudens!B8</f>
        <v>5813.0138682364886</v>
      </c>
      <c r="D11" s="978">
        <f>huishoudens!C8</f>
        <v>0</v>
      </c>
      <c r="E11" s="978">
        <f>huishoudens!D8</f>
        <v>7903.8898501265994</v>
      </c>
      <c r="F11" s="978">
        <f>huishoudens!E8</f>
        <v>5627.8281009858529</v>
      </c>
      <c r="G11" s="978">
        <f>huishoudens!F8</f>
        <v>4370.7013558083536</v>
      </c>
      <c r="H11" s="978">
        <f>huishoudens!G8</f>
        <v>0</v>
      </c>
      <c r="I11" s="978">
        <f>huishoudens!H8</f>
        <v>0</v>
      </c>
      <c r="J11" s="978">
        <f>huishoudens!I8</f>
        <v>0</v>
      </c>
      <c r="K11" s="978">
        <f>huishoudens!J8</f>
        <v>384.5310368686628</v>
      </c>
      <c r="L11" s="978">
        <f>huishoudens!K8</f>
        <v>0</v>
      </c>
      <c r="M11" s="978">
        <f>huishoudens!L8</f>
        <v>0</v>
      </c>
      <c r="N11" s="978">
        <f>huishoudens!M8</f>
        <v>0</v>
      </c>
      <c r="O11" s="978">
        <f>huishoudens!N8</f>
        <v>4593.1037141079014</v>
      </c>
      <c r="P11" s="978">
        <f>huishoudens!O8</f>
        <v>65.660000000000011</v>
      </c>
      <c r="Q11" s="979">
        <f>huishoudens!P8</f>
        <v>95.333333333333343</v>
      </c>
      <c r="R11" s="674">
        <f>SUM(C11:Q11)</f>
        <v>28854.061259467191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379.91111261999998</v>
      </c>
      <c r="D13" s="978">
        <f>industrie!C18</f>
        <v>0</v>
      </c>
      <c r="E13" s="978">
        <f>industrie!D18</f>
        <v>445.58001690312005</v>
      </c>
      <c r="F13" s="978">
        <f>industrie!E18</f>
        <v>63.862000195287763</v>
      </c>
      <c r="G13" s="978">
        <f>industrie!F18</f>
        <v>221.19757443371427</v>
      </c>
      <c r="H13" s="978">
        <f>industrie!G18</f>
        <v>0</v>
      </c>
      <c r="I13" s="978">
        <f>industrie!H18</f>
        <v>0</v>
      </c>
      <c r="J13" s="978">
        <f>industrie!I18</f>
        <v>0</v>
      </c>
      <c r="K13" s="978">
        <f>industrie!J18</f>
        <v>1.3349897823725336</v>
      </c>
      <c r="L13" s="978">
        <f>industrie!K18</f>
        <v>0</v>
      </c>
      <c r="M13" s="978">
        <f>industrie!L18</f>
        <v>0</v>
      </c>
      <c r="N13" s="978">
        <f>industrie!M18</f>
        <v>0</v>
      </c>
      <c r="O13" s="978">
        <f>industrie!N18</f>
        <v>26.220007998008359</v>
      </c>
      <c r="P13" s="978">
        <f>industrie!O18</f>
        <v>0</v>
      </c>
      <c r="Q13" s="979">
        <f>industrie!P18</f>
        <v>0</v>
      </c>
      <c r="R13" s="674">
        <f>SUM(C13:Q13)</f>
        <v>1138.1057019325031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8734.3697224284897</v>
      </c>
      <c r="D16" s="706">
        <f t="shared" ref="D16:R16" ca="1" si="0">SUM(D9:D15)</f>
        <v>0</v>
      </c>
      <c r="E16" s="706">
        <f t="shared" ca="1" si="0"/>
        <v>10182.23927785713</v>
      </c>
      <c r="F16" s="706">
        <f t="shared" si="0"/>
        <v>5736.7929578773355</v>
      </c>
      <c r="G16" s="706">
        <f t="shared" ca="1" si="0"/>
        <v>5259.493922034665</v>
      </c>
      <c r="H16" s="706">
        <f t="shared" si="0"/>
        <v>0</v>
      </c>
      <c r="I16" s="706">
        <f t="shared" si="0"/>
        <v>0</v>
      </c>
      <c r="J16" s="706">
        <f t="shared" si="0"/>
        <v>0</v>
      </c>
      <c r="K16" s="706">
        <f t="shared" si="0"/>
        <v>385.86602665103533</v>
      </c>
      <c r="L16" s="706">
        <f t="shared" si="0"/>
        <v>0</v>
      </c>
      <c r="M16" s="706">
        <f t="shared" ca="1" si="0"/>
        <v>0</v>
      </c>
      <c r="N16" s="706">
        <f t="shared" si="0"/>
        <v>0</v>
      </c>
      <c r="O16" s="706">
        <f t="shared" ca="1" si="0"/>
        <v>4858.7712184779721</v>
      </c>
      <c r="P16" s="706">
        <f t="shared" si="0"/>
        <v>70.350000000000009</v>
      </c>
      <c r="Q16" s="706">
        <f t="shared" si="0"/>
        <v>95.333333333333343</v>
      </c>
      <c r="R16" s="706">
        <f t="shared" ca="1" si="0"/>
        <v>35323.216458659961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645.90447448980763</v>
      </c>
      <c r="I19" s="978">
        <f>transport!H54</f>
        <v>0</v>
      </c>
      <c r="J19" s="978">
        <f>transport!I54</f>
        <v>0</v>
      </c>
      <c r="K19" s="978">
        <f>transport!J54</f>
        <v>0</v>
      </c>
      <c r="L19" s="978">
        <f>transport!K54</f>
        <v>0</v>
      </c>
      <c r="M19" s="978">
        <f>transport!L54</f>
        <v>0</v>
      </c>
      <c r="N19" s="978">
        <f>transport!M54</f>
        <v>20.009220890939908</v>
      </c>
      <c r="O19" s="978">
        <f>transport!N54</f>
        <v>0</v>
      </c>
      <c r="P19" s="978">
        <f>transport!O54</f>
        <v>0</v>
      </c>
      <c r="Q19" s="979">
        <f>transport!P54</f>
        <v>0</v>
      </c>
      <c r="R19" s="674">
        <f>SUM(C19:Q19)</f>
        <v>665.91369538074753</v>
      </c>
      <c r="S19" s="67"/>
    </row>
    <row r="20" spans="1:19" s="447" customFormat="1">
      <c r="A20" s="783" t="s">
        <v>306</v>
      </c>
      <c r="B20" s="788"/>
      <c r="C20" s="978">
        <f>transport!B14</f>
        <v>13.733375567660181</v>
      </c>
      <c r="D20" s="978">
        <f>transport!C14</f>
        <v>0</v>
      </c>
      <c r="E20" s="978">
        <f>transport!D14</f>
        <v>25.48588942723428</v>
      </c>
      <c r="F20" s="978">
        <f>transport!E14</f>
        <v>114.72432210340062</v>
      </c>
      <c r="G20" s="978">
        <f>transport!F14</f>
        <v>0</v>
      </c>
      <c r="H20" s="978">
        <f>transport!G14</f>
        <v>54504.66352317475</v>
      </c>
      <c r="I20" s="978">
        <f>transport!H14</f>
        <v>8733.9637378946682</v>
      </c>
      <c r="J20" s="978">
        <f>transport!I14</f>
        <v>0</v>
      </c>
      <c r="K20" s="978">
        <f>transport!J14</f>
        <v>0</v>
      </c>
      <c r="L20" s="978">
        <f>transport!K14</f>
        <v>0</v>
      </c>
      <c r="M20" s="978">
        <f>transport!L14</f>
        <v>0</v>
      </c>
      <c r="N20" s="978">
        <f>transport!M14</f>
        <v>1976.4663185059683</v>
      </c>
      <c r="O20" s="978">
        <f>transport!N14</f>
        <v>0</v>
      </c>
      <c r="P20" s="978">
        <f>transport!O14</f>
        <v>0</v>
      </c>
      <c r="Q20" s="979">
        <f>transport!P14</f>
        <v>0</v>
      </c>
      <c r="R20" s="674">
        <f>SUM(C20:Q20)</f>
        <v>65369.037166673683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13.733375567660181</v>
      </c>
      <c r="D22" s="786">
        <f t="shared" ref="D22:R22" si="1">SUM(D18:D21)</f>
        <v>0</v>
      </c>
      <c r="E22" s="786">
        <f t="shared" si="1"/>
        <v>25.48588942723428</v>
      </c>
      <c r="F22" s="786">
        <f t="shared" si="1"/>
        <v>114.72432210340062</v>
      </c>
      <c r="G22" s="786">
        <f t="shared" si="1"/>
        <v>0</v>
      </c>
      <c r="H22" s="786">
        <f t="shared" si="1"/>
        <v>55150.567997664555</v>
      </c>
      <c r="I22" s="786">
        <f t="shared" si="1"/>
        <v>8733.9637378946682</v>
      </c>
      <c r="J22" s="786">
        <f t="shared" si="1"/>
        <v>0</v>
      </c>
      <c r="K22" s="786">
        <f t="shared" si="1"/>
        <v>0</v>
      </c>
      <c r="L22" s="786">
        <f t="shared" si="1"/>
        <v>0</v>
      </c>
      <c r="M22" s="786">
        <f t="shared" si="1"/>
        <v>0</v>
      </c>
      <c r="N22" s="786">
        <f t="shared" si="1"/>
        <v>1996.4755393969083</v>
      </c>
      <c r="O22" s="786">
        <f t="shared" si="1"/>
        <v>0</v>
      </c>
      <c r="P22" s="786">
        <f t="shared" si="1"/>
        <v>0</v>
      </c>
      <c r="Q22" s="786">
        <f t="shared" si="1"/>
        <v>0</v>
      </c>
      <c r="R22" s="786">
        <f t="shared" si="1"/>
        <v>66034.950862054437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1360.18439162</v>
      </c>
      <c r="D24" s="978">
        <f>+landbouw!C8</f>
        <v>0</v>
      </c>
      <c r="E24" s="978">
        <f>+landbouw!D8</f>
        <v>42.35416932615</v>
      </c>
      <c r="F24" s="978">
        <f>+landbouw!E8</f>
        <v>35.073932955614545</v>
      </c>
      <c r="G24" s="978">
        <f>+landbouw!F8</f>
        <v>4971.732985905327</v>
      </c>
      <c r="H24" s="978">
        <f>+landbouw!G8</f>
        <v>0</v>
      </c>
      <c r="I24" s="978">
        <f>+landbouw!H8</f>
        <v>0</v>
      </c>
      <c r="J24" s="978">
        <f>+landbouw!I8</f>
        <v>0</v>
      </c>
      <c r="K24" s="978">
        <f>+landbouw!J8</f>
        <v>195.81651575650795</v>
      </c>
      <c r="L24" s="978">
        <f>+landbouw!K8</f>
        <v>0</v>
      </c>
      <c r="M24" s="978">
        <f>+landbouw!L8</f>
        <v>0</v>
      </c>
      <c r="N24" s="978">
        <f>+landbouw!M8</f>
        <v>0</v>
      </c>
      <c r="O24" s="978">
        <f>+landbouw!N8</f>
        <v>0</v>
      </c>
      <c r="P24" s="978">
        <f>+landbouw!O8</f>
        <v>0</v>
      </c>
      <c r="Q24" s="979">
        <f>+landbouw!P8</f>
        <v>0</v>
      </c>
      <c r="R24" s="674">
        <f>SUM(C24:Q24)</f>
        <v>6605.1619955635997</v>
      </c>
      <c r="S24" s="67"/>
    </row>
    <row r="25" spans="1:19" s="447" customFormat="1" ht="15" thickBot="1">
      <c r="A25" s="805" t="s">
        <v>834</v>
      </c>
      <c r="B25" s="981"/>
      <c r="C25" s="982">
        <f>IF(Onbekend_ele_kWh="---",0,Onbekend_ele_kWh)/1000+IF(REST_rest_ele_kWh="---",0,REST_rest_ele_kWh)/1000</f>
        <v>249.55506163000001</v>
      </c>
      <c r="D25" s="982"/>
      <c r="E25" s="982">
        <f>IF(onbekend_gas_kWh="---",0,onbekend_gas_kWh)/1000+IF(REST_rest_gas_kWh="---",0,REST_rest_gas_kWh)/1000</f>
        <v>422.48203301999996</v>
      </c>
      <c r="F25" s="982"/>
      <c r="G25" s="982"/>
      <c r="H25" s="982"/>
      <c r="I25" s="982"/>
      <c r="J25" s="982"/>
      <c r="K25" s="982"/>
      <c r="L25" s="982"/>
      <c r="M25" s="982"/>
      <c r="N25" s="982"/>
      <c r="O25" s="982"/>
      <c r="P25" s="982"/>
      <c r="Q25" s="983"/>
      <c r="R25" s="674">
        <f>SUM(C25:Q25)</f>
        <v>672.03709464999997</v>
      </c>
      <c r="S25" s="67"/>
    </row>
    <row r="26" spans="1:19" s="447" customFormat="1" ht="15.75" thickBot="1">
      <c r="A26" s="679" t="s">
        <v>835</v>
      </c>
      <c r="B26" s="791"/>
      <c r="C26" s="786">
        <f>SUM(C24:C25)</f>
        <v>1609.73945325</v>
      </c>
      <c r="D26" s="786">
        <f t="shared" ref="D26:R26" si="2">SUM(D24:D25)</f>
        <v>0</v>
      </c>
      <c r="E26" s="786">
        <f t="shared" si="2"/>
        <v>464.83620234614995</v>
      </c>
      <c r="F26" s="786">
        <f t="shared" si="2"/>
        <v>35.073932955614545</v>
      </c>
      <c r="G26" s="786">
        <f t="shared" si="2"/>
        <v>4971.732985905327</v>
      </c>
      <c r="H26" s="786">
        <f t="shared" si="2"/>
        <v>0</v>
      </c>
      <c r="I26" s="786">
        <f t="shared" si="2"/>
        <v>0</v>
      </c>
      <c r="J26" s="786">
        <f t="shared" si="2"/>
        <v>0</v>
      </c>
      <c r="K26" s="786">
        <f t="shared" si="2"/>
        <v>195.81651575650795</v>
      </c>
      <c r="L26" s="786">
        <f t="shared" si="2"/>
        <v>0</v>
      </c>
      <c r="M26" s="786">
        <f t="shared" si="2"/>
        <v>0</v>
      </c>
      <c r="N26" s="786">
        <f t="shared" si="2"/>
        <v>0</v>
      </c>
      <c r="O26" s="786">
        <f t="shared" si="2"/>
        <v>0</v>
      </c>
      <c r="P26" s="786">
        <f t="shared" si="2"/>
        <v>0</v>
      </c>
      <c r="Q26" s="786">
        <f t="shared" si="2"/>
        <v>0</v>
      </c>
      <c r="R26" s="786">
        <f t="shared" si="2"/>
        <v>7277.1990902135994</v>
      </c>
      <c r="S26" s="67"/>
    </row>
    <row r="27" spans="1:19" s="447" customFormat="1" ht="17.25" thickTop="1" thickBot="1">
      <c r="A27" s="680" t="s">
        <v>115</v>
      </c>
      <c r="B27" s="779"/>
      <c r="C27" s="681">
        <f ca="1">C22+C16+C26</f>
        <v>10357.842551246151</v>
      </c>
      <c r="D27" s="681">
        <f t="shared" ref="D27:R27" ca="1" si="3">D22+D16+D26</f>
        <v>0</v>
      </c>
      <c r="E27" s="681">
        <f t="shared" ca="1" si="3"/>
        <v>10672.561369630515</v>
      </c>
      <c r="F27" s="681">
        <f t="shared" si="3"/>
        <v>5886.5912129363505</v>
      </c>
      <c r="G27" s="681">
        <f t="shared" ca="1" si="3"/>
        <v>10231.226907939992</v>
      </c>
      <c r="H27" s="681">
        <f t="shared" si="3"/>
        <v>55150.567997664555</v>
      </c>
      <c r="I27" s="681">
        <f t="shared" si="3"/>
        <v>8733.9637378946682</v>
      </c>
      <c r="J27" s="681">
        <f t="shared" si="3"/>
        <v>0</v>
      </c>
      <c r="K27" s="681">
        <f t="shared" si="3"/>
        <v>581.68254240754322</v>
      </c>
      <c r="L27" s="681">
        <f t="shared" si="3"/>
        <v>0</v>
      </c>
      <c r="M27" s="681">
        <f t="shared" ca="1" si="3"/>
        <v>0</v>
      </c>
      <c r="N27" s="681">
        <f t="shared" si="3"/>
        <v>1996.4755393969083</v>
      </c>
      <c r="O27" s="681">
        <f t="shared" ca="1" si="3"/>
        <v>4858.7712184779721</v>
      </c>
      <c r="P27" s="681">
        <f t="shared" si="3"/>
        <v>70.350000000000009</v>
      </c>
      <c r="Q27" s="681">
        <f t="shared" si="3"/>
        <v>95.333333333333343</v>
      </c>
      <c r="R27" s="681">
        <f t="shared" ca="1" si="3"/>
        <v>108635.36641092799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470.09216388644018</v>
      </c>
      <c r="D40" s="978">
        <f ca="1">tertiair!C20</f>
        <v>0</v>
      </c>
      <c r="E40" s="978">
        <f ca="1">tertiair!D20</f>
        <v>370.21942098713686</v>
      </c>
      <c r="F40" s="978">
        <f>tertiair!E20</f>
        <v>10.238348470036319</v>
      </c>
      <c r="G40" s="978">
        <f ca="1">tertiair!F20</f>
        <v>178.24786280862344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1028.7977961522367</v>
      </c>
    </row>
    <row r="41" spans="1:18">
      <c r="A41" s="796" t="s">
        <v>224</v>
      </c>
      <c r="B41" s="803"/>
      <c r="C41" s="978">
        <f ca="1">huishoudens!B12</f>
        <v>1075.2357599287823</v>
      </c>
      <c r="D41" s="978">
        <f ca="1">huishoudens!C12</f>
        <v>0</v>
      </c>
      <c r="E41" s="978">
        <f>huishoudens!D12</f>
        <v>1596.5857497255731</v>
      </c>
      <c r="F41" s="978">
        <f>huishoudens!E12</f>
        <v>1277.5169789237887</v>
      </c>
      <c r="G41" s="978">
        <f>huishoudens!F12</f>
        <v>1166.9772620008305</v>
      </c>
      <c r="H41" s="978">
        <f>huishoudens!G12</f>
        <v>0</v>
      </c>
      <c r="I41" s="978">
        <f>huishoudens!H12</f>
        <v>0</v>
      </c>
      <c r="J41" s="978">
        <f>huishoudens!I12</f>
        <v>0</v>
      </c>
      <c r="K41" s="978">
        <f>huishoudens!J12</f>
        <v>136.12398705150662</v>
      </c>
      <c r="L41" s="978">
        <f>huishoudens!K12</f>
        <v>0</v>
      </c>
      <c r="M41" s="978">
        <f>huishoudens!L12</f>
        <v>0</v>
      </c>
      <c r="N41" s="978">
        <f>huishoudens!M12</f>
        <v>0</v>
      </c>
      <c r="O41" s="978">
        <f>huishoudens!N12</f>
        <v>0</v>
      </c>
      <c r="P41" s="978">
        <f>huishoudens!O12</f>
        <v>0</v>
      </c>
      <c r="Q41" s="748">
        <f>huishoudens!P12</f>
        <v>0</v>
      </c>
      <c r="R41" s="824">
        <f t="shared" ca="1" si="4"/>
        <v>5252.4397376304814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70.272327426475059</v>
      </c>
      <c r="D43" s="978">
        <f ca="1">industrie!C22</f>
        <v>0</v>
      </c>
      <c r="E43" s="978">
        <f>industrie!D22</f>
        <v>90.007163414430252</v>
      </c>
      <c r="F43" s="978">
        <f>industrie!E22</f>
        <v>14.496674044330323</v>
      </c>
      <c r="G43" s="978">
        <f>industrie!F22</f>
        <v>59.059752373801714</v>
      </c>
      <c r="H43" s="978">
        <f>industrie!G22</f>
        <v>0</v>
      </c>
      <c r="I43" s="978">
        <f>industrie!H22</f>
        <v>0</v>
      </c>
      <c r="J43" s="978">
        <f>industrie!I22</f>
        <v>0</v>
      </c>
      <c r="K43" s="978">
        <f>industrie!J22</f>
        <v>0.47258638295987687</v>
      </c>
      <c r="L43" s="978">
        <f>industrie!K22</f>
        <v>0</v>
      </c>
      <c r="M43" s="978">
        <f>industrie!L22</f>
        <v>0</v>
      </c>
      <c r="N43" s="978">
        <f>industrie!M22</f>
        <v>0</v>
      </c>
      <c r="O43" s="978">
        <f>industrie!N22</f>
        <v>0</v>
      </c>
      <c r="P43" s="978">
        <f>industrie!O22</f>
        <v>0</v>
      </c>
      <c r="Q43" s="748">
        <f>industrie!P22</f>
        <v>0</v>
      </c>
      <c r="R43" s="823">
        <f t="shared" ca="1" si="4"/>
        <v>234.30850364199722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1615.6002512416976</v>
      </c>
      <c r="D46" s="706">
        <f t="shared" ref="D46:Q46" ca="1" si="5">SUM(D39:D45)</f>
        <v>0</v>
      </c>
      <c r="E46" s="706">
        <f t="shared" ca="1" si="5"/>
        <v>2056.8123341271403</v>
      </c>
      <c r="F46" s="706">
        <f t="shared" si="5"/>
        <v>1302.2520014381553</v>
      </c>
      <c r="G46" s="706">
        <f t="shared" ca="1" si="5"/>
        <v>1404.2848771832557</v>
      </c>
      <c r="H46" s="706">
        <f t="shared" si="5"/>
        <v>0</v>
      </c>
      <c r="I46" s="706">
        <f t="shared" si="5"/>
        <v>0</v>
      </c>
      <c r="J46" s="706">
        <f t="shared" si="5"/>
        <v>0</v>
      </c>
      <c r="K46" s="706">
        <f t="shared" si="5"/>
        <v>136.59657343446651</v>
      </c>
      <c r="L46" s="706">
        <f t="shared" si="5"/>
        <v>0</v>
      </c>
      <c r="M46" s="706">
        <f t="shared" ca="1" si="5"/>
        <v>0</v>
      </c>
      <c r="N46" s="706">
        <f t="shared" si="5"/>
        <v>0</v>
      </c>
      <c r="O46" s="706">
        <f t="shared" ca="1" si="5"/>
        <v>0</v>
      </c>
      <c r="P46" s="706">
        <f t="shared" si="5"/>
        <v>0</v>
      </c>
      <c r="Q46" s="706">
        <f t="shared" si="5"/>
        <v>0</v>
      </c>
      <c r="R46" s="706">
        <f ca="1">SUM(R39:R45)</f>
        <v>6515.546037424715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172.45649468877863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172.45649468877863</v>
      </c>
    </row>
    <row r="50" spans="1:18">
      <c r="A50" s="799" t="s">
        <v>306</v>
      </c>
      <c r="B50" s="809"/>
      <c r="C50" s="677">
        <f ca="1">transport!B18</f>
        <v>2.5402685852115918</v>
      </c>
      <c r="D50" s="677">
        <f>transport!C18</f>
        <v>0</v>
      </c>
      <c r="E50" s="677">
        <f>transport!D18</f>
        <v>5.1481496643013251</v>
      </c>
      <c r="F50" s="677">
        <f>transport!E18</f>
        <v>26.042421117471942</v>
      </c>
      <c r="G50" s="677">
        <f>transport!F18</f>
        <v>0</v>
      </c>
      <c r="H50" s="677">
        <f>transport!G18</f>
        <v>14552.745160687658</v>
      </c>
      <c r="I50" s="677">
        <f>transport!H18</f>
        <v>2174.7569707357725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16761.232970790414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2.5402685852115918</v>
      </c>
      <c r="D52" s="706">
        <f t="shared" ref="D52:Q52" ca="1" si="6">SUM(D48:D51)</f>
        <v>0</v>
      </c>
      <c r="E52" s="706">
        <f t="shared" si="6"/>
        <v>5.1481496643013251</v>
      </c>
      <c r="F52" s="706">
        <f t="shared" si="6"/>
        <v>26.042421117471942</v>
      </c>
      <c r="G52" s="706">
        <f t="shared" si="6"/>
        <v>0</v>
      </c>
      <c r="H52" s="706">
        <f t="shared" si="6"/>
        <v>14725.201655376437</v>
      </c>
      <c r="I52" s="706">
        <f t="shared" si="6"/>
        <v>2174.7569707357725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16933.689465479194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251.59391171562575</v>
      </c>
      <c r="D54" s="677">
        <f ca="1">+landbouw!C12</f>
        <v>0</v>
      </c>
      <c r="E54" s="677">
        <f>+landbouw!D12</f>
        <v>8.5555422038823004</v>
      </c>
      <c r="F54" s="677">
        <f>+landbouw!E12</f>
        <v>7.9617827809245023</v>
      </c>
      <c r="G54" s="677">
        <f>+landbouw!F12</f>
        <v>1327.4527072367223</v>
      </c>
      <c r="H54" s="677">
        <f>+landbouw!G12</f>
        <v>0</v>
      </c>
      <c r="I54" s="677">
        <f>+landbouw!H12</f>
        <v>0</v>
      </c>
      <c r="J54" s="677">
        <f>+landbouw!I12</f>
        <v>0</v>
      </c>
      <c r="K54" s="677">
        <f>+landbouw!J12</f>
        <v>69.319046577803817</v>
      </c>
      <c r="L54" s="677">
        <f>+landbouw!K12</f>
        <v>0</v>
      </c>
      <c r="M54" s="677">
        <f>+landbouw!L12</f>
        <v>0</v>
      </c>
      <c r="N54" s="677">
        <f>+landbouw!M12</f>
        <v>0</v>
      </c>
      <c r="O54" s="677">
        <f>+landbouw!N12</f>
        <v>0</v>
      </c>
      <c r="P54" s="677">
        <f>+landbouw!O12</f>
        <v>0</v>
      </c>
      <c r="Q54" s="678">
        <f>+landbouw!P12</f>
        <v>0</v>
      </c>
      <c r="R54" s="705">
        <f ca="1">SUM(C54:Q54)</f>
        <v>1664.8829905149587</v>
      </c>
    </row>
    <row r="55" spans="1:18" ht="15" thickBot="1">
      <c r="A55" s="799" t="s">
        <v>834</v>
      </c>
      <c r="B55" s="809"/>
      <c r="C55" s="677">
        <f ca="1">C25*'EF ele_warmte'!B12</f>
        <v>46.160310712833621</v>
      </c>
      <c r="D55" s="677"/>
      <c r="E55" s="677">
        <f>E25*EF_CO2_aardgas</f>
        <v>85.341370670039993</v>
      </c>
      <c r="F55" s="677"/>
      <c r="G55" s="677"/>
      <c r="H55" s="677"/>
      <c r="I55" s="677"/>
      <c r="J55" s="677"/>
      <c r="K55" s="677"/>
      <c r="L55" s="677"/>
      <c r="M55" s="677"/>
      <c r="N55" s="677"/>
      <c r="O55" s="677"/>
      <c r="P55" s="677"/>
      <c r="Q55" s="678"/>
      <c r="R55" s="705">
        <f ca="1">SUM(C55:Q55)</f>
        <v>131.50168138287361</v>
      </c>
    </row>
    <row r="56" spans="1:18" ht="15.75" thickBot="1">
      <c r="A56" s="797" t="s">
        <v>835</v>
      </c>
      <c r="B56" s="810"/>
      <c r="C56" s="706">
        <f ca="1">SUM(C54:C55)</f>
        <v>297.75422242845934</v>
      </c>
      <c r="D56" s="706">
        <f t="shared" ref="D56:Q56" ca="1" si="7">SUM(D54:D55)</f>
        <v>0</v>
      </c>
      <c r="E56" s="706">
        <f t="shared" si="7"/>
        <v>93.89691287392229</v>
      </c>
      <c r="F56" s="706">
        <f t="shared" si="7"/>
        <v>7.9617827809245023</v>
      </c>
      <c r="G56" s="706">
        <f t="shared" si="7"/>
        <v>1327.4527072367223</v>
      </c>
      <c r="H56" s="706">
        <f t="shared" si="7"/>
        <v>0</v>
      </c>
      <c r="I56" s="706">
        <f t="shared" si="7"/>
        <v>0</v>
      </c>
      <c r="J56" s="706">
        <f t="shared" si="7"/>
        <v>0</v>
      </c>
      <c r="K56" s="706">
        <f t="shared" si="7"/>
        <v>69.319046577803817</v>
      </c>
      <c r="L56" s="706">
        <f t="shared" si="7"/>
        <v>0</v>
      </c>
      <c r="M56" s="706">
        <f t="shared" si="7"/>
        <v>0</v>
      </c>
      <c r="N56" s="706">
        <f t="shared" si="7"/>
        <v>0</v>
      </c>
      <c r="O56" s="706">
        <f t="shared" si="7"/>
        <v>0</v>
      </c>
      <c r="P56" s="706">
        <f t="shared" si="7"/>
        <v>0</v>
      </c>
      <c r="Q56" s="707">
        <f t="shared" si="7"/>
        <v>0</v>
      </c>
      <c r="R56" s="708">
        <f ca="1">SUM(R54:R55)</f>
        <v>1796.3846718978323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1915.8947422553686</v>
      </c>
      <c r="D61" s="714">
        <f t="shared" ref="D61:Q61" ca="1" si="8">D46+D52+D56</f>
        <v>0</v>
      </c>
      <c r="E61" s="714">
        <f t="shared" ca="1" si="8"/>
        <v>2155.8573966653639</v>
      </c>
      <c r="F61" s="714">
        <f t="shared" si="8"/>
        <v>1336.2562053365518</v>
      </c>
      <c r="G61" s="714">
        <f t="shared" ca="1" si="8"/>
        <v>2731.7375844199778</v>
      </c>
      <c r="H61" s="714">
        <f t="shared" si="8"/>
        <v>14725.201655376437</v>
      </c>
      <c r="I61" s="714">
        <f t="shared" si="8"/>
        <v>2174.7569707357725</v>
      </c>
      <c r="J61" s="714">
        <f t="shared" si="8"/>
        <v>0</v>
      </c>
      <c r="K61" s="714">
        <f t="shared" si="8"/>
        <v>205.91562001227032</v>
      </c>
      <c r="L61" s="714">
        <f t="shared" si="8"/>
        <v>0</v>
      </c>
      <c r="M61" s="714">
        <f t="shared" ca="1" si="8"/>
        <v>0</v>
      </c>
      <c r="N61" s="714">
        <f t="shared" si="8"/>
        <v>0</v>
      </c>
      <c r="O61" s="714">
        <f t="shared" ca="1" si="8"/>
        <v>0</v>
      </c>
      <c r="P61" s="714">
        <f t="shared" si="8"/>
        <v>0</v>
      </c>
      <c r="Q61" s="714">
        <f t="shared" si="8"/>
        <v>0</v>
      </c>
      <c r="R61" s="714">
        <f ca="1">R46+R52+R56</f>
        <v>25245.620174801741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0.18497044464388654</v>
      </c>
      <c r="D63" s="755">
        <f t="shared" ca="1" si="9"/>
        <v>0</v>
      </c>
      <c r="E63" s="989">
        <f t="shared" ca="1" si="9"/>
        <v>0.20199999999999999</v>
      </c>
      <c r="F63" s="755">
        <f t="shared" si="9"/>
        <v>0.22700000000000004</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1688.6355727150703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1688.6355727150703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5813.0138682364886</v>
      </c>
      <c r="C4" s="451">
        <f>huishoudens!C8</f>
        <v>0</v>
      </c>
      <c r="D4" s="451">
        <f>huishoudens!D8</f>
        <v>7903.8898501265994</v>
      </c>
      <c r="E4" s="451">
        <f>huishoudens!E8</f>
        <v>5627.8281009858529</v>
      </c>
      <c r="F4" s="451">
        <f>huishoudens!F8</f>
        <v>4370.7013558083536</v>
      </c>
      <c r="G4" s="451">
        <f>huishoudens!G8</f>
        <v>0</v>
      </c>
      <c r="H4" s="451">
        <f>huishoudens!H8</f>
        <v>0</v>
      </c>
      <c r="I4" s="451">
        <f>huishoudens!I8</f>
        <v>0</v>
      </c>
      <c r="J4" s="451">
        <f>huishoudens!J8</f>
        <v>384.5310368686628</v>
      </c>
      <c r="K4" s="451">
        <f>huishoudens!K8</f>
        <v>0</v>
      </c>
      <c r="L4" s="451">
        <f>huishoudens!L8</f>
        <v>0</v>
      </c>
      <c r="M4" s="451">
        <f>huishoudens!M8</f>
        <v>0</v>
      </c>
      <c r="N4" s="451">
        <f>huishoudens!N8</f>
        <v>4593.1037141079014</v>
      </c>
      <c r="O4" s="451">
        <f>huishoudens!O8</f>
        <v>65.660000000000011</v>
      </c>
      <c r="P4" s="452">
        <f>huishoudens!P8</f>
        <v>95.333333333333343</v>
      </c>
      <c r="Q4" s="453">
        <f>SUM(B4:P4)</f>
        <v>28854.061259467191</v>
      </c>
    </row>
    <row r="5" spans="1:17">
      <c r="A5" s="450" t="s">
        <v>155</v>
      </c>
      <c r="B5" s="451">
        <f ca="1">tertiair!B16</f>
        <v>2231.729741572</v>
      </c>
      <c r="C5" s="451">
        <f ca="1">tertiair!C16</f>
        <v>0</v>
      </c>
      <c r="D5" s="451">
        <f ca="1">tertiair!D16</f>
        <v>1832.76941082741</v>
      </c>
      <c r="E5" s="451">
        <f>tertiair!E16</f>
        <v>45.102856696195239</v>
      </c>
      <c r="F5" s="451">
        <f ca="1">tertiair!F16</f>
        <v>667.59499179259706</v>
      </c>
      <c r="G5" s="451">
        <f>tertiair!G16</f>
        <v>0</v>
      </c>
      <c r="H5" s="451">
        <f>tertiair!H16</f>
        <v>0</v>
      </c>
      <c r="I5" s="451">
        <f>tertiair!I16</f>
        <v>0</v>
      </c>
      <c r="J5" s="451">
        <f>tertiair!J16</f>
        <v>0</v>
      </c>
      <c r="K5" s="451">
        <f>tertiair!K16</f>
        <v>0</v>
      </c>
      <c r="L5" s="451">
        <f ca="1">tertiair!L16</f>
        <v>0</v>
      </c>
      <c r="M5" s="451">
        <f>tertiair!M16</f>
        <v>0</v>
      </c>
      <c r="N5" s="451">
        <f ca="1">tertiair!N16</f>
        <v>239.44749637206198</v>
      </c>
      <c r="O5" s="451">
        <f>tertiair!O16</f>
        <v>4.6900000000000004</v>
      </c>
      <c r="P5" s="452">
        <f>tertiair!P16</f>
        <v>0</v>
      </c>
      <c r="Q5" s="450">
        <f t="shared" ref="Q5:Q14" ca="1" si="0">SUM(B5:P5)</f>
        <v>5021.3344972602645</v>
      </c>
    </row>
    <row r="6" spans="1:17">
      <c r="A6" s="450" t="s">
        <v>193</v>
      </c>
      <c r="B6" s="451">
        <f>'openbare verlichting'!B8</f>
        <v>309.71499999999997</v>
      </c>
      <c r="C6" s="451"/>
      <c r="D6" s="451"/>
      <c r="E6" s="451"/>
      <c r="F6" s="451"/>
      <c r="G6" s="451"/>
      <c r="H6" s="451"/>
      <c r="I6" s="451"/>
      <c r="J6" s="451"/>
      <c r="K6" s="451"/>
      <c r="L6" s="451"/>
      <c r="M6" s="451"/>
      <c r="N6" s="451"/>
      <c r="O6" s="451"/>
      <c r="P6" s="452"/>
      <c r="Q6" s="450">
        <f t="shared" si="0"/>
        <v>309.71499999999997</v>
      </c>
    </row>
    <row r="7" spans="1:17">
      <c r="A7" s="450" t="s">
        <v>111</v>
      </c>
      <c r="B7" s="451">
        <f>landbouw!B8</f>
        <v>1360.18439162</v>
      </c>
      <c r="C7" s="451">
        <f>landbouw!C8</f>
        <v>0</v>
      </c>
      <c r="D7" s="451">
        <f>landbouw!D8</f>
        <v>42.35416932615</v>
      </c>
      <c r="E7" s="451">
        <f>landbouw!E8</f>
        <v>35.073932955614545</v>
      </c>
      <c r="F7" s="451">
        <f>landbouw!F8</f>
        <v>4971.732985905327</v>
      </c>
      <c r="G7" s="451">
        <f>landbouw!G8</f>
        <v>0</v>
      </c>
      <c r="H7" s="451">
        <f>landbouw!H8</f>
        <v>0</v>
      </c>
      <c r="I7" s="451">
        <f>landbouw!I8</f>
        <v>0</v>
      </c>
      <c r="J7" s="451">
        <f>landbouw!J8</f>
        <v>195.81651575650795</v>
      </c>
      <c r="K7" s="451">
        <f>landbouw!K8</f>
        <v>0</v>
      </c>
      <c r="L7" s="451">
        <f>landbouw!L8</f>
        <v>0</v>
      </c>
      <c r="M7" s="451">
        <f>landbouw!M8</f>
        <v>0</v>
      </c>
      <c r="N7" s="451">
        <f>landbouw!N8</f>
        <v>0</v>
      </c>
      <c r="O7" s="451">
        <f>landbouw!O8</f>
        <v>0</v>
      </c>
      <c r="P7" s="452">
        <f>landbouw!P8</f>
        <v>0</v>
      </c>
      <c r="Q7" s="450">
        <f t="shared" si="0"/>
        <v>6605.1619955635997</v>
      </c>
    </row>
    <row r="8" spans="1:17">
      <c r="A8" s="450" t="s">
        <v>637</v>
      </c>
      <c r="B8" s="451">
        <f>industrie!B18</f>
        <v>379.91111261999998</v>
      </c>
      <c r="C8" s="451">
        <f>industrie!C18</f>
        <v>0</v>
      </c>
      <c r="D8" s="451">
        <f>industrie!D18</f>
        <v>445.58001690312005</v>
      </c>
      <c r="E8" s="451">
        <f>industrie!E18</f>
        <v>63.862000195287763</v>
      </c>
      <c r="F8" s="451">
        <f>industrie!F18</f>
        <v>221.19757443371427</v>
      </c>
      <c r="G8" s="451">
        <f>industrie!G18</f>
        <v>0</v>
      </c>
      <c r="H8" s="451">
        <f>industrie!H18</f>
        <v>0</v>
      </c>
      <c r="I8" s="451">
        <f>industrie!I18</f>
        <v>0</v>
      </c>
      <c r="J8" s="451">
        <f>industrie!J18</f>
        <v>1.3349897823725336</v>
      </c>
      <c r="K8" s="451">
        <f>industrie!K18</f>
        <v>0</v>
      </c>
      <c r="L8" s="451">
        <f>industrie!L18</f>
        <v>0</v>
      </c>
      <c r="M8" s="451">
        <f>industrie!M18</f>
        <v>0</v>
      </c>
      <c r="N8" s="451">
        <f>industrie!N18</f>
        <v>26.220007998008359</v>
      </c>
      <c r="O8" s="451">
        <f>industrie!O18</f>
        <v>0</v>
      </c>
      <c r="P8" s="452">
        <f>industrie!P18</f>
        <v>0</v>
      </c>
      <c r="Q8" s="450">
        <f t="shared" si="0"/>
        <v>1138.1057019325031</v>
      </c>
    </row>
    <row r="9" spans="1:17" s="456" customFormat="1">
      <c r="A9" s="454" t="s">
        <v>563</v>
      </c>
      <c r="B9" s="455">
        <f>transport!B14</f>
        <v>13.733375567660181</v>
      </c>
      <c r="C9" s="455">
        <f>transport!C14</f>
        <v>0</v>
      </c>
      <c r="D9" s="455">
        <f>transport!D14</f>
        <v>25.48588942723428</v>
      </c>
      <c r="E9" s="455">
        <f>transport!E14</f>
        <v>114.72432210340062</v>
      </c>
      <c r="F9" s="455">
        <f>transport!F14</f>
        <v>0</v>
      </c>
      <c r="G9" s="455">
        <f>transport!G14</f>
        <v>54504.66352317475</v>
      </c>
      <c r="H9" s="455">
        <f>transport!H14</f>
        <v>8733.9637378946682</v>
      </c>
      <c r="I9" s="455">
        <f>transport!I14</f>
        <v>0</v>
      </c>
      <c r="J9" s="455">
        <f>transport!J14</f>
        <v>0</v>
      </c>
      <c r="K9" s="455">
        <f>transport!K14</f>
        <v>0</v>
      </c>
      <c r="L9" s="455">
        <f>transport!L14</f>
        <v>0</v>
      </c>
      <c r="M9" s="455">
        <f>transport!M14</f>
        <v>1976.4663185059683</v>
      </c>
      <c r="N9" s="455">
        <f>transport!N14</f>
        <v>0</v>
      </c>
      <c r="O9" s="455">
        <f>transport!O14</f>
        <v>0</v>
      </c>
      <c r="P9" s="455">
        <f>transport!P14</f>
        <v>0</v>
      </c>
      <c r="Q9" s="454">
        <f>SUM(B9:P9)</f>
        <v>65369.037166673683</v>
      </c>
    </row>
    <row r="10" spans="1:17">
      <c r="A10" s="450" t="s">
        <v>553</v>
      </c>
      <c r="B10" s="451">
        <f>transport!B54</f>
        <v>0</v>
      </c>
      <c r="C10" s="451">
        <f>transport!C54</f>
        <v>0</v>
      </c>
      <c r="D10" s="451">
        <f>transport!D54</f>
        <v>0</v>
      </c>
      <c r="E10" s="451">
        <f>transport!E54</f>
        <v>0</v>
      </c>
      <c r="F10" s="451">
        <f>transport!F54</f>
        <v>0</v>
      </c>
      <c r="G10" s="451">
        <f>transport!G54</f>
        <v>645.90447448980763</v>
      </c>
      <c r="H10" s="451">
        <f>transport!H54</f>
        <v>0</v>
      </c>
      <c r="I10" s="451">
        <f>transport!I54</f>
        <v>0</v>
      </c>
      <c r="J10" s="451">
        <f>transport!J54</f>
        <v>0</v>
      </c>
      <c r="K10" s="451">
        <f>transport!K54</f>
        <v>0</v>
      </c>
      <c r="L10" s="451">
        <f>transport!L54</f>
        <v>0</v>
      </c>
      <c r="M10" s="451">
        <f>transport!M54</f>
        <v>20.009220890939908</v>
      </c>
      <c r="N10" s="451">
        <f>transport!N54</f>
        <v>0</v>
      </c>
      <c r="O10" s="451">
        <f>transport!O54</f>
        <v>0</v>
      </c>
      <c r="P10" s="452">
        <f>transport!P54</f>
        <v>0</v>
      </c>
      <c r="Q10" s="450">
        <f t="shared" si="0"/>
        <v>665.91369538074753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249.55506163000001</v>
      </c>
      <c r="C14" s="458"/>
      <c r="D14" s="458">
        <f>'SEAP template'!E25</f>
        <v>422.48203301999996</v>
      </c>
      <c r="E14" s="458"/>
      <c r="F14" s="458"/>
      <c r="G14" s="458"/>
      <c r="H14" s="458"/>
      <c r="I14" s="458"/>
      <c r="J14" s="458"/>
      <c r="K14" s="458"/>
      <c r="L14" s="458"/>
      <c r="M14" s="458"/>
      <c r="N14" s="458"/>
      <c r="O14" s="458"/>
      <c r="P14" s="459"/>
      <c r="Q14" s="450">
        <f t="shared" si="0"/>
        <v>672.03709464999997</v>
      </c>
    </row>
    <row r="15" spans="1:17" s="460" customFormat="1">
      <c r="A15" s="1004" t="s">
        <v>557</v>
      </c>
      <c r="B15" s="944">
        <f ca="1">SUM(B4:B14)</f>
        <v>10357.842551246151</v>
      </c>
      <c r="C15" s="944">
        <f t="shared" ref="C15:Q15" ca="1" si="1">SUM(C4:C14)</f>
        <v>0</v>
      </c>
      <c r="D15" s="944">
        <f t="shared" ca="1" si="1"/>
        <v>10672.561369630515</v>
      </c>
      <c r="E15" s="944">
        <f t="shared" si="1"/>
        <v>5886.5912129363505</v>
      </c>
      <c r="F15" s="944">
        <f t="shared" ca="1" si="1"/>
        <v>10231.226907939992</v>
      </c>
      <c r="G15" s="944">
        <f t="shared" si="1"/>
        <v>55150.567997664555</v>
      </c>
      <c r="H15" s="944">
        <f t="shared" si="1"/>
        <v>8733.9637378946682</v>
      </c>
      <c r="I15" s="944">
        <f t="shared" si="1"/>
        <v>0</v>
      </c>
      <c r="J15" s="944">
        <f t="shared" si="1"/>
        <v>581.68254240754322</v>
      </c>
      <c r="K15" s="944">
        <f t="shared" si="1"/>
        <v>0</v>
      </c>
      <c r="L15" s="944">
        <f t="shared" ca="1" si="1"/>
        <v>0</v>
      </c>
      <c r="M15" s="944">
        <f t="shared" si="1"/>
        <v>1996.4755393969083</v>
      </c>
      <c r="N15" s="944">
        <f t="shared" ca="1" si="1"/>
        <v>4858.7712184779721</v>
      </c>
      <c r="O15" s="944">
        <f t="shared" si="1"/>
        <v>70.350000000000009</v>
      </c>
      <c r="P15" s="944">
        <f t="shared" si="1"/>
        <v>95.333333333333343</v>
      </c>
      <c r="Q15" s="944">
        <f t="shared" ca="1" si="1"/>
        <v>108635.36641092798</v>
      </c>
    </row>
    <row r="17" spans="1:17">
      <c r="A17" s="461" t="s">
        <v>558</v>
      </c>
      <c r="B17" s="760">
        <f ca="1">huishoudens!B10</f>
        <v>0.18497044464388657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1075.2357599287823</v>
      </c>
      <c r="C22" s="451">
        <f t="shared" ref="C22:C32" ca="1" si="3">C4*$C$17</f>
        <v>0</v>
      </c>
      <c r="D22" s="451">
        <f t="shared" ref="D22:D32" si="4">D4*$D$17</f>
        <v>1596.5857497255731</v>
      </c>
      <c r="E22" s="451">
        <f t="shared" ref="E22:E32" si="5">E4*$E$17</f>
        <v>1277.5169789237887</v>
      </c>
      <c r="F22" s="451">
        <f t="shared" ref="F22:F32" si="6">F4*$F$17</f>
        <v>1166.9772620008305</v>
      </c>
      <c r="G22" s="451">
        <f t="shared" ref="G22:G32" si="7">G4*$G$17</f>
        <v>0</v>
      </c>
      <c r="H22" s="451">
        <f t="shared" ref="H22:H32" si="8">H4*$H$17</f>
        <v>0</v>
      </c>
      <c r="I22" s="451">
        <f t="shared" ref="I22:I32" si="9">I4*$I$17</f>
        <v>0</v>
      </c>
      <c r="J22" s="451">
        <f t="shared" ref="J22:J32" si="10">J4*$J$17</f>
        <v>136.12398705150662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5252.4397376304814</v>
      </c>
    </row>
    <row r="23" spans="1:17">
      <c r="A23" s="450" t="s">
        <v>155</v>
      </c>
      <c r="B23" s="451">
        <f t="shared" ca="1" si="2"/>
        <v>412.80404262355887</v>
      </c>
      <c r="C23" s="451">
        <f t="shared" ca="1" si="3"/>
        <v>0</v>
      </c>
      <c r="D23" s="451">
        <f t="shared" ca="1" si="4"/>
        <v>370.21942098713686</v>
      </c>
      <c r="E23" s="451">
        <f t="shared" si="5"/>
        <v>10.238348470036319</v>
      </c>
      <c r="F23" s="451">
        <f t="shared" ca="1" si="6"/>
        <v>178.24786280862344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971.50967488935544</v>
      </c>
    </row>
    <row r="24" spans="1:17">
      <c r="A24" s="450" t="s">
        <v>193</v>
      </c>
      <c r="B24" s="451">
        <f t="shared" ca="1" si="2"/>
        <v>57.288121262881326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57.288121262881326</v>
      </c>
    </row>
    <row r="25" spans="1:17">
      <c r="A25" s="450" t="s">
        <v>111</v>
      </c>
      <c r="B25" s="451">
        <f t="shared" ca="1" si="2"/>
        <v>251.59391171562575</v>
      </c>
      <c r="C25" s="451">
        <f t="shared" ca="1" si="3"/>
        <v>0</v>
      </c>
      <c r="D25" s="451">
        <f t="shared" si="4"/>
        <v>8.5555422038823004</v>
      </c>
      <c r="E25" s="451">
        <f t="shared" si="5"/>
        <v>7.9617827809245023</v>
      </c>
      <c r="F25" s="451">
        <f t="shared" si="6"/>
        <v>1327.4527072367223</v>
      </c>
      <c r="G25" s="451">
        <f t="shared" si="7"/>
        <v>0</v>
      </c>
      <c r="H25" s="451">
        <f t="shared" si="8"/>
        <v>0</v>
      </c>
      <c r="I25" s="451">
        <f t="shared" si="9"/>
        <v>0</v>
      </c>
      <c r="J25" s="451">
        <f t="shared" si="10"/>
        <v>69.319046577803817</v>
      </c>
      <c r="K25" s="451">
        <f t="shared" si="11"/>
        <v>0</v>
      </c>
      <c r="L25" s="451">
        <f t="shared" si="12"/>
        <v>0</v>
      </c>
      <c r="M25" s="451">
        <f t="shared" si="13"/>
        <v>0</v>
      </c>
      <c r="N25" s="451">
        <f t="shared" si="14"/>
        <v>0</v>
      </c>
      <c r="O25" s="451">
        <f t="shared" si="15"/>
        <v>0</v>
      </c>
      <c r="P25" s="452">
        <f t="shared" si="16"/>
        <v>0</v>
      </c>
      <c r="Q25" s="450">
        <f t="shared" ca="1" si="17"/>
        <v>1664.8829905149587</v>
      </c>
    </row>
    <row r="26" spans="1:17">
      <c r="A26" s="450" t="s">
        <v>637</v>
      </c>
      <c r="B26" s="451">
        <f t="shared" ca="1" si="2"/>
        <v>70.272327426475059</v>
      </c>
      <c r="C26" s="451">
        <f t="shared" ca="1" si="3"/>
        <v>0</v>
      </c>
      <c r="D26" s="451">
        <f t="shared" si="4"/>
        <v>90.007163414430252</v>
      </c>
      <c r="E26" s="451">
        <f t="shared" si="5"/>
        <v>14.496674044330323</v>
      </c>
      <c r="F26" s="451">
        <f t="shared" si="6"/>
        <v>59.059752373801714</v>
      </c>
      <c r="G26" s="451">
        <f t="shared" si="7"/>
        <v>0</v>
      </c>
      <c r="H26" s="451">
        <f t="shared" si="8"/>
        <v>0</v>
      </c>
      <c r="I26" s="451">
        <f t="shared" si="9"/>
        <v>0</v>
      </c>
      <c r="J26" s="451">
        <f t="shared" si="10"/>
        <v>0.47258638295987687</v>
      </c>
      <c r="K26" s="451">
        <f t="shared" si="11"/>
        <v>0</v>
      </c>
      <c r="L26" s="451">
        <f t="shared" si="12"/>
        <v>0</v>
      </c>
      <c r="M26" s="451">
        <f t="shared" si="13"/>
        <v>0</v>
      </c>
      <c r="N26" s="451">
        <f t="shared" si="14"/>
        <v>0</v>
      </c>
      <c r="O26" s="451">
        <f t="shared" si="15"/>
        <v>0</v>
      </c>
      <c r="P26" s="452">
        <f t="shared" si="16"/>
        <v>0</v>
      </c>
      <c r="Q26" s="450">
        <f t="shared" ca="1" si="17"/>
        <v>234.30850364199722</v>
      </c>
    </row>
    <row r="27" spans="1:17" s="456" customFormat="1">
      <c r="A27" s="454" t="s">
        <v>563</v>
      </c>
      <c r="B27" s="754">
        <f t="shared" ca="1" si="2"/>
        <v>2.5402685852115918</v>
      </c>
      <c r="C27" s="455">
        <f t="shared" ca="1" si="3"/>
        <v>0</v>
      </c>
      <c r="D27" s="455">
        <f t="shared" si="4"/>
        <v>5.1481496643013251</v>
      </c>
      <c r="E27" s="455">
        <f t="shared" si="5"/>
        <v>26.042421117471942</v>
      </c>
      <c r="F27" s="455">
        <f t="shared" si="6"/>
        <v>0</v>
      </c>
      <c r="G27" s="455">
        <f t="shared" si="7"/>
        <v>14552.745160687658</v>
      </c>
      <c r="H27" s="455">
        <f t="shared" si="8"/>
        <v>2174.7569707357725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16761.232970790414</v>
      </c>
    </row>
    <row r="28" spans="1:17">
      <c r="A28" s="450" t="s">
        <v>553</v>
      </c>
      <c r="B28" s="451">
        <f t="shared" ca="1" si="2"/>
        <v>0</v>
      </c>
      <c r="C28" s="451">
        <f t="shared" ca="1" si="3"/>
        <v>0</v>
      </c>
      <c r="D28" s="451">
        <f t="shared" si="4"/>
        <v>0</v>
      </c>
      <c r="E28" s="451">
        <f t="shared" si="5"/>
        <v>0</v>
      </c>
      <c r="F28" s="451">
        <f t="shared" si="6"/>
        <v>0</v>
      </c>
      <c r="G28" s="451">
        <f t="shared" si="7"/>
        <v>172.45649468877863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172.45649468877863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46.160310712833621</v>
      </c>
      <c r="C32" s="451">
        <f t="shared" ca="1" si="3"/>
        <v>0</v>
      </c>
      <c r="D32" s="451">
        <f t="shared" si="4"/>
        <v>85.341370670039993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131.50168138287361</v>
      </c>
    </row>
    <row r="33" spans="1:17" s="460" customFormat="1">
      <c r="A33" s="1004" t="s">
        <v>557</v>
      </c>
      <c r="B33" s="944">
        <f ca="1">SUM(B22:B32)</f>
        <v>1915.8947422553688</v>
      </c>
      <c r="C33" s="944">
        <f t="shared" ref="C33:Q33" ca="1" si="18">SUM(C22:C32)</f>
        <v>0</v>
      </c>
      <c r="D33" s="944">
        <f t="shared" ca="1" si="18"/>
        <v>2155.8573966653639</v>
      </c>
      <c r="E33" s="944">
        <f t="shared" si="18"/>
        <v>1336.2562053365518</v>
      </c>
      <c r="F33" s="944">
        <f t="shared" ca="1" si="18"/>
        <v>2731.7375844199778</v>
      </c>
      <c r="G33" s="944">
        <f t="shared" si="18"/>
        <v>14725.201655376437</v>
      </c>
      <c r="H33" s="944">
        <f t="shared" si="18"/>
        <v>2174.7569707357725</v>
      </c>
      <c r="I33" s="944">
        <f t="shared" si="18"/>
        <v>0</v>
      </c>
      <c r="J33" s="944">
        <f t="shared" si="18"/>
        <v>205.91562001227032</v>
      </c>
      <c r="K33" s="944">
        <f t="shared" si="18"/>
        <v>0</v>
      </c>
      <c r="L33" s="944">
        <f t="shared" ca="1" si="18"/>
        <v>0</v>
      </c>
      <c r="M33" s="944">
        <f t="shared" si="18"/>
        <v>0</v>
      </c>
      <c r="N33" s="944">
        <f t="shared" ca="1" si="18"/>
        <v>0</v>
      </c>
      <c r="O33" s="944">
        <f t="shared" si="18"/>
        <v>0</v>
      </c>
      <c r="P33" s="944">
        <f t="shared" si="18"/>
        <v>0</v>
      </c>
      <c r="Q33" s="944">
        <f t="shared" ca="1" si="18"/>
        <v>25245.620174801741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1688.6355727150703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1688.6355727150703</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0.18497044464388657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0.18497044464388657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0.18497044464388657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0.18497044464388657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1126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4202.54</v>
      </c>
      <c r="C14" s="330"/>
      <c r="D14" s="330"/>
      <c r="E14" s="330"/>
      <c r="F14" s="330"/>
    </row>
    <row r="15" spans="1:6">
      <c r="A15" s="1291" t="s">
        <v>183</v>
      </c>
      <c r="B15" s="1292">
        <v>36</v>
      </c>
      <c r="C15" s="330"/>
      <c r="D15" s="330"/>
      <c r="E15" s="330"/>
      <c r="F15" s="330"/>
    </row>
    <row r="16" spans="1:6">
      <c r="A16" s="1291" t="s">
        <v>6</v>
      </c>
      <c r="B16" s="1292">
        <v>1119</v>
      </c>
      <c r="C16" s="330"/>
      <c r="D16" s="330"/>
      <c r="E16" s="330"/>
      <c r="F16" s="330"/>
    </row>
    <row r="17" spans="1:6">
      <c r="A17" s="1291" t="s">
        <v>7</v>
      </c>
      <c r="B17" s="1292">
        <v>1611</v>
      </c>
      <c r="C17" s="330"/>
      <c r="D17" s="330"/>
      <c r="E17" s="330"/>
      <c r="F17" s="330"/>
    </row>
    <row r="18" spans="1:6">
      <c r="A18" s="1291" t="s">
        <v>8</v>
      </c>
      <c r="B18" s="1292">
        <v>1944</v>
      </c>
      <c r="C18" s="330"/>
      <c r="D18" s="330"/>
      <c r="E18" s="330"/>
      <c r="F18" s="330"/>
    </row>
    <row r="19" spans="1:6">
      <c r="A19" s="1291" t="s">
        <v>9</v>
      </c>
      <c r="B19" s="1292">
        <v>1761</v>
      </c>
      <c r="C19" s="330"/>
      <c r="D19" s="330"/>
      <c r="E19" s="330"/>
      <c r="F19" s="330"/>
    </row>
    <row r="20" spans="1:6">
      <c r="A20" s="1291" t="s">
        <v>10</v>
      </c>
      <c r="B20" s="1292">
        <v>1293</v>
      </c>
      <c r="C20" s="330"/>
      <c r="D20" s="330"/>
      <c r="E20" s="330"/>
      <c r="F20" s="330"/>
    </row>
    <row r="21" spans="1:6">
      <c r="A21" s="1291" t="s">
        <v>11</v>
      </c>
      <c r="B21" s="1292">
        <v>3505</v>
      </c>
      <c r="C21" s="330"/>
      <c r="D21" s="330"/>
      <c r="E21" s="330"/>
      <c r="F21" s="330"/>
    </row>
    <row r="22" spans="1:6">
      <c r="A22" s="1291" t="s">
        <v>12</v>
      </c>
      <c r="B22" s="1292">
        <v>6325</v>
      </c>
      <c r="C22" s="330"/>
      <c r="D22" s="330"/>
      <c r="E22" s="330"/>
      <c r="F22" s="330"/>
    </row>
    <row r="23" spans="1:6">
      <c r="A23" s="1291" t="s">
        <v>13</v>
      </c>
      <c r="B23" s="1292">
        <v>137</v>
      </c>
      <c r="C23" s="330"/>
      <c r="D23" s="330"/>
      <c r="E23" s="330"/>
      <c r="F23" s="330"/>
    </row>
    <row r="24" spans="1:6">
      <c r="A24" s="1291" t="s">
        <v>14</v>
      </c>
      <c r="B24" s="1292">
        <v>21</v>
      </c>
      <c r="C24" s="330"/>
      <c r="D24" s="330"/>
      <c r="E24" s="330"/>
      <c r="F24" s="330"/>
    </row>
    <row r="25" spans="1:6">
      <c r="A25" s="1291" t="s">
        <v>15</v>
      </c>
      <c r="B25" s="1292">
        <v>741</v>
      </c>
      <c r="C25" s="330"/>
      <c r="D25" s="330"/>
      <c r="E25" s="330"/>
      <c r="F25" s="330"/>
    </row>
    <row r="26" spans="1:6">
      <c r="A26" s="1291" t="s">
        <v>16</v>
      </c>
      <c r="B26" s="1292">
        <v>515</v>
      </c>
      <c r="C26" s="330"/>
      <c r="D26" s="330"/>
      <c r="E26" s="330"/>
      <c r="F26" s="330"/>
    </row>
    <row r="27" spans="1:6">
      <c r="A27" s="1291" t="s">
        <v>17</v>
      </c>
      <c r="B27" s="1292">
        <v>5</v>
      </c>
      <c r="C27" s="330"/>
      <c r="D27" s="330"/>
      <c r="E27" s="330"/>
      <c r="F27" s="330"/>
    </row>
    <row r="28" spans="1:6" s="43" customFormat="1">
      <c r="A28" s="1293" t="s">
        <v>18</v>
      </c>
      <c r="B28" s="1294">
        <v>8165</v>
      </c>
      <c r="C28" s="336"/>
      <c r="D28" s="336"/>
      <c r="E28" s="336"/>
      <c r="F28" s="336"/>
    </row>
    <row r="29" spans="1:6">
      <c r="A29" s="1293" t="s">
        <v>892</v>
      </c>
      <c r="B29" s="1294">
        <v>210</v>
      </c>
      <c r="C29" s="336"/>
      <c r="D29" s="336"/>
      <c r="E29" s="336"/>
      <c r="F29" s="336"/>
    </row>
    <row r="30" spans="1:6">
      <c r="A30" s="1286" t="s">
        <v>893</v>
      </c>
      <c r="B30" s="1295">
        <v>25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5946</v>
      </c>
    </row>
    <row r="39" spans="1:6">
      <c r="A39" s="1291" t="s">
        <v>29</v>
      </c>
      <c r="B39" s="1291" t="s">
        <v>30</v>
      </c>
      <c r="C39" s="1292">
        <v>549</v>
      </c>
      <c r="D39" s="1292">
        <v>8762627.3282999992</v>
      </c>
      <c r="E39" s="1292">
        <v>1017</v>
      </c>
      <c r="F39" s="1292">
        <v>4780267.835</v>
      </c>
    </row>
    <row r="40" spans="1:6">
      <c r="A40" s="1291" t="s">
        <v>29</v>
      </c>
      <c r="B40" s="1291" t="s">
        <v>28</v>
      </c>
      <c r="C40" s="1292">
        <v>0</v>
      </c>
      <c r="D40" s="1292">
        <v>0</v>
      </c>
      <c r="E40" s="1292">
        <v>0</v>
      </c>
      <c r="F40" s="1292">
        <v>0</v>
      </c>
    </row>
    <row r="41" spans="1:6">
      <c r="A41" s="1291" t="s">
        <v>31</v>
      </c>
      <c r="B41" s="1291" t="s">
        <v>32</v>
      </c>
      <c r="C41" s="1292">
        <v>20</v>
      </c>
      <c r="D41" s="1292">
        <v>205289.77162000001</v>
      </c>
      <c r="E41" s="1292">
        <v>45</v>
      </c>
      <c r="F41" s="1292">
        <v>215242.21479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13</v>
      </c>
      <c r="D48" s="1292">
        <v>288701.37793999998</v>
      </c>
      <c r="E48" s="1292">
        <v>19</v>
      </c>
      <c r="F48" s="1292">
        <v>164668.89783</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71</v>
      </c>
      <c r="F51" s="1292">
        <v>1182145.584</v>
      </c>
    </row>
    <row r="52" spans="1:6">
      <c r="A52" s="1291" t="s">
        <v>41</v>
      </c>
      <c r="B52" s="1291" t="s">
        <v>28</v>
      </c>
      <c r="C52" s="1292">
        <v>5</v>
      </c>
      <c r="D52" s="1292">
        <v>46955.841825000003</v>
      </c>
      <c r="E52" s="1292">
        <v>4</v>
      </c>
      <c r="F52" s="1292">
        <v>178038.80762000001</v>
      </c>
    </row>
    <row r="53" spans="1:6">
      <c r="A53" s="1291" t="s">
        <v>43</v>
      </c>
      <c r="B53" s="1291" t="s">
        <v>44</v>
      </c>
      <c r="C53" s="1292">
        <v>26</v>
      </c>
      <c r="D53" s="1292">
        <v>422482.03301999997</v>
      </c>
      <c r="E53" s="1292">
        <v>59</v>
      </c>
      <c r="F53" s="1292">
        <v>249555.06163000001</v>
      </c>
    </row>
    <row r="54" spans="1:6">
      <c r="A54" s="1291" t="s">
        <v>45</v>
      </c>
      <c r="B54" s="1291" t="s">
        <v>46</v>
      </c>
      <c r="C54" s="1292">
        <v>0</v>
      </c>
      <c r="D54" s="1292">
        <v>0</v>
      </c>
      <c r="E54" s="1292">
        <v>1</v>
      </c>
      <c r="F54" s="1292">
        <v>309715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v>
      </c>
      <c r="D57" s="1292">
        <v>97189.157235000006</v>
      </c>
      <c r="E57" s="1292">
        <v>18</v>
      </c>
      <c r="F57" s="1292">
        <v>213822.36215</v>
      </c>
    </row>
    <row r="58" spans="1:6">
      <c r="A58" s="1291" t="s">
        <v>48</v>
      </c>
      <c r="B58" s="1291" t="s">
        <v>50</v>
      </c>
      <c r="C58" s="1292">
        <v>0</v>
      </c>
      <c r="D58" s="1292">
        <v>0</v>
      </c>
      <c r="E58" s="1292">
        <v>6</v>
      </c>
      <c r="F58" s="1292">
        <v>34500.527122</v>
      </c>
    </row>
    <row r="59" spans="1:6">
      <c r="A59" s="1291" t="s">
        <v>48</v>
      </c>
      <c r="B59" s="1291" t="s">
        <v>51</v>
      </c>
      <c r="C59" s="1292">
        <v>0</v>
      </c>
      <c r="D59" s="1292">
        <v>0</v>
      </c>
      <c r="E59" s="1292">
        <v>19</v>
      </c>
      <c r="F59" s="1292">
        <v>126864.1814</v>
      </c>
    </row>
    <row r="60" spans="1:6">
      <c r="A60" s="1291" t="s">
        <v>48</v>
      </c>
      <c r="B60" s="1291" t="s">
        <v>52</v>
      </c>
      <c r="C60" s="1292">
        <v>5</v>
      </c>
      <c r="D60" s="1292">
        <v>136756.48178999999</v>
      </c>
      <c r="E60" s="1292">
        <v>24</v>
      </c>
      <c r="F60" s="1292">
        <v>644734.31287000002</v>
      </c>
    </row>
    <row r="61" spans="1:6">
      <c r="A61" s="1291" t="s">
        <v>48</v>
      </c>
      <c r="B61" s="1291" t="s">
        <v>53</v>
      </c>
      <c r="C61" s="1292">
        <v>26</v>
      </c>
      <c r="D61" s="1292">
        <v>603551.72652999999</v>
      </c>
      <c r="E61" s="1292">
        <v>43</v>
      </c>
      <c r="F61" s="1292">
        <v>420711.07838999998</v>
      </c>
    </row>
    <row r="62" spans="1:6">
      <c r="A62" s="1291" t="s">
        <v>48</v>
      </c>
      <c r="B62" s="1291" t="s">
        <v>54</v>
      </c>
      <c r="C62" s="1292">
        <v>0</v>
      </c>
      <c r="D62" s="1292">
        <v>0</v>
      </c>
      <c r="E62" s="1292">
        <v>0</v>
      </c>
      <c r="F62" s="1292">
        <v>0</v>
      </c>
    </row>
    <row r="63" spans="1:6">
      <c r="A63" s="1291" t="s">
        <v>48</v>
      </c>
      <c r="B63" s="1291" t="s">
        <v>28</v>
      </c>
      <c r="C63" s="1292">
        <v>41</v>
      </c>
      <c r="D63" s="1292">
        <v>1194397.7683999999</v>
      </c>
      <c r="E63" s="1292">
        <v>55</v>
      </c>
      <c r="F63" s="1292">
        <v>791097.27963999996</v>
      </c>
    </row>
    <row r="64" spans="1:6">
      <c r="A64" s="1291" t="s">
        <v>55</v>
      </c>
      <c r="B64" s="1291" t="s">
        <v>56</v>
      </c>
      <c r="C64" s="1292">
        <v>0</v>
      </c>
      <c r="D64" s="1292">
        <v>0</v>
      </c>
      <c r="E64" s="1292">
        <v>0</v>
      </c>
      <c r="F64" s="1292">
        <v>0</v>
      </c>
    </row>
    <row r="65" spans="1:6">
      <c r="A65" s="1291" t="s">
        <v>55</v>
      </c>
      <c r="B65" s="1291" t="s">
        <v>28</v>
      </c>
      <c r="C65" s="1292">
        <v>1</v>
      </c>
      <c r="D65" s="1292">
        <v>14953.254106</v>
      </c>
      <c r="E65" s="1292">
        <v>3</v>
      </c>
      <c r="F65" s="1292">
        <v>36118.456398000002</v>
      </c>
    </row>
    <row r="66" spans="1:6">
      <c r="A66" s="1291" t="s">
        <v>55</v>
      </c>
      <c r="B66" s="1291" t="s">
        <v>57</v>
      </c>
      <c r="C66" s="1292">
        <v>0</v>
      </c>
      <c r="D66" s="1292">
        <v>0</v>
      </c>
      <c r="E66" s="1292">
        <v>10</v>
      </c>
      <c r="F66" s="1292">
        <v>153106.72935000001</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63938001</v>
      </c>
      <c r="E73" s="449"/>
      <c r="F73" s="330"/>
    </row>
    <row r="74" spans="1:6">
      <c r="A74" s="1291" t="s">
        <v>63</v>
      </c>
      <c r="B74" s="1291" t="s">
        <v>664</v>
      </c>
      <c r="C74" s="1305" t="s">
        <v>666</v>
      </c>
      <c r="D74" s="1306">
        <v>8017104.5965636214</v>
      </c>
      <c r="E74" s="449"/>
      <c r="F74" s="330"/>
    </row>
    <row r="75" spans="1:6">
      <c r="A75" s="1291" t="s">
        <v>64</v>
      </c>
      <c r="B75" s="1291" t="s">
        <v>663</v>
      </c>
      <c r="C75" s="1305" t="s">
        <v>667</v>
      </c>
      <c r="D75" s="1306">
        <v>2809168</v>
      </c>
      <c r="E75" s="449"/>
      <c r="F75" s="330"/>
    </row>
    <row r="76" spans="1:6">
      <c r="A76" s="1291" t="s">
        <v>64</v>
      </c>
      <c r="B76" s="1291" t="s">
        <v>664</v>
      </c>
      <c r="C76" s="1305" t="s">
        <v>668</v>
      </c>
      <c r="D76" s="1306">
        <v>519852.59656362131</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180684.80687275738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1032.7460332364888</v>
      </c>
      <c r="C91" s="330"/>
      <c r="D91" s="330"/>
      <c r="E91" s="330"/>
      <c r="F91" s="330"/>
    </row>
    <row r="92" spans="1:6">
      <c r="A92" s="1286" t="s">
        <v>68</v>
      </c>
      <c r="B92" s="1287">
        <v>655.88953947858147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295</v>
      </c>
      <c r="C97" s="330"/>
      <c r="D97" s="330"/>
      <c r="E97" s="330"/>
      <c r="F97" s="330"/>
    </row>
    <row r="98" spans="1:6">
      <c r="A98" s="1291" t="s">
        <v>71</v>
      </c>
      <c r="B98" s="1292">
        <v>0</v>
      </c>
      <c r="C98" s="330"/>
      <c r="D98" s="330"/>
      <c r="E98" s="330"/>
      <c r="F98" s="330"/>
    </row>
    <row r="99" spans="1:6">
      <c r="A99" s="1291" t="s">
        <v>72</v>
      </c>
      <c r="B99" s="1292">
        <v>47</v>
      </c>
      <c r="C99" s="330"/>
      <c r="D99" s="330"/>
      <c r="E99" s="330"/>
      <c r="F99" s="330"/>
    </row>
    <row r="100" spans="1:6">
      <c r="A100" s="1291" t="s">
        <v>73</v>
      </c>
      <c r="B100" s="1292">
        <v>134</v>
      </c>
      <c r="C100" s="330"/>
      <c r="D100" s="330"/>
      <c r="E100" s="330"/>
      <c r="F100" s="330"/>
    </row>
    <row r="101" spans="1:6">
      <c r="A101" s="1291" t="s">
        <v>74</v>
      </c>
      <c r="B101" s="1292">
        <v>48</v>
      </c>
      <c r="C101" s="330"/>
      <c r="D101" s="330"/>
      <c r="E101" s="330"/>
      <c r="F101" s="330"/>
    </row>
    <row r="102" spans="1:6">
      <c r="A102" s="1291" t="s">
        <v>75</v>
      </c>
      <c r="B102" s="1292">
        <v>20</v>
      </c>
      <c r="C102" s="330"/>
      <c r="D102" s="330"/>
      <c r="E102" s="330"/>
      <c r="F102" s="330"/>
    </row>
    <row r="103" spans="1:6">
      <c r="A103" s="1291" t="s">
        <v>76</v>
      </c>
      <c r="B103" s="1292">
        <v>47</v>
      </c>
      <c r="C103" s="330"/>
      <c r="D103" s="330"/>
      <c r="E103" s="330"/>
      <c r="F103" s="330"/>
    </row>
    <row r="104" spans="1:6">
      <c r="A104" s="1291" t="s">
        <v>77</v>
      </c>
      <c r="B104" s="1292">
        <v>443</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v>
      </c>
      <c r="C123" s="1292">
        <v>2</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40</v>
      </c>
      <c r="C129" s="330"/>
      <c r="D129" s="330"/>
      <c r="E129" s="330"/>
      <c r="F129" s="330"/>
    </row>
    <row r="130" spans="1:6">
      <c r="A130" s="1291" t="s">
        <v>294</v>
      </c>
      <c r="B130" s="1292">
        <v>3</v>
      </c>
      <c r="C130" s="330"/>
      <c r="D130" s="330"/>
      <c r="E130" s="330"/>
      <c r="F130" s="330"/>
    </row>
    <row r="131" spans="1:6">
      <c r="A131" s="1291" t="s">
        <v>295</v>
      </c>
      <c r="B131" s="1292">
        <v>0</v>
      </c>
      <c r="C131" s="330"/>
      <c r="D131" s="330"/>
      <c r="E131" s="330"/>
      <c r="F131" s="330"/>
    </row>
    <row r="132" spans="1:6">
      <c r="A132" s="1286" t="s">
        <v>296</v>
      </c>
      <c r="B132" s="1287">
        <v>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10357.842551246151</v>
      </c>
      <c r="C3" s="43" t="s">
        <v>169</v>
      </c>
      <c r="D3" s="43"/>
      <c r="E3" s="154"/>
      <c r="F3" s="43"/>
      <c r="G3" s="43"/>
      <c r="H3" s="43"/>
      <c r="I3" s="43"/>
      <c r="J3" s="43"/>
      <c r="K3" s="96"/>
    </row>
    <row r="4" spans="1:11">
      <c r="A4" s="358" t="s">
        <v>170</v>
      </c>
      <c r="B4" s="49">
        <f>IF(ISERROR('SEAP template'!B78+'SEAP template'!C78),0,'SEAP template'!B78+'SEAP template'!C78)</f>
        <v>1688.6355727150703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0.18497044464388657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309.71499999999997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309.71499999999997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0.18497044464388657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57.288121262881326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4780.2678349999996</v>
      </c>
      <c r="C5" s="17">
        <f>IF(ISERROR('Eigen informatie GS &amp; warmtenet'!B57),0,'Eigen informatie GS &amp; warmtenet'!B57)</f>
        <v>0</v>
      </c>
      <c r="D5" s="30">
        <f>(SUM(HH_hh_gas_kWh,HH_rest_gas_kWh)/1000)*0.902</f>
        <v>7903.8898501265994</v>
      </c>
      <c r="E5" s="17">
        <f>B46*B57</f>
        <v>5627.8281009858529</v>
      </c>
      <c r="F5" s="17">
        <f>B51*B62</f>
        <v>4370.7013558083536</v>
      </c>
      <c r="G5" s="18"/>
      <c r="H5" s="17"/>
      <c r="I5" s="17"/>
      <c r="J5" s="17">
        <f>B50*B61+C50*C61</f>
        <v>384.5310368686628</v>
      </c>
      <c r="K5" s="17"/>
      <c r="L5" s="17"/>
      <c r="M5" s="17"/>
      <c r="N5" s="17">
        <f>B48*B59+C48*C59</f>
        <v>4593.1037141079014</v>
      </c>
      <c r="O5" s="17">
        <f>B69*B70*B71</f>
        <v>65.660000000000011</v>
      </c>
      <c r="P5" s="17">
        <f>B77*B78*B79/1000-B77*B78*B79/1000/B80</f>
        <v>95.333333333333343</v>
      </c>
    </row>
    <row r="6" spans="1:16">
      <c r="A6" s="16" t="s">
        <v>623</v>
      </c>
      <c r="B6" s="762">
        <f>kWh_PV_kleiner_dan_10kW</f>
        <v>1032.7460332364888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5813.0138682364886</v>
      </c>
      <c r="C8" s="21">
        <f>C5</f>
        <v>0</v>
      </c>
      <c r="D8" s="21">
        <f>D5</f>
        <v>7903.8898501265994</v>
      </c>
      <c r="E8" s="21">
        <f>E5</f>
        <v>5627.8281009858529</v>
      </c>
      <c r="F8" s="21">
        <f>F5</f>
        <v>4370.7013558083536</v>
      </c>
      <c r="G8" s="21"/>
      <c r="H8" s="21"/>
      <c r="I8" s="21"/>
      <c r="J8" s="21">
        <f>J5</f>
        <v>384.5310368686628</v>
      </c>
      <c r="K8" s="21"/>
      <c r="L8" s="21">
        <f>L5</f>
        <v>0</v>
      </c>
      <c r="M8" s="21">
        <f>M5</f>
        <v>0</v>
      </c>
      <c r="N8" s="21">
        <f>N5</f>
        <v>4593.1037141079014</v>
      </c>
      <c r="O8" s="21">
        <f>O5</f>
        <v>65.660000000000011</v>
      </c>
      <c r="P8" s="21">
        <f>P5</f>
        <v>95.333333333333343</v>
      </c>
    </row>
    <row r="9" spans="1:16">
      <c r="B9" s="19"/>
      <c r="C9" s="19"/>
      <c r="D9" s="258"/>
      <c r="E9" s="19"/>
      <c r="F9" s="19"/>
      <c r="G9" s="19"/>
      <c r="H9" s="19"/>
      <c r="I9" s="19"/>
      <c r="J9" s="19"/>
      <c r="K9" s="19"/>
      <c r="L9" s="19"/>
      <c r="M9" s="19"/>
      <c r="N9" s="19"/>
      <c r="O9" s="19"/>
      <c r="P9" s="19"/>
    </row>
    <row r="10" spans="1:16">
      <c r="A10" s="24" t="s">
        <v>213</v>
      </c>
      <c r="B10" s="25">
        <f ca="1">'EF ele_warmte'!B12</f>
        <v>0.18497044464388657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1075.2357599287823</v>
      </c>
      <c r="C12" s="23">
        <f ca="1">C10*C8</f>
        <v>0</v>
      </c>
      <c r="D12" s="23">
        <f>D8*D10</f>
        <v>1596.5857497255731</v>
      </c>
      <c r="E12" s="23">
        <f>E10*E8</f>
        <v>1277.5169789237887</v>
      </c>
      <c r="F12" s="23">
        <f>F10*F8</f>
        <v>1166.9772620008305</v>
      </c>
      <c r="G12" s="23"/>
      <c r="H12" s="23"/>
      <c r="I12" s="23"/>
      <c r="J12" s="23">
        <f>J10*J8</f>
        <v>136.12398705150662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295</v>
      </c>
      <c r="C18" s="166" t="s">
        <v>110</v>
      </c>
      <c r="D18" s="228"/>
      <c r="E18" s="15"/>
    </row>
    <row r="19" spans="1:7">
      <c r="A19" s="171" t="s">
        <v>71</v>
      </c>
      <c r="B19" s="37">
        <f>aantalw2001_ander</f>
        <v>0</v>
      </c>
      <c r="C19" s="166" t="s">
        <v>110</v>
      </c>
      <c r="D19" s="229"/>
      <c r="E19" s="15"/>
    </row>
    <row r="20" spans="1:7">
      <c r="A20" s="171" t="s">
        <v>72</v>
      </c>
      <c r="B20" s="37">
        <f>aantalw2001_propaan</f>
        <v>47</v>
      </c>
      <c r="C20" s="167">
        <f>IF(ISERROR(B20/SUM($B$20,$B$21,$B$22)*100),0,B20/SUM($B$20,$B$21,$B$22)*100)</f>
        <v>20.52401746724891</v>
      </c>
      <c r="D20" s="229"/>
      <c r="E20" s="15"/>
    </row>
    <row r="21" spans="1:7">
      <c r="A21" s="171" t="s">
        <v>73</v>
      </c>
      <c r="B21" s="37">
        <f>aantalw2001_elektriciteit</f>
        <v>134</v>
      </c>
      <c r="C21" s="167">
        <f>IF(ISERROR(B21/SUM($B$20,$B$21,$B$22)*100),0,B21/SUM($B$20,$B$21,$B$22)*100)</f>
        <v>58.515283842794766</v>
      </c>
      <c r="D21" s="229"/>
      <c r="E21" s="15"/>
    </row>
    <row r="22" spans="1:7">
      <c r="A22" s="171" t="s">
        <v>74</v>
      </c>
      <c r="B22" s="37">
        <f>aantalw2001_hout</f>
        <v>48</v>
      </c>
      <c r="C22" s="167">
        <f>IF(ISERROR(B22/SUM($B$20,$B$21,$B$22)*100),0,B22/SUM($B$20,$B$21,$B$22)*100)</f>
        <v>20.960698689956331</v>
      </c>
      <c r="D22" s="229"/>
      <c r="E22" s="15"/>
    </row>
    <row r="23" spans="1:7">
      <c r="A23" s="171" t="s">
        <v>75</v>
      </c>
      <c r="B23" s="37">
        <f>aantalw2001_niet_gespec</f>
        <v>20</v>
      </c>
      <c r="C23" s="166" t="s">
        <v>110</v>
      </c>
      <c r="D23" s="228"/>
      <c r="E23" s="15"/>
    </row>
    <row r="24" spans="1:7">
      <c r="A24" s="171" t="s">
        <v>76</v>
      </c>
      <c r="B24" s="37">
        <f>aantalw2001_steenkool</f>
        <v>47</v>
      </c>
      <c r="C24" s="166" t="s">
        <v>110</v>
      </c>
      <c r="D24" s="229"/>
      <c r="E24" s="15"/>
    </row>
    <row r="25" spans="1:7">
      <c r="A25" s="171" t="s">
        <v>77</v>
      </c>
      <c r="B25" s="37">
        <f>aantalw2001_stookolie</f>
        <v>443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1126</v>
      </c>
      <c r="C28" s="36"/>
      <c r="D28" s="228"/>
    </row>
    <row r="29" spans="1:7" s="15" customFormat="1">
      <c r="A29" s="230" t="s">
        <v>696</v>
      </c>
      <c r="B29" s="37">
        <f>SUM(HH_hh_gas_aantal,HH_rest_gas_aantal)</f>
        <v>549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549</v>
      </c>
      <c r="C32" s="167">
        <f>IF(ISERROR(B32/SUM($B$32,$B$34,$B$35,$B$36,$B$38,$B$39)*100),0,B32/SUM($B$32,$B$34,$B$35,$B$36,$B$38,$B$39)*100)</f>
        <v>48.974130240856375</v>
      </c>
      <c r="D32" s="233"/>
      <c r="G32" s="15"/>
    </row>
    <row r="33" spans="1:7">
      <c r="A33" s="171" t="s">
        <v>71</v>
      </c>
      <c r="B33" s="34" t="s">
        <v>110</v>
      </c>
      <c r="C33" s="167"/>
      <c r="D33" s="233"/>
      <c r="G33" s="15"/>
    </row>
    <row r="34" spans="1:7">
      <c r="A34" s="171" t="s">
        <v>72</v>
      </c>
      <c r="B34" s="33">
        <f>IF((($B$28-$B$32-$B$39-$B$77-$B$38)*C20/100)&lt;0,0,($B$28-$B$32-$B$39-$B$77-$B$38)*C20/100)</f>
        <v>68.960698689956331</v>
      </c>
      <c r="C34" s="167">
        <f>IF(ISERROR(B34/SUM($B$32,$B$34,$B$35,$B$36,$B$38,$B$39)*100),0,B34/SUM($B$32,$B$34,$B$35,$B$36,$B$38,$B$39)*100)</f>
        <v>6.1517126396035984</v>
      </c>
      <c r="D34" s="233"/>
      <c r="G34" s="15"/>
    </row>
    <row r="35" spans="1:7">
      <c r="A35" s="171" t="s">
        <v>73</v>
      </c>
      <c r="B35" s="33">
        <f>IF((($B$28-$B$32-$B$39-$B$77-$B$38)*C21/100)&lt;0,0,($B$28-$B$32-$B$39-$B$77-$B$38)*C21/100)</f>
        <v>196.6113537117904</v>
      </c>
      <c r="C35" s="167">
        <f>IF(ISERROR(B35/SUM($B$32,$B$34,$B$35,$B$36,$B$38,$B$39)*100),0,B35/SUM($B$32,$B$34,$B$35,$B$36,$B$38,$B$39)*100)</f>
        <v>17.538925398018769</v>
      </c>
      <c r="D35" s="233"/>
      <c r="G35" s="15"/>
    </row>
    <row r="36" spans="1:7">
      <c r="A36" s="171" t="s">
        <v>74</v>
      </c>
      <c r="B36" s="33">
        <f>IF((($B$28-$B$32-$B$39-$B$77-$B$38)*C22/100)&lt;0,0,($B$28-$B$32-$B$39-$B$77-$B$38)*C22/100)</f>
        <v>70.427947598253269</v>
      </c>
      <c r="C36" s="167">
        <f>IF(ISERROR(B36/SUM($B$32,$B$34,$B$35,$B$36,$B$38,$B$39)*100),0,B36/SUM($B$32,$B$34,$B$35,$B$36,$B$38,$B$39)*100)</f>
        <v>6.2826001425738864</v>
      </c>
      <c r="D36" s="233"/>
      <c r="G36" s="15"/>
    </row>
    <row r="37" spans="1:7">
      <c r="A37" s="171" t="s">
        <v>75</v>
      </c>
      <c r="B37" s="34" t="s">
        <v>110</v>
      </c>
      <c r="C37" s="167"/>
      <c r="D37" s="173"/>
      <c r="G37" s="15"/>
    </row>
    <row r="38" spans="1:7">
      <c r="A38" s="171" t="s">
        <v>76</v>
      </c>
      <c r="B38" s="33">
        <f>IF((B24-(B29-B18)*0.1)&lt;0,0,B24-(B29-B18)*0.1)</f>
        <v>21.599999999999998</v>
      </c>
      <c r="C38" s="167">
        <f>IF(ISERROR(B38/SUM($B$32,$B$34,$B$35,$B$36,$B$38,$B$39)*100),0,B38/SUM($B$32,$B$34,$B$35,$B$36,$B$38,$B$39)*100)</f>
        <v>1.9268510258697591</v>
      </c>
      <c r="D38" s="234"/>
      <c r="G38" s="15"/>
    </row>
    <row r="39" spans="1:7">
      <c r="A39" s="171" t="s">
        <v>77</v>
      </c>
      <c r="B39" s="33">
        <f>IF((B25-(B29-B18))&lt;0,0,B25-(B29-B18)*0.9)</f>
        <v>214.4</v>
      </c>
      <c r="C39" s="167">
        <f>IF(ISERROR(B39/SUM($B$32,$B$34,$B$35,$B$36,$B$38,$B$39)*100),0,B39/SUM($B$32,$B$34,$B$35,$B$36,$B$38,$B$39)*100)</f>
        <v>19.125780553077611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549</v>
      </c>
      <c r="C44" s="34" t="s">
        <v>110</v>
      </c>
      <c r="D44" s="174"/>
    </row>
    <row r="45" spans="1:7">
      <c r="A45" s="171" t="s">
        <v>71</v>
      </c>
      <c r="B45" s="33" t="str">
        <f t="shared" si="0"/>
        <v>-</v>
      </c>
      <c r="C45" s="34" t="s">
        <v>110</v>
      </c>
      <c r="D45" s="174"/>
    </row>
    <row r="46" spans="1:7">
      <c r="A46" s="171" t="s">
        <v>72</v>
      </c>
      <c r="B46" s="33">
        <f t="shared" si="0"/>
        <v>68.960698689956331</v>
      </c>
      <c r="C46" s="34" t="s">
        <v>110</v>
      </c>
      <c r="D46" s="174"/>
    </row>
    <row r="47" spans="1:7">
      <c r="A47" s="171" t="s">
        <v>73</v>
      </c>
      <c r="B47" s="33">
        <f t="shared" si="0"/>
        <v>196.6113537117904</v>
      </c>
      <c r="C47" s="34" t="s">
        <v>110</v>
      </c>
      <c r="D47" s="174"/>
    </row>
    <row r="48" spans="1:7">
      <c r="A48" s="171" t="s">
        <v>74</v>
      </c>
      <c r="B48" s="33">
        <f t="shared" si="0"/>
        <v>70.427947598253269</v>
      </c>
      <c r="C48" s="33">
        <f>B48*10</f>
        <v>704.27947598253263</v>
      </c>
      <c r="D48" s="234"/>
    </row>
    <row r="49" spans="1:6">
      <c r="A49" s="171" t="s">
        <v>75</v>
      </c>
      <c r="B49" s="33" t="str">
        <f t="shared" si="0"/>
        <v>-</v>
      </c>
      <c r="C49" s="34" t="s">
        <v>110</v>
      </c>
      <c r="D49" s="234"/>
    </row>
    <row r="50" spans="1:6">
      <c r="A50" s="171" t="s">
        <v>76</v>
      </c>
      <c r="B50" s="33">
        <f t="shared" si="0"/>
        <v>21.599999999999998</v>
      </c>
      <c r="C50" s="33">
        <f>B50*2</f>
        <v>43.199999999999996</v>
      </c>
      <c r="D50" s="234"/>
    </row>
    <row r="51" spans="1:6">
      <c r="A51" s="171" t="s">
        <v>77</v>
      </c>
      <c r="B51" s="33">
        <f t="shared" si="0"/>
        <v>214.4</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2231.729741572</v>
      </c>
      <c r="C5" s="17">
        <f>IF(ISERROR('Eigen informatie GS &amp; warmtenet'!B58),0,'Eigen informatie GS &amp; warmtenet'!B58)</f>
        <v>0</v>
      </c>
      <c r="D5" s="30">
        <f>SUM(D6:D12)</f>
        <v>1832.76941082741</v>
      </c>
      <c r="E5" s="17">
        <f>SUM(E6:E12)</f>
        <v>45.102856696195239</v>
      </c>
      <c r="F5" s="17">
        <f>SUM(F6:F12)</f>
        <v>667.59499179259706</v>
      </c>
      <c r="G5" s="18"/>
      <c r="H5" s="17"/>
      <c r="I5" s="17"/>
      <c r="J5" s="17">
        <f>SUM(J6:J12)</f>
        <v>0</v>
      </c>
      <c r="K5" s="17"/>
      <c r="L5" s="17"/>
      <c r="M5" s="17"/>
      <c r="N5" s="17">
        <f>SUM(N6:N12)</f>
        <v>239.44749637206198</v>
      </c>
      <c r="O5" s="17">
        <f>B38*B39*B40</f>
        <v>4.6900000000000004</v>
      </c>
      <c r="P5" s="17">
        <f>B46*B47*B48/1000-B46*B47*B48/1000/B49</f>
        <v>0</v>
      </c>
      <c r="R5" s="32"/>
    </row>
    <row r="6" spans="1:18">
      <c r="A6" s="32" t="s">
        <v>53</v>
      </c>
      <c r="B6" s="37">
        <f>B26</f>
        <v>420.71107838999995</v>
      </c>
      <c r="C6" s="33"/>
      <c r="D6" s="37">
        <f>IF(ISERROR(TER_kantoor_gas_kWh/1000),0,TER_kantoor_gas_kWh/1000)*0.902</f>
        <v>544.40365733006001</v>
      </c>
      <c r="E6" s="33">
        <f>$C$26*'E Balans VL '!I12/100/3.6*1000000</f>
        <v>5.5076262570266588</v>
      </c>
      <c r="F6" s="33">
        <f>$C$26*('E Balans VL '!L12+'E Balans VL '!N12)/100/3.6*1000000</f>
        <v>107.27697752356505</v>
      </c>
      <c r="G6" s="34"/>
      <c r="H6" s="33"/>
      <c r="I6" s="33"/>
      <c r="J6" s="33">
        <f>$C$26*('E Balans VL '!D12+'E Balans VL '!E12)/100/3.6*1000000</f>
        <v>0</v>
      </c>
      <c r="K6" s="33"/>
      <c r="L6" s="33"/>
      <c r="M6" s="33"/>
      <c r="N6" s="33">
        <f>$C$26*'E Balans VL '!Y12/100/3.6*1000000</f>
        <v>0.42212780041201103</v>
      </c>
      <c r="O6" s="33"/>
      <c r="P6" s="33"/>
      <c r="R6" s="32"/>
    </row>
    <row r="7" spans="1:18">
      <c r="A7" s="32" t="s">
        <v>52</v>
      </c>
      <c r="B7" s="37">
        <f t="shared" ref="B7:B12" si="0">B27</f>
        <v>644.73431287000005</v>
      </c>
      <c r="C7" s="33"/>
      <c r="D7" s="37">
        <f>IF(ISERROR(TER_horeca_gas_kWh/1000),0,TER_horeca_gas_kWh/1000)*0.902</f>
        <v>123.35434657457999</v>
      </c>
      <c r="E7" s="33">
        <f>$C$27*'E Balans VL '!I9/100/3.6*1000000</f>
        <v>21.336783968731854</v>
      </c>
      <c r="F7" s="33">
        <f>$C$27*('E Balans VL '!L9+'E Balans VL '!N9)/100/3.6*1000000</f>
        <v>277.2332836129147</v>
      </c>
      <c r="G7" s="34"/>
      <c r="H7" s="33"/>
      <c r="I7" s="33"/>
      <c r="J7" s="33">
        <f>$C$27*('E Balans VL '!D9+'E Balans VL '!E9)/100/3.6*1000000</f>
        <v>0</v>
      </c>
      <c r="K7" s="33"/>
      <c r="L7" s="33"/>
      <c r="M7" s="33"/>
      <c r="N7" s="33">
        <f>$C$27*'E Balans VL '!Y9/100/3.6*1000000</f>
        <v>0.15519691167748853</v>
      </c>
      <c r="O7" s="33"/>
      <c r="P7" s="33"/>
      <c r="R7" s="32"/>
    </row>
    <row r="8" spans="1:18">
      <c r="A8" s="6" t="s">
        <v>51</v>
      </c>
      <c r="B8" s="37">
        <f t="shared" si="0"/>
        <v>126.86418140000001</v>
      </c>
      <c r="C8" s="33"/>
      <c r="D8" s="37">
        <f>IF(ISERROR(TER_handel_gas_kWh/1000),0,TER_handel_gas_kWh/1000)*0.902</f>
        <v>0</v>
      </c>
      <c r="E8" s="33">
        <f>$C$28*'E Balans VL '!I13/100/3.6*1000000</f>
        <v>4.0040274076831439</v>
      </c>
      <c r="F8" s="33">
        <f>$C$28*('E Balans VL '!L13+'E Balans VL '!N13)/100/3.6*1000000</f>
        <v>24.880299912079192</v>
      </c>
      <c r="G8" s="34"/>
      <c r="H8" s="33"/>
      <c r="I8" s="33"/>
      <c r="J8" s="33">
        <f>$C$28*('E Balans VL '!D13+'E Balans VL '!E13)/100/3.6*1000000</f>
        <v>0</v>
      </c>
      <c r="K8" s="33"/>
      <c r="L8" s="33"/>
      <c r="M8" s="33"/>
      <c r="N8" s="33">
        <f>$C$28*'E Balans VL '!Y13/100/3.6*1000000</f>
        <v>0.15056315294335518</v>
      </c>
      <c r="O8" s="33"/>
      <c r="P8" s="33"/>
      <c r="R8" s="32"/>
    </row>
    <row r="9" spans="1:18">
      <c r="A9" s="32" t="s">
        <v>50</v>
      </c>
      <c r="B9" s="37">
        <f t="shared" si="0"/>
        <v>34.500527122000001</v>
      </c>
      <c r="C9" s="33"/>
      <c r="D9" s="37">
        <f>IF(ISERROR(TER_gezond_gas_kWh/1000),0,TER_gezond_gas_kWh/1000)*0.902</f>
        <v>0</v>
      </c>
      <c r="E9" s="33">
        <f>$C$29*'E Balans VL '!I10/100/3.6*1000000</f>
        <v>4.4170767621426891E-3</v>
      </c>
      <c r="F9" s="33">
        <f>$C$29*('E Balans VL '!L10+'E Balans VL '!N10)/100/3.6*1000000</f>
        <v>7.1879058491251602</v>
      </c>
      <c r="G9" s="34"/>
      <c r="H9" s="33"/>
      <c r="I9" s="33"/>
      <c r="J9" s="33">
        <f>$C$29*('E Balans VL '!D10+'E Balans VL '!E10)/100/3.6*1000000</f>
        <v>0</v>
      </c>
      <c r="K9" s="33"/>
      <c r="L9" s="33"/>
      <c r="M9" s="33"/>
      <c r="N9" s="33">
        <f>$C$29*'E Balans VL '!Y10/100/3.6*1000000</f>
        <v>0.40522499814083329</v>
      </c>
      <c r="O9" s="33"/>
      <c r="P9" s="33"/>
      <c r="R9" s="32"/>
    </row>
    <row r="10" spans="1:18">
      <c r="A10" s="32" t="s">
        <v>49</v>
      </c>
      <c r="B10" s="37">
        <f t="shared" si="0"/>
        <v>213.82236215</v>
      </c>
      <c r="C10" s="33"/>
      <c r="D10" s="37">
        <f>IF(ISERROR(TER_ander_gas_kWh/1000),0,TER_ander_gas_kWh/1000)*0.902</f>
        <v>87.664619825970007</v>
      </c>
      <c r="E10" s="33">
        <f>$C$30*'E Balans VL '!I14/100/3.6*1000000</f>
        <v>0.32153854901209444</v>
      </c>
      <c r="F10" s="33">
        <f>$C$30*('E Balans VL '!L14+'E Balans VL '!N14)/100/3.6*1000000</f>
        <v>47.205085085049177</v>
      </c>
      <c r="G10" s="34"/>
      <c r="H10" s="33"/>
      <c r="I10" s="33"/>
      <c r="J10" s="33">
        <f>$C$30*('E Balans VL '!D14+'E Balans VL '!E14)/100/3.6*1000000</f>
        <v>0</v>
      </c>
      <c r="K10" s="33"/>
      <c r="L10" s="33"/>
      <c r="M10" s="33"/>
      <c r="N10" s="33">
        <f>$C$30*'E Balans VL '!Y14/100/3.6*1000000</f>
        <v>168.50641107662693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791.09727964000001</v>
      </c>
      <c r="C12" s="33"/>
      <c r="D12" s="37">
        <f>IF(ISERROR(TER_rest_gas_kWh/1000),0,TER_rest_gas_kWh/1000)*0.902</f>
        <v>1077.3467870968</v>
      </c>
      <c r="E12" s="33">
        <f>$C$32*'E Balans VL '!I8/100/3.6*1000000</f>
        <v>13.928463436979349</v>
      </c>
      <c r="F12" s="33">
        <f>$C$32*('E Balans VL '!L8+'E Balans VL '!N8)/100/3.6*1000000</f>
        <v>203.81143980986383</v>
      </c>
      <c r="G12" s="34"/>
      <c r="H12" s="33"/>
      <c r="I12" s="33"/>
      <c r="J12" s="33">
        <f>$C$32*('E Balans VL '!D8+'E Balans VL '!E8)/100/3.6*1000000</f>
        <v>0</v>
      </c>
      <c r="K12" s="33"/>
      <c r="L12" s="33"/>
      <c r="M12" s="33"/>
      <c r="N12" s="33">
        <f>$C$32*'E Balans VL '!Y8/100/3.6*1000000</f>
        <v>69.807972432261352</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2231.729741572</v>
      </c>
      <c r="C16" s="21">
        <f t="shared" ca="1" si="1"/>
        <v>0</v>
      </c>
      <c r="D16" s="21">
        <f t="shared" ca="1" si="1"/>
        <v>1832.76941082741</v>
      </c>
      <c r="E16" s="21">
        <f t="shared" si="1"/>
        <v>45.102856696195239</v>
      </c>
      <c r="F16" s="21">
        <f t="shared" ca="1" si="1"/>
        <v>667.59499179259706</v>
      </c>
      <c r="G16" s="21">
        <f t="shared" si="1"/>
        <v>0</v>
      </c>
      <c r="H16" s="21">
        <f t="shared" si="1"/>
        <v>0</v>
      </c>
      <c r="I16" s="21">
        <f t="shared" si="1"/>
        <v>0</v>
      </c>
      <c r="J16" s="21">
        <f t="shared" si="1"/>
        <v>0</v>
      </c>
      <c r="K16" s="21">
        <f t="shared" si="1"/>
        <v>0</v>
      </c>
      <c r="L16" s="21">
        <f t="shared" ca="1" si="1"/>
        <v>0</v>
      </c>
      <c r="M16" s="21">
        <f t="shared" si="1"/>
        <v>0</v>
      </c>
      <c r="N16" s="21">
        <f t="shared" ca="1" si="1"/>
        <v>239.44749637206198</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0.18497044464388657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412.80404262355887</v>
      </c>
      <c r="C20" s="23">
        <f t="shared" ref="C20:P20" ca="1" si="2">C16*C18</f>
        <v>0</v>
      </c>
      <c r="D20" s="23">
        <f t="shared" ca="1" si="2"/>
        <v>370.21942098713686</v>
      </c>
      <c r="E20" s="23">
        <f t="shared" si="2"/>
        <v>10.238348470036319</v>
      </c>
      <c r="F20" s="23">
        <f t="shared" ca="1" si="2"/>
        <v>178.24786280862344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420.71107838999995</v>
      </c>
      <c r="C26" s="39">
        <f>IF(ISERROR(B26*3.6/1000000/'E Balans VL '!Z12*100),0,B26*3.6/1000000/'E Balans VL '!Z12*100)</f>
        <v>9.0119581368236935E-3</v>
      </c>
      <c r="D26" s="237" t="s">
        <v>659</v>
      </c>
      <c r="F26" s="6"/>
    </row>
    <row r="27" spans="1:18">
      <c r="A27" s="231" t="s">
        <v>52</v>
      </c>
      <c r="B27" s="33">
        <f>IF(ISERROR(TER_horeca_ele_kWh/1000),0,TER_horeca_ele_kWh/1000)</f>
        <v>644.73431287000005</v>
      </c>
      <c r="C27" s="39">
        <f>IF(ISERROR(B27*3.6/1000000/'E Balans VL '!Z9*100),0,B27*3.6/1000000/'E Balans VL '!Z9*100)</f>
        <v>5.1737687534220977E-2</v>
      </c>
      <c r="D27" s="237" t="s">
        <v>659</v>
      </c>
      <c r="F27" s="6"/>
    </row>
    <row r="28" spans="1:18">
      <c r="A28" s="171" t="s">
        <v>51</v>
      </c>
      <c r="B28" s="33">
        <f>IF(ISERROR(TER_handel_ele_kWh/1000),0,TER_handel_ele_kWh/1000)</f>
        <v>126.86418140000001</v>
      </c>
      <c r="C28" s="39">
        <f>IF(ISERROR(B28*3.6/1000000/'E Balans VL '!Z13*100),0,B28*3.6/1000000/'E Balans VL '!Z13*100)</f>
        <v>3.7417656873796456E-3</v>
      </c>
      <c r="D28" s="237" t="s">
        <v>659</v>
      </c>
      <c r="F28" s="6"/>
    </row>
    <row r="29" spans="1:18">
      <c r="A29" s="231" t="s">
        <v>50</v>
      </c>
      <c r="B29" s="33">
        <f>IF(ISERROR(TER_gezond_ele_kWh/1000),0,TER_gezond_ele_kWh/1000)</f>
        <v>34.500527122000001</v>
      </c>
      <c r="C29" s="39">
        <f>IF(ISERROR(B29*3.6/1000000/'E Balans VL '!Z10*100),0,B29*3.6/1000000/'E Balans VL '!Z10*100)</f>
        <v>3.6837313028104768E-3</v>
      </c>
      <c r="D29" s="237" t="s">
        <v>659</v>
      </c>
      <c r="F29" s="6"/>
    </row>
    <row r="30" spans="1:18">
      <c r="A30" s="231" t="s">
        <v>49</v>
      </c>
      <c r="B30" s="33">
        <f>IF(ISERROR(TER_ander_ele_kWh/1000),0,TER_ander_ele_kWh/1000)</f>
        <v>213.82236215</v>
      </c>
      <c r="C30" s="39">
        <f>IF(ISERROR(B30*3.6/1000000/'E Balans VL '!Z14*100),0,B30*3.6/1000000/'E Balans VL '!Z14*100)</f>
        <v>1.6150842659737114E-2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791.09727964000001</v>
      </c>
      <c r="C32" s="39">
        <f>IF(ISERROR(B32*3.6/1000000/'E Balans VL '!Z8*100),0,B32*3.6/1000000/'E Balans VL '!Z8*100)</f>
        <v>6.5592980432304599E-3</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379.91111261999998</v>
      </c>
      <c r="C5" s="17">
        <f>IF(ISERROR('Eigen informatie GS &amp; warmtenet'!B59),0,'Eigen informatie GS &amp; warmtenet'!B59)</f>
        <v>0</v>
      </c>
      <c r="D5" s="30">
        <f>SUM(D6:D15)</f>
        <v>445.58001690312005</v>
      </c>
      <c r="E5" s="17">
        <f>SUM(E6:E15)</f>
        <v>63.862000195287763</v>
      </c>
      <c r="F5" s="17">
        <f>SUM(F6:F15)</f>
        <v>221.19757443371427</v>
      </c>
      <c r="G5" s="18"/>
      <c r="H5" s="17"/>
      <c r="I5" s="17"/>
      <c r="J5" s="17">
        <f>SUM(J6:J15)</f>
        <v>1.3349897823725336</v>
      </c>
      <c r="K5" s="17"/>
      <c r="L5" s="17"/>
      <c r="M5" s="17"/>
      <c r="N5" s="17">
        <f>SUM(N6:N15)</f>
        <v>26.220007998008359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215.24221478999999</v>
      </c>
      <c r="C9" s="33"/>
      <c r="D9" s="37">
        <f>IF( ISERROR(IND_andere_gas_kWh/1000),0,IND_andere_gas_kWh/1000)*0.902</f>
        <v>185.17137400124003</v>
      </c>
      <c r="E9" s="33">
        <f>C31*'E Balans VL '!I19/100/3.6*1000000</f>
        <v>54.924943222894974</v>
      </c>
      <c r="F9" s="33">
        <f>C31*'E Balans VL '!L19/100/3.6*1000000+C31*'E Balans VL '!N19/100/3.6*1000000</f>
        <v>185.30736870037072</v>
      </c>
      <c r="G9" s="34"/>
      <c r="H9" s="33"/>
      <c r="I9" s="33"/>
      <c r="J9" s="40">
        <f>C31*'E Balans VL '!D19/100/3.6*1000000+C31*'E Balans VL '!E19/100/3.6*1000000</f>
        <v>0</v>
      </c>
      <c r="K9" s="33"/>
      <c r="L9" s="33"/>
      <c r="M9" s="33"/>
      <c r="N9" s="33">
        <f>C31*'E Balans VL '!Y19/100/3.6*1000000</f>
        <v>16.980092043597704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164.66889782999999</v>
      </c>
      <c r="C15" s="33"/>
      <c r="D15" s="37">
        <f>IF( ISERROR(IND_rest_gas_kWh/1000),0,IND_rest_gas_kWh/1000)*0.902</f>
        <v>260.40864290188</v>
      </c>
      <c r="E15" s="33">
        <f>C37*'E Balans VL '!I15/100/3.6*1000000</f>
        <v>8.9370569723927886</v>
      </c>
      <c r="F15" s="33">
        <f>C37*'E Balans VL '!L15/100/3.6*1000000+C37*'E Balans VL '!N15/100/3.6*1000000</f>
        <v>35.890205733343556</v>
      </c>
      <c r="G15" s="34"/>
      <c r="H15" s="33"/>
      <c r="I15" s="33"/>
      <c r="J15" s="40">
        <f>C37*'E Balans VL '!D15/100/3.6*1000000+C37*'E Balans VL '!E15/100/3.6*1000000</f>
        <v>1.3349897823725336</v>
      </c>
      <c r="K15" s="33"/>
      <c r="L15" s="33"/>
      <c r="M15" s="33"/>
      <c r="N15" s="33">
        <f>C37*'E Balans VL '!Y15/100/3.6*1000000</f>
        <v>9.2399159544106553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379.91111261999998</v>
      </c>
      <c r="C18" s="21">
        <f>C5+C16</f>
        <v>0</v>
      </c>
      <c r="D18" s="21">
        <f>MAX((D5+D16),0)</f>
        <v>445.58001690312005</v>
      </c>
      <c r="E18" s="21">
        <f>MAX((E5+E16),0)</f>
        <v>63.862000195287763</v>
      </c>
      <c r="F18" s="21">
        <f>MAX((F5+F16),0)</f>
        <v>221.19757443371427</v>
      </c>
      <c r="G18" s="21"/>
      <c r="H18" s="21"/>
      <c r="I18" s="21"/>
      <c r="J18" s="21">
        <f>MAX((J5+J16),0)</f>
        <v>1.3349897823725336</v>
      </c>
      <c r="K18" s="21"/>
      <c r="L18" s="21">
        <f>MAX((L5+L16),0)</f>
        <v>0</v>
      </c>
      <c r="M18" s="21"/>
      <c r="N18" s="21">
        <f>MAX((N5+N16),0)</f>
        <v>26.220007998008359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0.18497044464388657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70.272327426475059</v>
      </c>
      <c r="C22" s="23">
        <f ca="1">C18*C20</f>
        <v>0</v>
      </c>
      <c r="D22" s="23">
        <f>D18*D20</f>
        <v>90.007163414430252</v>
      </c>
      <c r="E22" s="23">
        <f>E18*E20</f>
        <v>14.496674044330323</v>
      </c>
      <c r="F22" s="23">
        <f>F18*F20</f>
        <v>59.059752373801714</v>
      </c>
      <c r="G22" s="23"/>
      <c r="H22" s="23"/>
      <c r="I22" s="23"/>
      <c r="J22" s="23">
        <f>J18*J20</f>
        <v>0.47258638295987687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215.24221478999999</v>
      </c>
      <c r="C31" s="39">
        <f>IF(ISERROR(B31*3.6/1000000/'E Balans VL '!Z19*100),0,B31*3.6/1000000/'E Balans VL '!Z19*100)</f>
        <v>9.0600335635040614E-3</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164.66889782999999</v>
      </c>
      <c r="C37" s="39">
        <f>IF(ISERROR(B37*3.6/1000000/'E Balans VL '!Z15*100),0,B37*3.6/1000000/'E Balans VL '!Z15*100)</f>
        <v>1.329435774901314E-3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1360.18439162</v>
      </c>
      <c r="C5" s="17">
        <f>'Eigen informatie GS &amp; warmtenet'!B60</f>
        <v>0</v>
      </c>
      <c r="D5" s="30">
        <f>IF(ISERROR(SUM(LB_lb_gas_kWh,LB_rest_gas_kWh)/1000),0,SUM(LB_lb_gas_kWh,LB_rest_gas_kWh)/1000)*0.902</f>
        <v>42.35416932615</v>
      </c>
      <c r="E5" s="17">
        <f>B17*'E Balans VL '!I25/3.6*1000000/100</f>
        <v>35.073932955614545</v>
      </c>
      <c r="F5" s="17">
        <f>B17*('E Balans VL '!L25/3.6*1000000+'E Balans VL '!N25/3.6*1000000)/100</f>
        <v>4971.732985905327</v>
      </c>
      <c r="G5" s="18"/>
      <c r="H5" s="17"/>
      <c r="I5" s="17"/>
      <c r="J5" s="17">
        <f>('E Balans VL '!D25+'E Balans VL '!E25)/3.6*1000000*landbouw!B17/100</f>
        <v>195.81651575650795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1360.18439162</v>
      </c>
      <c r="C8" s="21">
        <f>C5+C6</f>
        <v>0</v>
      </c>
      <c r="D8" s="21">
        <f>MAX((D5+D6),0)</f>
        <v>42.35416932615</v>
      </c>
      <c r="E8" s="21">
        <f>MAX((E5+E6),0)</f>
        <v>35.073932955614545</v>
      </c>
      <c r="F8" s="21">
        <f>MAX((F5+F6),0)</f>
        <v>4971.732985905327</v>
      </c>
      <c r="G8" s="21"/>
      <c r="H8" s="21"/>
      <c r="I8" s="21"/>
      <c r="J8" s="21">
        <f>MAX((J5+J6),0)</f>
        <v>195.81651575650795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0.18497044464388657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251.59391171562575</v>
      </c>
      <c r="C12" s="23">
        <f ca="1">C8*C10</f>
        <v>0</v>
      </c>
      <c r="D12" s="23">
        <f>D8*D10</f>
        <v>8.5555422038823004</v>
      </c>
      <c r="E12" s="23">
        <f>E8*E10</f>
        <v>7.9617827809245023</v>
      </c>
      <c r="F12" s="23">
        <f>F8*F10</f>
        <v>1327.4527072367223</v>
      </c>
      <c r="G12" s="23"/>
      <c r="H12" s="23"/>
      <c r="I12" s="23"/>
      <c r="J12" s="23">
        <f>J8*J10</f>
        <v>69.319046577803817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0.19179500887780765</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551.23822935064925</v>
      </c>
      <c r="C26" s="247">
        <f>B26*'GWP N2O_CH4'!B5</f>
        <v>11576.002816363634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109.00225813001401</v>
      </c>
      <c r="C27" s="247">
        <f>B27*'GWP N2O_CH4'!B5</f>
        <v>2289.0474207302941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7.3533421805260479</v>
      </c>
      <c r="C28" s="247">
        <f>B28*'GWP N2O_CH4'!B4</f>
        <v>2279.5360759630748</v>
      </c>
      <c r="D28" s="50"/>
    </row>
    <row r="29" spans="1:4">
      <c r="A29" s="41" t="s">
        <v>276</v>
      </c>
      <c r="B29" s="247">
        <f>B34*'ha_N2O bodem landbouw'!B4</f>
        <v>27.724495171413025</v>
      </c>
      <c r="C29" s="247">
        <f>B29*'GWP N2O_CH4'!B4</f>
        <v>8594.5935031380377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6.2395180064614211E-3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4.944015204357665E-5</v>
      </c>
      <c r="C5" s="437" t="s">
        <v>210</v>
      </c>
      <c r="D5" s="422">
        <f>SUM(D6:D11)</f>
        <v>9.17492019380434E-5</v>
      </c>
      <c r="E5" s="422">
        <f>SUM(E6:E11)</f>
        <v>4.1300755957224223E-4</v>
      </c>
      <c r="F5" s="435" t="s">
        <v>210</v>
      </c>
      <c r="G5" s="422">
        <f>SUM(G6:G11)</f>
        <v>0.19621678868342909</v>
      </c>
      <c r="H5" s="422">
        <f>SUM(H6:H11)</f>
        <v>3.1442269456420806E-2</v>
      </c>
      <c r="I5" s="437" t="s">
        <v>210</v>
      </c>
      <c r="J5" s="437" t="s">
        <v>210</v>
      </c>
      <c r="K5" s="437" t="s">
        <v>210</v>
      </c>
      <c r="L5" s="437" t="s">
        <v>210</v>
      </c>
      <c r="M5" s="422">
        <f>SUM(M6:M11)</f>
        <v>7.115278746621486E-3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4.7359379254007849E-5</v>
      </c>
      <c r="C6" s="423"/>
      <c r="D6" s="865">
        <f>vkm_GW_PW*SUMIFS(TableVerdeelsleutelVkm[CNG],TableVerdeelsleutelVkm[Voertuigtype],"Lichte voertuigen")*SUMIFS(TableECFTransport[EnergieConsumptieFactor (PJ per km)],TableECFTransport[Index],CONCATENATE($A6,"_CNG_CNG"))</f>
        <v>8.5373648158383489E-5</v>
      </c>
      <c r="E6" s="865">
        <f>vkm_GW_PW*SUMIFS(TableVerdeelsleutelVkm[LPG],TableVerdeelsleutelVkm[Voertuigtype],"Lichte voertuigen")*SUMIFS(TableECFTransport[EnergieConsumptieFactor (PJ per km)],TableECFTransport[Index],CONCATENATE($A6,"_LPG_LPG"))</f>
        <v>3.8566916195388969E-4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0.10536428863352988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2.9313453111366555E-2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4.1932978495017228E-3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7.7379747970389531E-2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1.3963032529584527E-6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2.4343712087995539E-3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2.0807727895687999E-6</v>
      </c>
      <c r="C8" s="423"/>
      <c r="D8" s="425">
        <f>vkm_NGW_PW*SUMIFS(TableVerdeelsleutelVkm[CNG],TableVerdeelsleutelVkm[Voertuigtype],"Lichte voertuigen")*SUMIFS(TableECFTransport[EnergieConsumptieFactor (PJ per km)],TableECFTransport[Index],CONCATENATE($A8,"_CNG_CNG"))</f>
        <v>6.3755537796599121E-6</v>
      </c>
      <c r="E8" s="425">
        <f>vkm_NGW_PW*SUMIFS(TableVerdeelsleutelVkm[LPG],TableVerdeelsleutelVkm[Voertuigtype],"Lichte voertuigen")*SUMIFS(TableECFTransport[EnergieConsumptieFactor (PJ per km)],TableECFTransport[Index],CONCATENATE($A8,"_LPG_LPG"))</f>
        <v>2.7338397618352518E-5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7.012918896170727E-3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2.1272761451876809E-3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2.8438215511212384E-4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6.4598331833389585E-3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1.4389661361195201E-7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2.0322753320808548E-4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13.733375567660181</v>
      </c>
      <c r="C14" s="21"/>
      <c r="D14" s="21">
        <f t="shared" ref="D14:M14" si="0">((D5)*10^9/3600)+D12</f>
        <v>25.48588942723428</v>
      </c>
      <c r="E14" s="21">
        <f t="shared" si="0"/>
        <v>114.72432210340062</v>
      </c>
      <c r="F14" s="21"/>
      <c r="G14" s="21">
        <f t="shared" si="0"/>
        <v>54504.66352317475</v>
      </c>
      <c r="H14" s="21">
        <f t="shared" si="0"/>
        <v>8733.9637378946682</v>
      </c>
      <c r="I14" s="21"/>
      <c r="J14" s="21"/>
      <c r="K14" s="21"/>
      <c r="L14" s="21"/>
      <c r="M14" s="21">
        <f t="shared" si="0"/>
        <v>1976.4663185059683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0.18497044464388657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2.5402685852115918</v>
      </c>
      <c r="C18" s="23"/>
      <c r="D18" s="23">
        <f t="shared" ref="D18:M18" si="1">D14*D16</f>
        <v>5.1481496643013251</v>
      </c>
      <c r="E18" s="23">
        <f t="shared" si="1"/>
        <v>26.042421117471942</v>
      </c>
      <c r="F18" s="23"/>
      <c r="G18" s="23">
        <f t="shared" si="1"/>
        <v>14552.745160687658</v>
      </c>
      <c r="H18" s="23">
        <f t="shared" si="1"/>
        <v>2174.7569707357725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2.3252561081633072E-3</v>
      </c>
      <c r="H50" s="319">
        <f t="shared" si="2"/>
        <v>0</v>
      </c>
      <c r="I50" s="319">
        <f t="shared" si="2"/>
        <v>0</v>
      </c>
      <c r="J50" s="319">
        <f t="shared" si="2"/>
        <v>0</v>
      </c>
      <c r="K50" s="319">
        <f t="shared" si="2"/>
        <v>0</v>
      </c>
      <c r="L50" s="319">
        <f t="shared" si="2"/>
        <v>0</v>
      </c>
      <c r="M50" s="319">
        <f t="shared" si="2"/>
        <v>7.2033195207383671E-5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2.3252561081633072E-3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7.2033195207383671E-5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645.90447448980763</v>
      </c>
      <c r="H54" s="21">
        <f t="shared" si="3"/>
        <v>0</v>
      </c>
      <c r="I54" s="21">
        <f t="shared" si="3"/>
        <v>0</v>
      </c>
      <c r="J54" s="21">
        <f t="shared" si="3"/>
        <v>0</v>
      </c>
      <c r="K54" s="21">
        <f t="shared" si="3"/>
        <v>0</v>
      </c>
      <c r="L54" s="21">
        <f t="shared" si="3"/>
        <v>0</v>
      </c>
      <c r="M54" s="21">
        <f t="shared" si="3"/>
        <v>20.009220890939908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0.18497044464388657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172.45649468877863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1688.6355727150703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1688.6355727150703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2020-06-20T15:54:55Z</dcterms:modified>
</cp:coreProperties>
</file>