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1" i="18"/>
  <c r="V41" i="18"/>
  <c r="U41" i="18"/>
  <c r="T41" i="18"/>
  <c r="S41" i="18"/>
  <c r="R41" i="18"/>
  <c r="Q41" i="18"/>
  <c r="P41" i="18"/>
  <c r="D6" i="17" s="1"/>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T34" i="18"/>
  <c r="S34" i="18"/>
  <c r="R34" i="18"/>
  <c r="Q34" i="18"/>
  <c r="P34" i="18"/>
  <c r="O34" i="18"/>
  <c r="N34" i="18"/>
  <c r="M34" i="18"/>
  <c r="W33" i="18"/>
  <c r="V33" i="18"/>
  <c r="U33" i="18"/>
  <c r="T33" i="18"/>
  <c r="S33" i="18"/>
  <c r="R33" i="18"/>
  <c r="Q33" i="18"/>
  <c r="P33" i="18"/>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R25" i="14"/>
  <c r="F13" i="15"/>
  <c r="N6" i="17"/>
  <c r="B47" i="18"/>
  <c r="H51" i="18" s="1"/>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51"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51" i="18" l="1"/>
  <c r="H17" i="18" s="1"/>
  <c r="B50" i="18"/>
  <c r="C8" i="18" s="1"/>
  <c r="B51" i="18"/>
  <c r="C17" i="18" s="1"/>
  <c r="C20" i="18" s="1"/>
  <c r="D50" i="18"/>
  <c r="G51" i="18"/>
  <c r="I17" i="18" s="1"/>
  <c r="F51" i="18"/>
  <c r="C51" i="18"/>
  <c r="D51" i="18"/>
  <c r="J17" i="18" s="1"/>
  <c r="Q77" i="14"/>
  <c r="P9" i="59" s="1"/>
  <c r="O9" i="18"/>
  <c r="G78" i="14"/>
  <c r="C77" i="14"/>
  <c r="C9" i="59" s="1"/>
  <c r="F50" i="18"/>
  <c r="I8" i="18" s="1"/>
  <c r="H50" i="18"/>
  <c r="C50" i="18"/>
  <c r="E50" i="18"/>
  <c r="E8" i="18" s="1"/>
  <c r="F76" i="14" s="1"/>
  <c r="F8" i="59" s="1"/>
  <c r="F10" i="59" s="1"/>
  <c r="B77" i="14"/>
  <c r="B9" i="59" s="1"/>
  <c r="G50" i="18"/>
  <c r="G90" i="14"/>
  <c r="G18" i="59"/>
  <c r="G20" i="59" s="1"/>
  <c r="C88" i="14"/>
  <c r="C18" i="59" s="1"/>
  <c r="Q88" i="14"/>
  <c r="P18" i="59" s="1"/>
  <c r="C89" i="14"/>
  <c r="C19" i="59" s="1"/>
  <c r="F19" i="59"/>
  <c r="Q89" i="14"/>
  <c r="P19" i="59" s="1"/>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15" i="48" l="1"/>
  <c r="J33" i="48"/>
  <c r="E23" i="48"/>
  <c r="F13" i="14"/>
  <c r="F16" i="14" s="1"/>
  <c r="F27" i="14" s="1"/>
  <c r="F63" i="14" s="1"/>
  <c r="E8" i="48"/>
  <c r="E26" i="48" s="1"/>
  <c r="J22" i="16"/>
  <c r="K43" i="14" s="1"/>
  <c r="K46" i="14" s="1"/>
  <c r="K61" i="14" s="1"/>
  <c r="J8" i="48"/>
  <c r="J26" i="48" s="1"/>
  <c r="K13" i="14"/>
  <c r="K16" i="14" s="1"/>
  <c r="K27" i="14" s="1"/>
  <c r="N8" i="48"/>
  <c r="N26" i="48" s="1"/>
  <c r="O13" i="14"/>
  <c r="N22" i="16"/>
  <c r="O43" i="14" s="1"/>
  <c r="G13" i="14"/>
  <c r="R13" i="14" s="1"/>
  <c r="F8" i="48"/>
  <c r="E15" i="48" l="1"/>
  <c r="E33"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<sst xmlns="http://schemas.openxmlformats.org/spreadsheetml/2006/main" count="2434" uniqueCount="909">
  <si>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</si>
  <si>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</si>
  <si>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</si>
  <si>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</si>
  <si>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</si>
  <si>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</si>
  <si>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</si>
  <si>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</si>
  <si>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</si>
  <si>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</si>
  <si>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</si>
  <si>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</si>
  <si>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</si>
  <si>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</si>
  <si>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</si>
  <si>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</si>
  <si>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</si>
  <si>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</si>
  <si>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</si>
  <si>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</si>
  <si>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</si>
  <si>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</si>
  <si>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</si>
  <si>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</si>
  <si>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</si>
  <si>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</si>
  <si>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</si>
  <si>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</si>
  <si>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</si>
  <si>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</si>
  <si>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</si>
  <si>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</si>
  <si>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</si>
  <si>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</si>
  <si>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</si>
  <si>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</si>
  <si>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</si>
  <si>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</si>
  <si>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</si>
  <si>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</si>
  <si>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</si>
  <si>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</si>
  <si>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</si>
  <si>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</si>
  <si>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</si>
  <si>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</si>
  <si>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</si>
  <si>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</si>
  <si>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</si>
  <si>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</si>
  <si>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</si>
  <si>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</si>
  <si>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</si>
  <si>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</si>
  <si>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</si>
  <si>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</si>
  <si>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</si>
  <si>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</si>
  <si>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</si>
  <si>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</si>
  <si>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</si>
  <si>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</si>
  <si>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</si>
  <si>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</si>
  <si>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</si>
  <si>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</si>
  <si>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</si>
  <si>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</si>
  <si>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</si>
  <si>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</si>
  <si>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</si>
  <si>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</si>
  <si>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</si>
  <si>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</si>
  <si>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</si>
  <si>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</si>
  <si>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</si>
  <si>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</si>
  <si>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</si>
  <si>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</si>
  <si>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</si>
  <si>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</si>
  <si>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</si>
  <si>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</si>
  <si>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</si>
  <si>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</si>
  <si>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</si>
  <si>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</si>
  <si>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</si>
  <si>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</si>
  <si>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</si>
  <si>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</si>
  <si>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</si>
  <si>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</si>
  <si>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</si>
  <si>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</si>
  <si>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</si>
  <si>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</si>
  <si>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</si>
  <si>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</si>
  <si>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</si>
  <si>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</si>
  <si>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</si>
  <si>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</si>
  <si>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</si>
  <si>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</si>
  <si>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</si>
  <si>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</si>
  <si>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</si>
  <si>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</si>
  <si>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</si>
  <si>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</si>
  <si>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</si>
  <si>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</si>
  <si>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</si>
  <si>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</si>
  <si>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</si>
  <si>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</si>
  <si>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</si>
  <si>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</si>
  <si>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</si>
  <si>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</si>
  <si>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</si>
  <si>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</si>
  <si>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</si>
  <si>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</si>
  <si>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</si>
  <si>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</si>
  <si>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</si>
  <si>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</si>
  <si>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</si>
  <si>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</si>
  <si>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</si>
  <si>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</si>
  <si>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</si>
  <si>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</si>
  <si>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</si>
  <si>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</si>
  <si>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</si>
  <si>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</si>
  <si>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</si>
  <si>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</si>
  <si>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</si>
  <si>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</si>
  <si>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</si>
  <si>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</si>
  <si>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</si>
  <si>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</si>
  <si>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</si>
  <si>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</si>
  <si>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</si>
  <si>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</si>
  <si>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</si>
  <si>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</si>
  <si>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</si>
  <si>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</si>
  <si>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</si>
  <si>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</si>
  <si>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</si>
  <si>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</si>
  <si>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</si>
  <si>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</si>
  <si>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</si>
  <si>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</si>
  <si>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</si>
  <si>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</si>
  <si>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</si>
  <si>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</si>
  <si>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</si>
  <si>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</si>
  <si>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</si>
  <si>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</si>
  <si>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</si>
  <si>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</si>
  <si>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</si>
  <si>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</si>
  <si>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</si>
  <si>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</si>
  <si>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</si>
  <si>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</si>
  <si>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</si>
  <si>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</si>
  <si>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</si>
  <si>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</si>
  <si>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</si>
  <si>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</si>
  <si>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</si>
  <si>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</si>
  <si>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</si>
  <si>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</si>
  <si>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</si>
  <si>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</si>
  <si>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</si>
  <si>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</si>
  <si>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</si>
  <si>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</si>
  <si>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</si>
  <si>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</si>
  <si>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</si>
  <si>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</si>
  <si>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</si>
  <si>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</si>
  <si>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</si>
  <si>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</si>
  <si>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</si>
  <si>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</si>
  <si>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</si>
  <si>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</si>
  <si>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</si>
  <si>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</si>
  <si>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</si>
  <si>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</si>
  <si>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</si>
  <si>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</si>
  <si>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</si>
  <si>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</si>
  <si>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</si>
  <si>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</si>
  <si>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</si>
  <si>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</si>
  <si>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</si>
  <si>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</si>
  <si>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</si>
  <si>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</si>
  <si>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</si>
  <si>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</si>
  <si>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</si>
  <si>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</si>
  <si>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</si>
  <si>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</si>
  <si>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</si>
  <si>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</si>
  <si>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</si>
  <si>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</si>
  <si>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</si>
  <si>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</si>
  <si>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</si>
  <si>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</si>
  <si>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</si>
  <si>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</si>
  <si>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</si>
  <si>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</si>
  <si>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</si>
  <si>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</si>
  <si>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</si>
  <si>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</si>
  <si>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</si>
  <si>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</si>
  <si>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</si>
  <si>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</si>
  <si>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</si>
  <si>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</si>
  <si>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</si>
  <si>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</si>
  <si>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</si>
  <si>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</si>
  <si>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</si>
  <si>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</si>
  <si>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</si>
  <si>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</si>
  <si>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</si>
  <si>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</si>
  <si>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</si>
  <si>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</si>
  <si>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</si>
  <si>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</si>
  <si>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</si>
  <si>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</si>
  <si>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</si>
  <si>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</si>
  <si>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</si>
  <si>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</si>
  <si>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</si>
  <si>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</si>
  <si>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</si>
  <si>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</si>
  <si>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</si>
  <si>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</si>
  <si>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</si>
  <si>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</si>
  <si>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</si>
  <si>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</si>
  <si>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</si>
  <si>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</si>
  <si>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</si>
  <si>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</si>
  <si>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</si>
  <si>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</si>
  <si>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</si>
  <si>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</si>
  <si>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</si>
  <si>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</si>
  <si>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</si>
  <si>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</si>
  <si>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</si>
  <si>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</si>
  <si>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</si>
  <si>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</si>
  <si>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</si>
  <si>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</si>
  <si>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</si>
  <si>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</si>
  <si>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</si>
  <si>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</si>
  <si>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</si>
  <si>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</si>
  <si>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</si>
  <si>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</si>
  <si>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</si>
  <si>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</si>
  <si>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</si>
  <si>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</si>
  <si>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</si>
  <si>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</si>
  <si>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</si>
  <si>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</si>
  <si>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</si>
  <si>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</si>
  <si>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</si>
  <si>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</si>
  <si>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</si>
  <si>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</si>
  <si>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</si>
  <si>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</si>
  <si>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</si>
  <si>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</si>
  <si>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</si>
  <si>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</si>
  <si>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</si>
  <si>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</si>
  <si>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</si>
  <si>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</si>
  <si>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</si>
  <si>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</si>
  <si>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</si>
  <si>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</si>
  <si>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</si>
  <si>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</si>
  <si>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</si>
  <si>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</si>
  <si>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</si>
  <si>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</si>
  <si>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</si>
  <si>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</si>
  <si>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</si>
  <si>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</si>
  <si>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</si>
  <si>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</si>
  <si>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</si>
  <si>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</si>
  <si>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</si>
  <si>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</si>
  <si>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</si>
  <si>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</si>
  <si>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</si>
  <si>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</si>
  <si>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</si>
  <si>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</si>
  <si>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</si>
  <si>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</si>
  <si>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</si>
  <si>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</si>
  <si>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</si>
  <si>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</si>
  <si>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</si>
  <si>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</si>
  <si>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</si>
  <si>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</si>
  <si>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</si>
  <si>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</si>
  <si>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</si>
  <si>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</si>
  <si>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</si>
  <si>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</si>
  <si>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</si>
  <si>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</si>
  <si>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</si>
  <si>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</si>
  <si>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</si>
  <si>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</si>
  <si>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</si>
  <si>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</si>
  <si>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</si>
  <si>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</si>
  <si>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</si>
  <si>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</si>
  <si>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</si>
  <si>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</si>
  <si>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</si>
  <si>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</si>
  <si>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</si>
  <si>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</si>
  <si>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</si>
  <si>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</si>
  <si>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</si>
  <si>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</si>
  <si>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</si>
  <si>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</si>
  <si>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</si>
  <si>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</si>
  <si>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</si>
  <si>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</si>
  <si>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</si>
  <si>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</si>
  <si>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</si>
  <si>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</si>
  <si>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</si>
  <si>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</si>
  <si>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</si>
  <si>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</si>
  <si>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</si>
  <si>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</si>
  <si>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</si>
  <si>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</si>
  <si>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</si>
  <si>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</si>
  <si>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</si>
  <si>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</si>
  <si>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</si>
  <si>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</si>
  <si>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</si>
  <si>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</si>
  <si>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</si>
  <si>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</si>
  <si>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</si>
  <si>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</si>
  <si>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</si>
  <si>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</si>
  <si>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</si>
  <si>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</si>
  <si>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</si>
  <si>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</si>
  <si>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</si>
  <si>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</si>
  <si>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</si>
  <si>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</si>
  <si>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</si>
  <si>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</si>
  <si>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</si>
  <si>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</si>
  <si>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</si>
  <si>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</si>
  <si>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</si>
  <si>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</si>
  <si>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</si>
  <si>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</si>
  <si>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</si>
  <si>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</si>
  <si>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</si>
  <si>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</si>
  <si>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</si>
  <si>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</si>
  <si>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</si>
  <si>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</si>
  <si>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</si>
  <si>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</si>
  <si>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</si>
  <si>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</si>
  <si>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</si>
  <si>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</si>
  <si>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</si>
  <si>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</si>
  <si>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</si>
  <si>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</si>
  <si>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</si>
  <si>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</si>
  <si>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</si>
  <si>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</si>
  <si>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</si>
  <si>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</si>
  <si>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</si>
  <si>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</si>
  <si>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</si>
  <si>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</si>
  <si>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</si>
  <si>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</si>
  <si>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</si>
  <si>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</si>
  <si>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</si>
  <si>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</si>
  <si>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</si>
  <si>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</si>
  <si>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</si>
  <si>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</si>
  <si>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</si>
  <si>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</si>
  <si>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</si>
  <si>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</si>
  <si>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</si>
  <si>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</si>
  <si>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</si>
  <si>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</si>
  <si>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</si>
  <si>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</si>
  <si>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</si>
  <si>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</si>
  <si>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</si>
  <si>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</si>
  <si>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</si>
  <si>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</si>
  <si>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</si>
  <si>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</si>
  <si>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</si>
  <si>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</si>
  <si>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</si>
  <si>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</si>
  <si>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</si>
  <si>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</si>
  <si>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</si>
  <si>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</si>
  <si>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</si>
  <si>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</si>
  <si>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</si>
  <si>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</si>
  <si>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</si>
  <si>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</si>
  <si>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</si>
  <si>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</si>
  <si>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</si>
  <si>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</si>
  <si>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</si>
  <si>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</si>
  <si>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</si>
  <si>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</si>
  <si>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</si>
  <si>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</si>
  <si>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</si>
  <si>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</si>
  <si>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</si>
  <si>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</si>
  <si>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</si>
  <si>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</si>
  <si>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</si>
  <si>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</si>
  <si>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</si>
  <si>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</si>
  <si>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</si>
  <si>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</si>
  <si>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</si>
  <si>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</si>
  <si>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</si>
  <si>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</si>
  <si>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</si>
  <si>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</si>
  <si>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</si>
  <si>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</si>
  <si>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</si>
  <si>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</si>
  <si>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</si>
  <si>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</si>
  <si>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</si>
  <si>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</si>
  <si>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</si>
  <si>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</si>
  <si>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</si>
  <si>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</si>
  <si>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</si>
  <si>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</si>
  <si>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</si>
  <si>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</si>
  <si>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</si>
  <si>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</si>
  <si>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</si>
  <si>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</si>
  <si>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</si>
  <si>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</si>
  <si>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</si>
  <si>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</si>
  <si>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</si>
  <si>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</si>
  <si>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</si>
  <si>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</si>
  <si>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</si>
  <si>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</si>
  <si>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</si>
  <si>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</si>
  <si>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</si>
  <si>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</si>
  <si>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</si>
  <si>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</si>
  <si>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</si>
  <si>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</si>
  <si>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</si>
  <si>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</si>
  <si>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</si>
  <si>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</si>
  <si>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</si>
  <si>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</si>
  <si>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</si>
  <si>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</si>
  <si>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</si>
  <si>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</si>
  <si>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</si>
  <si>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</si>
  <si>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</si>
  <si>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</si>
  <si>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</si>
  <si>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</si>
  <si>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</si>
  <si>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</si>
  <si>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</si>
  <si>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</si>
  <si>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</si>
  <si>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</si>
  <si>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</si>
  <si>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</si>
  <si>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</si>
  <si>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</si>
  <si>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</si>
  <si>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</si>
  <si>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</si>
  <si>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</si>
  <si>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</si>
  <si>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</si>
  <si>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</si>
  <si>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</si>
  <si>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</si>
  <si>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</si>
  <si>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</si>
  <si>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</si>
  <si>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</si>
  <si>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</si>
  <si>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</si>
  <si>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</si>
  <si>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</si>
  <si>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</si>
  <si>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</si>
  <si>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</si>
  <si>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</si>
  <si>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</si>
  <si>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</si>
  <si>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</si>
  <si>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</si>
  <si>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</si>
  <si>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</si>
  <si>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</si>
  <si>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</si>
  <si>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</si>
  <si>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</si>
  <si>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</si>
  <si>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</si>
  <si>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</si>
  <si>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</si>
  <si>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</si>
  <si>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</si>
  <si>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</si>
  <si>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</si>
  <si>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</si>
  <si>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</si>
  <si>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</si>
  <si>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</si>
  <si>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</si>
  <si>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</si>
  <si>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</si>
  <si>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</si>
  <si>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</si>
  <si>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</si>
  <si>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</si>
  <si>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</si>
  <si>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</si>
  <si>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</si>
  <si>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</si>
  <si>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</si>
  <si>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</si>
  <si>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</si>
  <si>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</si>
  <si>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</si>
  <si>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</si>
  <si>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</si>
  <si>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</si>
  <si>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</si>
  <si>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</si>
  <si>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</si>
  <si>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</si>
  <si>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</si>
  <si>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</si>
  <si>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</si>
  <si>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</si>
  <si>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</si>
  <si>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</si>
  <si>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</si>
  <si>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</si>
  <si>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</si>
  <si>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</si>
  <si>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</si>
  <si>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</si>
  <si>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</si>
  <si>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</si>
  <si>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</si>
  <si>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</si>
  <si>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</si>
  <si>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</si>
  <si>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</si>
  <si>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</si>
  <si>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</si>
  <si>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</si>
  <si>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</si>
  <si>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</si>
  <si>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</si>
  <si>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</si>
  <si>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</si>
  <si>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</si>
  <si>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</si>
  <si>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</si>
  <si>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</si>
  <si>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</si>
  <si>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</si>
  <si>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</si>
  <si>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</si>
  <si>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</si>
  <si>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</si>
  <si>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</si>
  <si>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</si>
  <si>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</si>
  <si>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</si>
  <si>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</si>
  <si>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</si>
  <si>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</si>
  <si>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</si>
  <si>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</si>
  <si>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</si>
  <si>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</si>
  <si>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</si>
  <si>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</si>
  <si>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</si>
  <si>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</si>
  <si>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</si>
  <si>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</si>
  <si>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</si>
  <si>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</si>
  <si>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</si>
  <si>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</si>
  <si>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</si>
  <si>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</si>
  <si>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</si>
  <si>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</si>
  <si>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</si>
  <si>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</si>
  <si>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</si>
  <si>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</si>
  <si>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</si>
  <si>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</si>
  <si>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</si>
  <si>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</si>
  <si>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</si>
  <si>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</si>
  <si>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</si>
  <si>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</si>
  <si>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</si>
  <si>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</si>
  <si>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</si>
  <si>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</si>
  <si>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</si>
  <si>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</si>
  <si>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</si>
  <si>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</si>
  <si>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</si>
  <si>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</si>
  <si>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</si>
  <si>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</si>
  <si>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</si>
  <si>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</si>
  <si>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</si>
  <si>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</si>
  <si>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</si>
  <si>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</si>
  <si>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</si>
  <si>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</si>
  <si>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</si>
  <si>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</si>
  <si>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</si>
  <si>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</si>
  <si>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</si>
  <si>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</si>
  <si>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</si>
  <si>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</si>
  <si>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</si>
  <si>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</si>
  <si>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</si>
  <si>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</si>
  <si>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</si>
  <si>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</si>
  <si>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</si>
  <si>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</si>
  <si>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</si>
  <si>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</si>
  <si>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</si>
  <si>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</si>
  <si>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</si>
  <si>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</si>
  <si>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</si>
  <si>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</si>
  <si>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</si>
  <si>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</si>
  <si>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</si>
  <si>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</si>
  <si>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</si>
  <si>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</si>
  <si>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</si>
  <si>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</si>
  <si>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</si>
  <si>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</si>
  <si>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</si>
  <si>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</si>
  <si>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</si>
  <si>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</si>
  <si>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</si>
  <si>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</si>
  <si>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</si>
  <si>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</si>
  <si>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</si>
  <si>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</si>
  <si>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</si>
  <si>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</si>
  <si>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</si>
  <si>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</si>
  <si>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</si>
  <si>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</si>
  <si>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</si>
  <si>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</si>
  <si>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</si>
  <si>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</si>
  <si>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</si>
  <si>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</si>
  <si>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</si>
  <si>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</si>
  <si>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</si>
  <si>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</si>
  <si>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</si>
  <si>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</si>
  <si>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</si>
  <si>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</si>
  <si>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</si>
  <si>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</si>
  <si>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</si>
  <si>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</si>
  <si>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</si>
  <si>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</si>
  <si>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</si>
  <si>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</si>
  <si>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</si>
  <si>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</si>
  <si>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</si>
  <si>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</si>
  <si>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</si>
  <si>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</si>
  <si>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</si>
  <si>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</si>
  <si>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</si>
  <si>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</si>
  <si>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</si>
  <si>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</si>
  <si>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</si>
  <si>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</si>
  <si>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</si>
  <si>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</si>
  <si>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</si>
  <si>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</si>
  <si>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</si>
  <si>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</si>
  <si>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</si>
  <si>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</si>
  <si>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</si>
  <si>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</si>
  <si>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</si>
  <si>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</si>
  <si>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</si>
  <si>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</si>
  <si>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</si>
  <si>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</si>
  <si>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</si>
  <si>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</si>
  <si>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</si>
  <si>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</si>
  <si>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</si>
  <si>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</si>
  <si>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</si>
  <si>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</si>
  <si>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</si>
  <si>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</si>
  <si>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</si>
  <si>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</si>
  <si>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</si>
  <si>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</si>
  <si>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</si>
  <si>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</si>
  <si>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</si>
  <si>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</si>
  <si>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</si>
  <si>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</si>
  <si>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31012</t>
  </si>
  <si>
    <t>JABBEKE</t>
  </si>
  <si>
    <t>Paarden&amp;pony's 200 - 600 kg</t>
  </si>
  <si>
    <t>Paarden&amp;pony's &lt; 200 kg</t>
  </si>
  <si>
    <t>Fluvius</t>
  </si>
  <si>
    <t>referentietaak LNE (2017); Jaarverslag De Lijn</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</si>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</sst>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123873.88716490373</c:v>
                </c:pt>
                <c:pt idx="1">
                  <c:v>35759.442357181106</c:v>
                </c:pt>
                <c:pt idx="2">
                  <c:v>1047.0730000000001</c:v>
                </c:pt>
                <c:pt idx="3">
                  <c:v>29761.667242358955</c:v>
                </c:pt>
                <c:pt idx="4">
                  <c:v>43376.934446217718</c:v>
                </c:pt>
                <c:pt idx="5">
                  <c:v>262336.4913089053</c:v>
                </c:pt>
                <c:pt idx="6">
                  <c:v>1401.2335880583919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123873.88716490373</c:v>
                </c:pt>
                <c:pt idx="1">
                  <c:v>35759.442357181106</c:v>
                </c:pt>
                <c:pt idx="2">
                  <c:v>1047.0730000000001</c:v>
                </c:pt>
                <c:pt idx="3">
                  <c:v>29761.667242358955</c:v>
                </c:pt>
                <c:pt idx="4">
                  <c:v>43376.934446217718</c:v>
                </c:pt>
                <c:pt idx="5">
                  <c:v>262336.4913089053</c:v>
                </c:pt>
                <c:pt idx="6">
                  <c:v>1401.2335880583919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23156.116477014868</c:v>
                </c:pt>
                <c:pt idx="2">
                  <c:v>7314.7799816666466</c:v>
                </c:pt>
                <c:pt idx="3">
                  <c:v>215.3348567240767</c:v>
                </c:pt>
                <c:pt idx="4">
                  <c:v>7097.5909485932625</c:v>
                </c:pt>
                <c:pt idx="5">
                  <c:v>8375.5893244447852</c:v>
                </c:pt>
                <c:pt idx="6">
                  <c:v>67233.008680649553</c:v>
                </c:pt>
                <c:pt idx="7">
                  <c:v>362.88761518647203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23156.116477014868</c:v>
                </c:pt>
                <c:pt idx="2">
                  <c:v>7314.7799816666466</c:v>
                </c:pt>
                <c:pt idx="3">
                  <c:v>215.3348567240767</c:v>
                </c:pt>
                <c:pt idx="4">
                  <c:v>7097.5909485932625</c:v>
                </c:pt>
                <c:pt idx="5">
                  <c:v>8375.5893244447852</c:v>
                </c:pt>
                <c:pt idx="6">
                  <c:v>67233.008680649553</c:v>
                </c:pt>
                <c:pt idx="7">
                  <c:v>362.88761518647203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31012</v>
      </c>
      <c r="B6" s="390"/>
      <c r="C6" s="391"/>
    </row>
    <row r="7" spans="1:7" s="388" customFormat="1" ht="15.75" customHeight="1">
      <c r="A7" s="392" t="str">
        <f>txtMunicipality</f>
        <v>JABBEKE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0.20565410121746686</v>
      </c>
      <c r="C17" s="498">
        <f ca="1">'EF ele_warmte'!B22</f>
        <v>0.23650316418746939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0.20565410121746686</v>
      </c>
      <c r="C29" s="499">
        <f ca="1">'EF ele_warmte'!B22</f>
        <v>0.23650316418746939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5592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3367.65</v>
      </c>
      <c r="C14" s="330"/>
      <c r="D14" s="330"/>
      <c r="E14" s="330"/>
      <c r="F14" s="330"/>
    </row>
    <row r="15" spans="1:6">
      <c r="A15" s="1291" t="s">
        <v>183</v>
      </c>
      <c r="B15" s="1292">
        <v>35</v>
      </c>
      <c r="C15" s="330"/>
      <c r="D15" s="330"/>
      <c r="E15" s="330"/>
      <c r="F15" s="330"/>
    </row>
    <row r="16" spans="1:6">
      <c r="A16" s="1291" t="s">
        <v>6</v>
      </c>
      <c r="B16" s="1292">
        <v>1480</v>
      </c>
      <c r="C16" s="330"/>
      <c r="D16" s="330"/>
      <c r="E16" s="330"/>
      <c r="F16" s="330"/>
    </row>
    <row r="17" spans="1:6">
      <c r="A17" s="1291" t="s">
        <v>7</v>
      </c>
      <c r="B17" s="1292">
        <v>1784</v>
      </c>
      <c r="C17" s="330"/>
      <c r="D17" s="330"/>
      <c r="E17" s="330"/>
      <c r="F17" s="330"/>
    </row>
    <row r="18" spans="1:6">
      <c r="A18" s="1291" t="s">
        <v>8</v>
      </c>
      <c r="B18" s="1292">
        <v>2567</v>
      </c>
      <c r="C18" s="330"/>
      <c r="D18" s="330"/>
      <c r="E18" s="330"/>
      <c r="F18" s="330"/>
    </row>
    <row r="19" spans="1:6">
      <c r="A19" s="1291" t="s">
        <v>9</v>
      </c>
      <c r="B19" s="1292">
        <v>2399</v>
      </c>
      <c r="C19" s="330"/>
      <c r="D19" s="330"/>
      <c r="E19" s="330"/>
      <c r="F19" s="330"/>
    </row>
    <row r="20" spans="1:6">
      <c r="A20" s="1291" t="s">
        <v>10</v>
      </c>
      <c r="B20" s="1292">
        <v>1555</v>
      </c>
      <c r="C20" s="330"/>
      <c r="D20" s="330"/>
      <c r="E20" s="330"/>
      <c r="F20" s="330"/>
    </row>
    <row r="21" spans="1:6">
      <c r="A21" s="1291" t="s">
        <v>11</v>
      </c>
      <c r="B21" s="1292">
        <v>10449</v>
      </c>
      <c r="C21" s="330"/>
      <c r="D21" s="330"/>
      <c r="E21" s="330"/>
      <c r="F21" s="330"/>
    </row>
    <row r="22" spans="1:6">
      <c r="A22" s="1291" t="s">
        <v>12</v>
      </c>
      <c r="B22" s="1292">
        <v>12910</v>
      </c>
      <c r="C22" s="330"/>
      <c r="D22" s="330"/>
      <c r="E22" s="330"/>
      <c r="F22" s="330"/>
    </row>
    <row r="23" spans="1:6">
      <c r="A23" s="1291" t="s">
        <v>13</v>
      </c>
      <c r="B23" s="1292">
        <v>724</v>
      </c>
      <c r="C23" s="330"/>
      <c r="D23" s="330"/>
      <c r="E23" s="330"/>
      <c r="F23" s="330"/>
    </row>
    <row r="24" spans="1:6">
      <c r="A24" s="1291" t="s">
        <v>14</v>
      </c>
      <c r="B24" s="1292">
        <v>14</v>
      </c>
      <c r="C24" s="330"/>
      <c r="D24" s="330"/>
      <c r="E24" s="330"/>
      <c r="F24" s="330"/>
    </row>
    <row r="25" spans="1:6">
      <c r="A25" s="1291" t="s">
        <v>15</v>
      </c>
      <c r="B25" s="1292">
        <v>2232</v>
      </c>
      <c r="C25" s="330"/>
      <c r="D25" s="330"/>
      <c r="E25" s="330"/>
      <c r="F25" s="330"/>
    </row>
    <row r="26" spans="1:6">
      <c r="A26" s="1291" t="s">
        <v>16</v>
      </c>
      <c r="B26" s="1292">
        <v>318</v>
      </c>
      <c r="C26" s="330"/>
      <c r="D26" s="330"/>
      <c r="E26" s="330"/>
      <c r="F26" s="330"/>
    </row>
    <row r="27" spans="1:6">
      <c r="A27" s="1291" t="s">
        <v>17</v>
      </c>
      <c r="B27" s="1292">
        <v>0</v>
      </c>
      <c r="C27" s="330"/>
      <c r="D27" s="330"/>
      <c r="E27" s="330"/>
      <c r="F27" s="330"/>
    </row>
    <row r="28" spans="1:6" s="43" customFormat="1">
      <c r="A28" s="1293" t="s">
        <v>18</v>
      </c>
      <c r="B28" s="1294">
        <v>11018</v>
      </c>
      <c r="C28" s="336"/>
      <c r="D28" s="336"/>
      <c r="E28" s="336"/>
      <c r="F28" s="336"/>
    </row>
    <row r="29" spans="1:6">
      <c r="A29" s="1293" t="s">
        <v>892</v>
      </c>
      <c r="B29" s="1294">
        <v>133</v>
      </c>
      <c r="C29" s="336"/>
      <c r="D29" s="336"/>
      <c r="E29" s="336"/>
      <c r="F29" s="336"/>
    </row>
    <row r="30" spans="1:6">
      <c r="A30" s="1286" t="s">
        <v>893</v>
      </c>
      <c r="B30" s="1295">
        <v>46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7752.3981516000003</v>
      </c>
      <c r="E38" s="1292">
        <v>3</v>
      </c>
      <c r="F38" s="1292">
        <v>39655</v>
      </c>
    </row>
    <row r="39" spans="1:6">
      <c r="A39" s="1291" t="s">
        <v>29</v>
      </c>
      <c r="B39" s="1291" t="s">
        <v>30</v>
      </c>
      <c r="C39" s="1292">
        <v>3479</v>
      </c>
      <c r="D39" s="1292">
        <v>58783407.376000002</v>
      </c>
      <c r="E39" s="1292">
        <v>5270</v>
      </c>
      <c r="F39" s="1292">
        <v>22740407.602818001</v>
      </c>
    </row>
    <row r="40" spans="1:6">
      <c r="A40" s="1291" t="s">
        <v>29</v>
      </c>
      <c r="B40" s="1291" t="s">
        <v>28</v>
      </c>
      <c r="C40" s="1292">
        <v>2</v>
      </c>
      <c r="D40" s="1292">
        <v>82064.705877999993</v>
      </c>
      <c r="E40" s="1292">
        <v>0</v>
      </c>
      <c r="F40" s="1292">
        <v>0</v>
      </c>
    </row>
    <row r="41" spans="1:6">
      <c r="A41" s="1291" t="s">
        <v>31</v>
      </c>
      <c r="B41" s="1291" t="s">
        <v>32</v>
      </c>
      <c r="C41" s="1292">
        <v>59</v>
      </c>
      <c r="D41" s="1292">
        <v>1368569.0723999999</v>
      </c>
      <c r="E41" s="1292">
        <v>151</v>
      </c>
      <c r="F41" s="1292">
        <v>2026564</v>
      </c>
    </row>
    <row r="42" spans="1:6">
      <c r="A42" s="1291" t="s">
        <v>31</v>
      </c>
      <c r="B42" s="1291" t="s">
        <v>33</v>
      </c>
      <c r="C42" s="1292">
        <v>0</v>
      </c>
      <c r="D42" s="1292">
        <v>0</v>
      </c>
      <c r="E42" s="1292">
        <v>3</v>
      </c>
      <c r="F42" s="1292">
        <v>155095</v>
      </c>
    </row>
    <row r="43" spans="1:6">
      <c r="A43" s="1291" t="s">
        <v>31</v>
      </c>
      <c r="B43" s="1291" t="s">
        <v>34</v>
      </c>
      <c r="C43" s="1292">
        <v>0</v>
      </c>
      <c r="D43" s="1292">
        <v>0</v>
      </c>
      <c r="E43" s="1292">
        <v>0</v>
      </c>
      <c r="F43" s="1292">
        <v>0</v>
      </c>
    </row>
    <row r="44" spans="1:6">
      <c r="A44" s="1291" t="s">
        <v>31</v>
      </c>
      <c r="B44" s="1291" t="s">
        <v>35</v>
      </c>
      <c r="C44" s="1292">
        <v>0</v>
      </c>
      <c r="D44" s="1292">
        <v>0</v>
      </c>
      <c r="E44" s="1292">
        <v>11</v>
      </c>
      <c r="F44" s="1292">
        <v>191984</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18408491.006000001</v>
      </c>
      <c r="E47" s="1292">
        <v>4</v>
      </c>
      <c r="F47" s="1292">
        <v>13685941</v>
      </c>
    </row>
    <row r="48" spans="1:6">
      <c r="A48" s="1291" t="s">
        <v>31</v>
      </c>
      <c r="B48" s="1291" t="s">
        <v>28</v>
      </c>
      <c r="C48" s="1292">
        <v>24</v>
      </c>
      <c r="D48" s="1292">
        <v>1084731.4214999999</v>
      </c>
      <c r="E48" s="1292">
        <v>0</v>
      </c>
      <c r="F48" s="1292">
        <v>0</v>
      </c>
    </row>
    <row r="49" spans="1:6">
      <c r="A49" s="1291" t="s">
        <v>31</v>
      </c>
      <c r="B49" s="1291" t="s">
        <v>39</v>
      </c>
      <c r="C49" s="1292">
        <v>0</v>
      </c>
      <c r="D49" s="1292">
        <v>0</v>
      </c>
      <c r="E49" s="1292">
        <v>3</v>
      </c>
      <c r="F49" s="1292">
        <v>7699</v>
      </c>
    </row>
    <row r="50" spans="1:6">
      <c r="A50" s="1291" t="s">
        <v>31</v>
      </c>
      <c r="B50" s="1291" t="s">
        <v>40</v>
      </c>
      <c r="C50" s="1292">
        <v>6</v>
      </c>
      <c r="D50" s="1292">
        <v>454282.14519000001</v>
      </c>
      <c r="E50" s="1292">
        <v>14</v>
      </c>
      <c r="F50" s="1292">
        <v>552537</v>
      </c>
    </row>
    <row r="51" spans="1:6">
      <c r="A51" s="1291" t="s">
        <v>41</v>
      </c>
      <c r="B51" s="1291" t="s">
        <v>42</v>
      </c>
      <c r="C51" s="1292">
        <v>22</v>
      </c>
      <c r="D51" s="1292">
        <v>34103552.921999998</v>
      </c>
      <c r="E51" s="1292">
        <v>141</v>
      </c>
      <c r="F51" s="1292">
        <v>2426258</v>
      </c>
    </row>
    <row r="52" spans="1:6">
      <c r="A52" s="1291" t="s">
        <v>41</v>
      </c>
      <c r="B52" s="1291" t="s">
        <v>28</v>
      </c>
      <c r="C52" s="1292">
        <v>5</v>
      </c>
      <c r="D52" s="1292">
        <v>98114.630227000001</v>
      </c>
      <c r="E52" s="1292">
        <v>0</v>
      </c>
      <c r="F52" s="1292">
        <v>0</v>
      </c>
    </row>
    <row r="53" spans="1:6">
      <c r="A53" s="1291" t="s">
        <v>43</v>
      </c>
      <c r="B53" s="1291" t="s">
        <v>44</v>
      </c>
      <c r="C53" s="1292">
        <v>104</v>
      </c>
      <c r="D53" s="1292">
        <v>1746029.1381999999</v>
      </c>
      <c r="E53" s="1292">
        <v>0</v>
      </c>
      <c r="F53" s="1292">
        <v>0</v>
      </c>
    </row>
    <row r="54" spans="1:6">
      <c r="A54" s="1291" t="s">
        <v>45</v>
      </c>
      <c r="B54" s="1291" t="s">
        <v>46</v>
      </c>
      <c r="C54" s="1292">
        <v>0</v>
      </c>
      <c r="D54" s="1292">
        <v>0</v>
      </c>
      <c r="E54" s="1292">
        <v>76</v>
      </c>
      <c r="F54" s="1292">
        <v>1047073</v>
      </c>
    </row>
    <row r="55" spans="1:6">
      <c r="A55" s="1291" t="s">
        <v>45</v>
      </c>
      <c r="B55" s="1291" t="s">
        <v>28</v>
      </c>
      <c r="C55" s="1292">
        <v>0</v>
      </c>
      <c r="D55" s="1292">
        <v>0</v>
      </c>
      <c r="E55" s="1292">
        <v>0</v>
      </c>
      <c r="F55" s="1292">
        <v>0</v>
      </c>
    </row>
    <row r="56" spans="1:6">
      <c r="A56" s="1291" t="s">
        <v>47</v>
      </c>
      <c r="B56" s="1291" t="s">
        <v>28</v>
      </c>
      <c r="C56" s="1292">
        <v>0</v>
      </c>
      <c r="D56" s="1292">
        <v>0</v>
      </c>
      <c r="E56" s="1292">
        <v>140</v>
      </c>
      <c r="F56" s="1292">
        <v>605189</v>
      </c>
    </row>
    <row r="57" spans="1:6">
      <c r="A57" s="1291" t="s">
        <v>48</v>
      </c>
      <c r="B57" s="1291" t="s">
        <v>49</v>
      </c>
      <c r="C57" s="1292">
        <v>54</v>
      </c>
      <c r="D57" s="1292">
        <v>3549211.3361999998</v>
      </c>
      <c r="E57" s="1292">
        <v>64</v>
      </c>
      <c r="F57" s="1292">
        <v>1331239</v>
      </c>
    </row>
    <row r="58" spans="1:6">
      <c r="A58" s="1291" t="s">
        <v>48</v>
      </c>
      <c r="B58" s="1291" t="s">
        <v>50</v>
      </c>
      <c r="C58" s="1292">
        <v>38</v>
      </c>
      <c r="D58" s="1292">
        <v>990502.67281999998</v>
      </c>
      <c r="E58" s="1292">
        <v>60</v>
      </c>
      <c r="F58" s="1292">
        <v>1346187</v>
      </c>
    </row>
    <row r="59" spans="1:6">
      <c r="A59" s="1291" t="s">
        <v>48</v>
      </c>
      <c r="B59" s="1291" t="s">
        <v>51</v>
      </c>
      <c r="C59" s="1292">
        <v>57</v>
      </c>
      <c r="D59" s="1292">
        <v>2091378.2505000001</v>
      </c>
      <c r="E59" s="1292">
        <v>180</v>
      </c>
      <c r="F59" s="1292">
        <v>5293625</v>
      </c>
    </row>
    <row r="60" spans="1:6">
      <c r="A60" s="1291" t="s">
        <v>48</v>
      </c>
      <c r="B60" s="1291" t="s">
        <v>52</v>
      </c>
      <c r="C60" s="1292">
        <v>43</v>
      </c>
      <c r="D60" s="1292">
        <v>1963882.0861</v>
      </c>
      <c r="E60" s="1292">
        <v>63</v>
      </c>
      <c r="F60" s="1292">
        <v>2319270</v>
      </c>
    </row>
    <row r="61" spans="1:6">
      <c r="A61" s="1291" t="s">
        <v>48</v>
      </c>
      <c r="B61" s="1291" t="s">
        <v>53</v>
      </c>
      <c r="C61" s="1292">
        <v>110</v>
      </c>
      <c r="D61" s="1292">
        <v>3551947.5994000002</v>
      </c>
      <c r="E61" s="1292">
        <v>348</v>
      </c>
      <c r="F61" s="1292">
        <v>5082568</v>
      </c>
    </row>
    <row r="62" spans="1:6">
      <c r="A62" s="1291" t="s">
        <v>48</v>
      </c>
      <c r="B62" s="1291" t="s">
        <v>54</v>
      </c>
      <c r="C62" s="1292">
        <v>9</v>
      </c>
      <c r="D62" s="1292">
        <v>963023.52086000005</v>
      </c>
      <c r="E62" s="1292">
        <v>8</v>
      </c>
      <c r="F62" s="1292">
        <v>38293</v>
      </c>
    </row>
    <row r="63" spans="1:6">
      <c r="A63" s="1291" t="s">
        <v>48</v>
      </c>
      <c r="B63" s="1291" t="s">
        <v>28</v>
      </c>
      <c r="C63" s="1292">
        <v>83</v>
      </c>
      <c r="D63" s="1292">
        <v>3507167.3879999998</v>
      </c>
      <c r="E63" s="1292">
        <v>0</v>
      </c>
      <c r="F63" s="1292">
        <v>0</v>
      </c>
    </row>
    <row r="64" spans="1:6">
      <c r="A64" s="1291" t="s">
        <v>55</v>
      </c>
      <c r="B64" s="1291" t="s">
        <v>56</v>
      </c>
      <c r="C64" s="1292">
        <v>0</v>
      </c>
      <c r="D64" s="1292">
        <v>0</v>
      </c>
      <c r="E64" s="1292">
        <v>0</v>
      </c>
      <c r="F64" s="1292">
        <v>0</v>
      </c>
    </row>
    <row r="65" spans="1:6">
      <c r="A65" s="1291" t="s">
        <v>55</v>
      </c>
      <c r="B65" s="1291" t="s">
        <v>28</v>
      </c>
      <c r="C65" s="1292">
        <v>2</v>
      </c>
      <c r="D65" s="1292">
        <v>29654.283648000001</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120907.07911000001</v>
      </c>
      <c r="E68" s="1295">
        <v>5</v>
      </c>
      <c r="F68" s="1295">
        <v>73133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69569451</v>
      </c>
      <c r="E73" s="449"/>
      <c r="F73" s="330"/>
    </row>
    <row r="74" spans="1:6">
      <c r="A74" s="1291" t="s">
        <v>63</v>
      </c>
      <c r="B74" s="1291" t="s">
        <v>664</v>
      </c>
      <c r="C74" s="1305" t="s">
        <v>666</v>
      </c>
      <c r="D74" s="1306">
        <v>3514314.0740104914</v>
      </c>
      <c r="E74" s="449"/>
      <c r="F74" s="330"/>
    </row>
    <row r="75" spans="1:6">
      <c r="A75" s="1291" t="s">
        <v>64</v>
      </c>
      <c r="B75" s="1291" t="s">
        <v>663</v>
      </c>
      <c r="C75" s="1305" t="s">
        <v>667</v>
      </c>
      <c r="D75" s="1306">
        <v>25458113</v>
      </c>
      <c r="E75" s="449"/>
      <c r="F75" s="330"/>
    </row>
    <row r="76" spans="1:6">
      <c r="A76" s="1291" t="s">
        <v>64</v>
      </c>
      <c r="B76" s="1291" t="s">
        <v>664</v>
      </c>
      <c r="C76" s="1305" t="s">
        <v>668</v>
      </c>
      <c r="D76" s="1306">
        <v>866453.07401049125</v>
      </c>
      <c r="E76" s="449"/>
      <c r="F76" s="330"/>
    </row>
    <row r="77" spans="1:6">
      <c r="A77" s="1291" t="s">
        <v>65</v>
      </c>
      <c r="B77" s="1291" t="s">
        <v>663</v>
      </c>
      <c r="C77" s="1305" t="s">
        <v>669</v>
      </c>
      <c r="D77" s="1306">
        <v>168810342</v>
      </c>
      <c r="E77" s="449"/>
      <c r="F77" s="330"/>
    </row>
    <row r="78" spans="1:6">
      <c r="A78" s="1286" t="s">
        <v>65</v>
      </c>
      <c r="B78" s="1286" t="s">
        <v>664</v>
      </c>
      <c r="C78" s="1286" t="s">
        <v>670</v>
      </c>
      <c r="D78" s="1307">
        <v>26721516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380201.85197901743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3251.9771789981596</v>
      </c>
      <c r="C91" s="330"/>
      <c r="D91" s="330"/>
      <c r="E91" s="330"/>
      <c r="F91" s="330"/>
    </row>
    <row r="92" spans="1:6">
      <c r="A92" s="1286" t="s">
        <v>68</v>
      </c>
      <c r="B92" s="1287">
        <v>1701.9202705435609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2245</v>
      </c>
      <c r="C97" s="330"/>
      <c r="D97" s="330"/>
      <c r="E97" s="330"/>
      <c r="F97" s="330"/>
    </row>
    <row r="98" spans="1:6">
      <c r="A98" s="1291" t="s">
        <v>71</v>
      </c>
      <c r="B98" s="1292">
        <v>1</v>
      </c>
      <c r="C98" s="330"/>
      <c r="D98" s="330"/>
      <c r="E98" s="330"/>
      <c r="F98" s="330"/>
    </row>
    <row r="99" spans="1:6">
      <c r="A99" s="1291" t="s">
        <v>72</v>
      </c>
      <c r="B99" s="1292">
        <v>93</v>
      </c>
      <c r="C99" s="330"/>
      <c r="D99" s="330"/>
      <c r="E99" s="330"/>
      <c r="F99" s="330"/>
    </row>
    <row r="100" spans="1:6">
      <c r="A100" s="1291" t="s">
        <v>73</v>
      </c>
      <c r="B100" s="1292">
        <v>500</v>
      </c>
      <c r="C100" s="330"/>
      <c r="D100" s="330"/>
      <c r="E100" s="330"/>
      <c r="F100" s="330"/>
    </row>
    <row r="101" spans="1:6">
      <c r="A101" s="1291" t="s">
        <v>74</v>
      </c>
      <c r="B101" s="1292">
        <v>118</v>
      </c>
      <c r="C101" s="330"/>
      <c r="D101" s="330"/>
      <c r="E101" s="330"/>
      <c r="F101" s="330"/>
    </row>
    <row r="102" spans="1:6">
      <c r="A102" s="1291" t="s">
        <v>75</v>
      </c>
      <c r="B102" s="1292">
        <v>82</v>
      </c>
      <c r="C102" s="330"/>
      <c r="D102" s="330"/>
      <c r="E102" s="330"/>
      <c r="F102" s="330"/>
    </row>
    <row r="103" spans="1:6">
      <c r="A103" s="1291" t="s">
        <v>76</v>
      </c>
      <c r="B103" s="1292">
        <v>110</v>
      </c>
      <c r="C103" s="330"/>
      <c r="D103" s="330"/>
      <c r="E103" s="330"/>
      <c r="F103" s="330"/>
    </row>
    <row r="104" spans="1:6">
      <c r="A104" s="1291" t="s">
        <v>77</v>
      </c>
      <c r="B104" s="1292">
        <v>1792</v>
      </c>
      <c r="C104" s="330"/>
      <c r="D104" s="330"/>
      <c r="E104" s="330"/>
      <c r="F104" s="330"/>
    </row>
    <row r="105" spans="1:6">
      <c r="A105" s="1286" t="s">
        <v>78</v>
      </c>
      <c r="B105" s="1295">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14</v>
      </c>
      <c r="C123" s="1292">
        <v>21</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133</v>
      </c>
      <c r="C129" s="330"/>
      <c r="D129" s="330"/>
      <c r="E129" s="330"/>
      <c r="F129" s="330"/>
    </row>
    <row r="130" spans="1:6">
      <c r="A130" s="1291" t="s">
        <v>294</v>
      </c>
      <c r="B130" s="1292">
        <v>0</v>
      </c>
      <c r="C130" s="330"/>
      <c r="D130" s="330"/>
      <c r="E130" s="330"/>
      <c r="F130" s="330"/>
    </row>
    <row r="131" spans="1:6">
      <c r="A131" s="1291" t="s">
        <v>295</v>
      </c>
      <c r="B131" s="1292">
        <v>3</v>
      </c>
      <c r="C131" s="330"/>
      <c r="D131" s="330"/>
      <c r="E131" s="330"/>
      <c r="F131" s="330"/>
    </row>
    <row r="132" spans="1:6">
      <c r="A132" s="1286" t="s">
        <v>296</v>
      </c>
      <c r="B132" s="1287">
        <v>20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62180.942006288882</v>
      </c>
      <c r="C3" s="43" t="s">
        <v>169</v>
      </c>
      <c r="D3" s="43"/>
      <c r="E3" s="154"/>
      <c r="F3" s="43"/>
      <c r="G3" s="43"/>
      <c r="H3" s="43"/>
      <c r="I3" s="43"/>
      <c r="J3" s="43"/>
      <c r="K3" s="96"/>
    </row>
    <row r="4" spans="1:11">
      <c r="A4" s="358" t="s">
        <v>170</v>
      </c>
      <c r="B4" s="49">
        <f>IF(ISERROR('SEAP template'!B78+'SEAP template'!C78),0,'SEAP template'!B78+'SEAP template'!C78)</f>
        <v>14022.29744954172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2144.7052941176476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0.20565410121746686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3063.8647058823535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12954.857142857143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0.23650316418746939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1047.0730000000001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1047.0730000000001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0.20565410121746686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215.3348567240767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22740.407602818002</v>
      </c>
      <c r="C5" s="17">
        <f>IF(ISERROR('Eigen informatie GS &amp; warmtenet'!B57),0,'Eigen informatie GS &amp; warmtenet'!B57)</f>
        <v>0</v>
      </c>
      <c r="D5" s="30">
        <f>(SUM(HH_hh_gas_kWh,HH_rest_gas_kWh)/1000)*0.902</f>
        <v>53096.655817853956</v>
      </c>
      <c r="E5" s="17">
        <f>B46*B57</f>
        <v>14916.717242418013</v>
      </c>
      <c r="F5" s="17">
        <f>B51*B62</f>
        <v>13854.144782683567</v>
      </c>
      <c r="G5" s="18"/>
      <c r="H5" s="17"/>
      <c r="I5" s="17"/>
      <c r="J5" s="17">
        <f>B50*B61+C50*C61</f>
        <v>0</v>
      </c>
      <c r="K5" s="17"/>
      <c r="L5" s="17"/>
      <c r="M5" s="17"/>
      <c r="N5" s="17">
        <f>B48*B59+C48*C59</f>
        <v>15124.964540132039</v>
      </c>
      <c r="O5" s="17">
        <f>B69*B70*B71</f>
        <v>240.75333333333336</v>
      </c>
      <c r="P5" s="17">
        <f>B77*B78*B79/1000-B77*B78*B79/1000/B80</f>
        <v>648.26666666666665</v>
      </c>
    </row>
    <row r="6" spans="1:16">
      <c r="A6" s="16" t="s">
        <v>623</v>
      </c>
      <c r="B6" s="762">
        <f>kWh_PV_kleiner_dan_10kW</f>
        <v>3251.9771789981596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25992.384781816163</v>
      </c>
      <c r="C8" s="21">
        <f>C5</f>
        <v>0</v>
      </c>
      <c r="D8" s="21">
        <f>D5</f>
        <v>53096.655817853956</v>
      </c>
      <c r="E8" s="21">
        <f>E5</f>
        <v>14916.717242418013</v>
      </c>
      <c r="F8" s="21">
        <f>F5</f>
        <v>13854.144782683567</v>
      </c>
      <c r="G8" s="21"/>
      <c r="H8" s="21"/>
      <c r="I8" s="21"/>
      <c r="J8" s="21">
        <f>J5</f>
        <v>0</v>
      </c>
      <c r="K8" s="21"/>
      <c r="L8" s="21">
        <f>L5</f>
        <v>0</v>
      </c>
      <c r="M8" s="21">
        <f>M5</f>
        <v>0</v>
      </c>
      <c r="N8" s="21">
        <f>N5</f>
        <v>15124.964540132039</v>
      </c>
      <c r="O8" s="21">
        <f>O5</f>
        <v>240.75333333333336</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0.20565410121746686</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5345.4405308029664</v>
      </c>
      <c r="C12" s="23">
        <f ca="1">C10*C8</f>
        <v>0</v>
      </c>
      <c r="D12" s="23">
        <f>D8*D10</f>
        <v>10725.524475206499</v>
      </c>
      <c r="E12" s="23">
        <f>E10*E8</f>
        <v>3386.0948140288892</v>
      </c>
      <c r="F12" s="23">
        <f>F10*F8</f>
        <v>3699.0566569765124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2245</v>
      </c>
      <c r="C18" s="166" t="s">
        <v>110</v>
      </c>
      <c r="D18" s="228"/>
      <c r="E18" s="15"/>
    </row>
    <row r="19" spans="1:7">
      <c r="A19" s="171" t="s">
        <v>71</v>
      </c>
      <c r="B19" s="37">
        <f>aantalw2001_ander</f>
        <v>1</v>
      </c>
      <c r="C19" s="166" t="s">
        <v>110</v>
      </c>
      <c r="D19" s="229"/>
      <c r="E19" s="15"/>
    </row>
    <row r="20" spans="1:7">
      <c r="A20" s="171" t="s">
        <v>72</v>
      </c>
      <c r="B20" s="37">
        <f>aantalw2001_propaan</f>
        <v>93</v>
      </c>
      <c r="C20" s="167">
        <f>IF(ISERROR(B20/SUM($B$20,$B$21,$B$22)*100),0,B20/SUM($B$20,$B$21,$B$22)*100)</f>
        <v>13.080168776371309</v>
      </c>
      <c r="D20" s="229"/>
      <c r="E20" s="15"/>
    </row>
    <row r="21" spans="1:7">
      <c r="A21" s="171" t="s">
        <v>73</v>
      </c>
      <c r="B21" s="37">
        <f>aantalw2001_elektriciteit</f>
        <v>500</v>
      </c>
      <c r="C21" s="167">
        <f>IF(ISERROR(B21/SUM($B$20,$B$21,$B$22)*100),0,B21/SUM($B$20,$B$21,$B$22)*100)</f>
        <v>70.323488045007025</v>
      </c>
      <c r="D21" s="229"/>
      <c r="E21" s="15"/>
    </row>
    <row r="22" spans="1:7">
      <c r="A22" s="171" t="s">
        <v>74</v>
      </c>
      <c r="B22" s="37">
        <f>aantalw2001_hout</f>
        <v>118</v>
      </c>
      <c r="C22" s="167">
        <f>IF(ISERROR(B22/SUM($B$20,$B$21,$B$22)*100),0,B22/SUM($B$20,$B$21,$B$22)*100)</f>
        <v>16.596343178621659</v>
      </c>
      <c r="D22" s="229"/>
      <c r="E22" s="15"/>
    </row>
    <row r="23" spans="1:7">
      <c r="A23" s="171" t="s">
        <v>75</v>
      </c>
      <c r="B23" s="37">
        <f>aantalw2001_niet_gespec</f>
        <v>82</v>
      </c>
      <c r="C23" s="166" t="s">
        <v>110</v>
      </c>
      <c r="D23" s="228"/>
      <c r="E23" s="15"/>
    </row>
    <row r="24" spans="1:7">
      <c r="A24" s="171" t="s">
        <v>76</v>
      </c>
      <c r="B24" s="37">
        <f>aantalw2001_steenkool</f>
        <v>110</v>
      </c>
      <c r="C24" s="166" t="s">
        <v>110</v>
      </c>
      <c r="D24" s="229"/>
      <c r="E24" s="15"/>
    </row>
    <row r="25" spans="1:7">
      <c r="A25" s="171" t="s">
        <v>77</v>
      </c>
      <c r="B25" s="37">
        <f>aantalw2001_stookolie</f>
        <v>1792</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695</v>
      </c>
      <c r="B28" s="37">
        <f>aantalHuishoudens</f>
        <v>5592</v>
      </c>
      <c r="C28" s="36"/>
      <c r="D28" s="228"/>
    </row>
    <row r="29" spans="1:7" s="15" customFormat="1">
      <c r="A29" s="230" t="s">
        <v>696</v>
      </c>
      <c r="B29" s="37">
        <f>SUM(HH_hh_gas_aantal,HH_rest_gas_aantal)</f>
        <v>3481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3481</v>
      </c>
      <c r="C32" s="167">
        <f>IF(ISERROR(B32/SUM($B$32,$B$34,$B$35,$B$36,$B$38,$B$39)*100),0,B32/SUM($B$32,$B$34,$B$35,$B$36,$B$38,$B$39)*100)</f>
        <v>62.630442605253691</v>
      </c>
      <c r="D32" s="233"/>
      <c r="G32" s="15"/>
    </row>
    <row r="33" spans="1:7">
      <c r="A33" s="171" t="s">
        <v>71</v>
      </c>
      <c r="B33" s="34" t="s">
        <v>110</v>
      </c>
      <c r="C33" s="167"/>
      <c r="D33" s="233"/>
      <c r="G33" s="15"/>
    </row>
    <row r="34" spans="1:7">
      <c r="A34" s="171" t="s">
        <v>72</v>
      </c>
      <c r="B34" s="33">
        <f>IF((($B$28-$B$32-$B$39-$B$77-$B$38)*C20/100)&lt;0,0,($B$28-$B$32-$B$39-$B$77-$B$38)*C20/100)</f>
        <v>182.7822784810127</v>
      </c>
      <c r="C34" s="167">
        <f>IF(ISERROR(B34/SUM($B$32,$B$34,$B$35,$B$36,$B$38,$B$39)*100),0,B34/SUM($B$32,$B$34,$B$35,$B$36,$B$38,$B$39)*100)</f>
        <v>3.2886340136922034</v>
      </c>
      <c r="D34" s="233"/>
      <c r="G34" s="15"/>
    </row>
    <row r="35" spans="1:7">
      <c r="A35" s="171" t="s">
        <v>73</v>
      </c>
      <c r="B35" s="33">
        <f>IF((($B$28-$B$32-$B$39-$B$77-$B$38)*C21/100)&lt;0,0,($B$28-$B$32-$B$39-$B$77-$B$38)*C21/100)</f>
        <v>982.70042194092821</v>
      </c>
      <c r="C35" s="167">
        <f>IF(ISERROR(B35/SUM($B$32,$B$34,$B$35,$B$36,$B$38,$B$39)*100),0,B35/SUM($B$32,$B$34,$B$35,$B$36,$B$38,$B$39)*100)</f>
        <v>17.680828030603244</v>
      </c>
      <c r="D35" s="233"/>
      <c r="G35" s="15"/>
    </row>
    <row r="36" spans="1:7">
      <c r="A36" s="171" t="s">
        <v>74</v>
      </c>
      <c r="B36" s="33">
        <f>IF((($B$28-$B$32-$B$39-$B$77-$B$38)*C22/100)&lt;0,0,($B$28-$B$32-$B$39-$B$77-$B$38)*C22/100)</f>
        <v>231.91729957805907</v>
      </c>
      <c r="C36" s="167">
        <f>IF(ISERROR(B36/SUM($B$32,$B$34,$B$35,$B$36,$B$38,$B$39)*100),0,B36/SUM($B$32,$B$34,$B$35,$B$36,$B$38,$B$39)*100)</f>
        <v>4.1726754152223657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679.59999999999991</v>
      </c>
      <c r="C39" s="167">
        <f>IF(ISERROR(B39/SUM($B$32,$B$34,$B$35,$B$36,$B$38,$B$39)*100),0,B39/SUM($B$32,$B$34,$B$35,$B$36,$B$38,$B$39)*100)</f>
        <v>12.227419935228498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3481</v>
      </c>
      <c r="C44" s="34" t="s">
        <v>110</v>
      </c>
      <c r="D44" s="174"/>
    </row>
    <row r="45" spans="1:7">
      <c r="A45" s="171" t="s">
        <v>71</v>
      </c>
      <c r="B45" s="33" t="str">
        <f t="shared" si="0"/>
        <v>-</v>
      </c>
      <c r="C45" s="34" t="s">
        <v>110</v>
      </c>
      <c r="D45" s="174"/>
    </row>
    <row r="46" spans="1:7">
      <c r="A46" s="171" t="s">
        <v>72</v>
      </c>
      <c r="B46" s="33">
        <f t="shared" si="0"/>
        <v>182.7822784810127</v>
      </c>
      <c r="C46" s="34" t="s">
        <v>110</v>
      </c>
      <c r="D46" s="174"/>
    </row>
    <row r="47" spans="1:7">
      <c r="A47" s="171" t="s">
        <v>73</v>
      </c>
      <c r="B47" s="33">
        <f t="shared" si="0"/>
        <v>982.70042194092821</v>
      </c>
      <c r="C47" s="34" t="s">
        <v>110</v>
      </c>
      <c r="D47" s="174"/>
    </row>
    <row r="48" spans="1:7">
      <c r="A48" s="171" t="s">
        <v>74</v>
      </c>
      <c r="B48" s="33">
        <f t="shared" si="0"/>
        <v>231.91729957805907</v>
      </c>
      <c r="C48" s="33">
        <f>B48*10</f>
        <v>2319.1729957805906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679.59999999999991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15411.181999999999</v>
      </c>
      <c r="C5" s="17">
        <f>IF(ISERROR('Eigen informatie GS &amp; warmtenet'!B58),0,'Eigen informatie GS &amp; warmtenet'!B58)</f>
        <v>0</v>
      </c>
      <c r="D5" s="30">
        <f>SUM(D6:D12)</f>
        <v>14988.635794199761</v>
      </c>
      <c r="E5" s="17">
        <f>SUM(E6:E12)</f>
        <v>312.60735760217921</v>
      </c>
      <c r="F5" s="17">
        <f>SUM(F6:F12)</f>
        <v>3923.4950138599511</v>
      </c>
      <c r="G5" s="18"/>
      <c r="H5" s="17"/>
      <c r="I5" s="17"/>
      <c r="J5" s="17">
        <f>SUM(J6:J12)</f>
        <v>0</v>
      </c>
      <c r="K5" s="17"/>
      <c r="L5" s="17"/>
      <c r="M5" s="17"/>
      <c r="N5" s="17">
        <f>SUM(N6:N12)</f>
        <v>1076.9293343763536</v>
      </c>
      <c r="O5" s="17">
        <f>B38*B39*B40</f>
        <v>0</v>
      </c>
      <c r="P5" s="17">
        <f>B46*B47*B48/1000-B46*B47*B48/1000/B49</f>
        <v>57.2</v>
      </c>
      <c r="R5" s="32"/>
    </row>
    <row r="6" spans="1:18">
      <c r="A6" s="32" t="s">
        <v>53</v>
      </c>
      <c r="B6" s="37">
        <f>B26</f>
        <v>5082.5680000000002</v>
      </c>
      <c r="C6" s="33"/>
      <c r="D6" s="37">
        <f>IF(ISERROR(TER_kantoor_gas_kWh/1000),0,TER_kantoor_gas_kWh/1000)*0.902</f>
        <v>3203.8567346588006</v>
      </c>
      <c r="E6" s="33">
        <f>$C$26*'E Balans VL '!I12/100/3.6*1000000</f>
        <v>66.537075935932492</v>
      </c>
      <c r="F6" s="33">
        <f>$C$26*('E Balans VL '!L12+'E Balans VL '!N12)/100/3.6*1000000</f>
        <v>1296.0023187042159</v>
      </c>
      <c r="G6" s="34"/>
      <c r="H6" s="33"/>
      <c r="I6" s="33"/>
      <c r="J6" s="33">
        <f>$C$26*('E Balans VL '!D12+'E Balans VL '!E12)/100/3.6*1000000</f>
        <v>0</v>
      </c>
      <c r="K6" s="33"/>
      <c r="L6" s="33"/>
      <c r="M6" s="33"/>
      <c r="N6" s="33">
        <f>$C$26*'E Balans VL '!Y12/100/3.6*1000000</f>
        <v>5.099683275503379</v>
      </c>
      <c r="O6" s="33"/>
      <c r="P6" s="33"/>
      <c r="R6" s="32"/>
    </row>
    <row r="7" spans="1:18">
      <c r="A7" s="32" t="s">
        <v>52</v>
      </c>
      <c r="B7" s="37">
        <f t="shared" ref="B7:B12" si="0">B27</f>
        <v>2319.27</v>
      </c>
      <c r="C7" s="33"/>
      <c r="D7" s="37">
        <f>IF(ISERROR(TER_horeca_gas_kWh/1000),0,TER_horeca_gas_kWh/1000)*0.902</f>
        <v>1771.4216416622</v>
      </c>
      <c r="E7" s="33">
        <f>$C$27*'E Balans VL '!I9/100/3.6*1000000</f>
        <v>76.753729353844264</v>
      </c>
      <c r="F7" s="33">
        <f>$C$27*('E Balans VL '!L9+'E Balans VL '!N9)/100/3.6*1000000</f>
        <v>997.27721148070896</v>
      </c>
      <c r="G7" s="34"/>
      <c r="H7" s="33"/>
      <c r="I7" s="33"/>
      <c r="J7" s="33">
        <f>$C$27*('E Balans VL '!D9+'E Balans VL '!E9)/100/3.6*1000000</f>
        <v>0</v>
      </c>
      <c r="K7" s="33"/>
      <c r="L7" s="33"/>
      <c r="M7" s="33"/>
      <c r="N7" s="33">
        <f>$C$27*'E Balans VL '!Y9/100/3.6*1000000</f>
        <v>0.55828196849641754</v>
      </c>
      <c r="O7" s="33"/>
      <c r="P7" s="33"/>
      <c r="R7" s="32"/>
    </row>
    <row r="8" spans="1:18">
      <c r="A8" s="6" t="s">
        <v>51</v>
      </c>
      <c r="B8" s="37">
        <f t="shared" si="0"/>
        <v>5293.625</v>
      </c>
      <c r="C8" s="33"/>
      <c r="D8" s="37">
        <f>IF(ISERROR(TER_handel_gas_kWh/1000),0,TER_handel_gas_kWh/1000)*0.902</f>
        <v>1886.4231819510001</v>
      </c>
      <c r="E8" s="33">
        <f>$C$28*'E Balans VL '!I13/100/3.6*1000000</f>
        <v>167.07489341823538</v>
      </c>
      <c r="F8" s="33">
        <f>$C$28*('E Balans VL '!L13+'E Balans VL '!N13)/100/3.6*1000000</f>
        <v>1038.1730774489527</v>
      </c>
      <c r="G8" s="34"/>
      <c r="H8" s="33"/>
      <c r="I8" s="33"/>
      <c r="J8" s="33">
        <f>$C$28*('E Balans VL '!D13+'E Balans VL '!E13)/100/3.6*1000000</f>
        <v>0</v>
      </c>
      <c r="K8" s="33"/>
      <c r="L8" s="33"/>
      <c r="M8" s="33"/>
      <c r="N8" s="33">
        <f>$C$28*'E Balans VL '!Y13/100/3.6*1000000</f>
        <v>6.2825051303233224</v>
      </c>
      <c r="O8" s="33"/>
      <c r="P8" s="33"/>
      <c r="R8" s="32"/>
    </row>
    <row r="9" spans="1:18">
      <c r="A9" s="32" t="s">
        <v>50</v>
      </c>
      <c r="B9" s="37">
        <f t="shared" si="0"/>
        <v>1346.1869999999999</v>
      </c>
      <c r="C9" s="33"/>
      <c r="D9" s="37">
        <f>IF(ISERROR(TER_gezond_gas_kWh/1000),0,TER_gezond_gas_kWh/1000)*0.902</f>
        <v>893.43341088363991</v>
      </c>
      <c r="E9" s="33">
        <f>$C$29*'E Balans VL '!I10/100/3.6*1000000</f>
        <v>0.17235131782687607</v>
      </c>
      <c r="F9" s="33">
        <f>$C$29*('E Balans VL '!L10+'E Balans VL '!N10)/100/3.6*1000000</f>
        <v>280.46717596804405</v>
      </c>
      <c r="G9" s="34"/>
      <c r="H9" s="33"/>
      <c r="I9" s="33"/>
      <c r="J9" s="33">
        <f>$C$29*('E Balans VL '!D10+'E Balans VL '!E10)/100/3.6*1000000</f>
        <v>0</v>
      </c>
      <c r="K9" s="33"/>
      <c r="L9" s="33"/>
      <c r="M9" s="33"/>
      <c r="N9" s="33">
        <f>$C$29*'E Balans VL '!Y10/100/3.6*1000000</f>
        <v>15.811602606626801</v>
      </c>
      <c r="O9" s="33"/>
      <c r="P9" s="33"/>
      <c r="R9" s="32"/>
    </row>
    <row r="10" spans="1:18">
      <c r="A10" s="32" t="s">
        <v>49</v>
      </c>
      <c r="B10" s="37">
        <f t="shared" si="0"/>
        <v>1331.239</v>
      </c>
      <c r="C10" s="33"/>
      <c r="D10" s="37">
        <f>IF(ISERROR(TER_ander_gas_kWh/1000),0,TER_ander_gas_kWh/1000)*0.902</f>
        <v>3201.3886252524003</v>
      </c>
      <c r="E10" s="33">
        <f>$C$30*'E Balans VL '!I14/100/3.6*1000000</f>
        <v>2.0018703943979026</v>
      </c>
      <c r="F10" s="33">
        <f>$C$30*('E Balans VL '!L14+'E Balans VL '!N14)/100/3.6*1000000</f>
        <v>293.89465924734088</v>
      </c>
      <c r="G10" s="34"/>
      <c r="H10" s="33"/>
      <c r="I10" s="33"/>
      <c r="J10" s="33">
        <f>$C$30*('E Balans VL '!D14+'E Balans VL '!E14)/100/3.6*1000000</f>
        <v>0</v>
      </c>
      <c r="K10" s="33"/>
      <c r="L10" s="33"/>
      <c r="M10" s="33"/>
      <c r="N10" s="33">
        <f>$C$30*'E Balans VL '!Y14/100/3.6*1000000</f>
        <v>1049.1059210068584</v>
      </c>
      <c r="O10" s="33"/>
      <c r="P10" s="33"/>
      <c r="R10" s="32"/>
    </row>
    <row r="11" spans="1:18">
      <c r="A11" s="32" t="s">
        <v>54</v>
      </c>
      <c r="B11" s="37">
        <f t="shared" si="0"/>
        <v>38.292999999999999</v>
      </c>
      <c r="C11" s="33"/>
      <c r="D11" s="37">
        <f>IF(ISERROR(TER_onderwijs_gas_kWh/1000),0,TER_onderwijs_gas_kWh/1000)*0.902</f>
        <v>868.64721581572007</v>
      </c>
      <c r="E11" s="33">
        <f>$C$31*'E Balans VL '!I11/100/3.6*1000000</f>
        <v>6.7437181942307828E-2</v>
      </c>
      <c r="F11" s="33">
        <f>$C$31*('E Balans VL '!L11+'E Balans VL '!N11)/100/3.6*1000000</f>
        <v>17.680571010688972</v>
      </c>
      <c r="G11" s="34"/>
      <c r="H11" s="33"/>
      <c r="I11" s="33"/>
      <c r="J11" s="33">
        <f>$C$31*('E Balans VL '!D11+'E Balans VL '!E11)/100/3.6*1000000</f>
        <v>0</v>
      </c>
      <c r="K11" s="33"/>
      <c r="L11" s="33"/>
      <c r="M11" s="33"/>
      <c r="N11" s="33">
        <f>$C$31*'E Balans VL '!Y11/100/3.6*1000000</f>
        <v>7.1340388545423156E-2</v>
      </c>
      <c r="O11" s="33"/>
      <c r="P11" s="33"/>
      <c r="R11" s="32"/>
    </row>
    <row r="12" spans="1:18">
      <c r="A12" s="32" t="s">
        <v>259</v>
      </c>
      <c r="B12" s="37">
        <f t="shared" si="0"/>
        <v>0</v>
      </c>
      <c r="C12" s="33"/>
      <c r="D12" s="37">
        <f>IF(ISERROR(TER_rest_gas_kWh/1000),0,TER_rest_gas_kWh/1000)*0.902</f>
        <v>3163.464983976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energieproductie'!N40+'lokale energieproductie'!N33</f>
        <v>24.75</v>
      </c>
      <c r="C13" s="247">
        <f ca="1">'lokale energieproductie'!O40+'lokale energieproductie'!O33</f>
        <v>35.357142857142861</v>
      </c>
      <c r="D13" s="308">
        <f ca="1">('lokale energieproductie'!P33+'lokale energieproductie'!P40)*(-1)</f>
        <v>-70.714285714285722</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15435.931999999999</v>
      </c>
      <c r="C16" s="21">
        <f t="shared" ca="1" si="1"/>
        <v>35.357142857142861</v>
      </c>
      <c r="D16" s="21">
        <f t="shared" ca="1" si="1"/>
        <v>14917.921508485475</v>
      </c>
      <c r="E16" s="21">
        <f t="shared" si="1"/>
        <v>312.60735760217921</v>
      </c>
      <c r="F16" s="21">
        <f t="shared" ca="1" si="1"/>
        <v>3923.4950138599511</v>
      </c>
      <c r="G16" s="21">
        <f t="shared" si="1"/>
        <v>0</v>
      </c>
      <c r="H16" s="21">
        <f t="shared" si="1"/>
        <v>0</v>
      </c>
      <c r="I16" s="21">
        <f t="shared" si="1"/>
        <v>0</v>
      </c>
      <c r="J16" s="21">
        <f t="shared" si="1"/>
        <v>0</v>
      </c>
      <c r="K16" s="21">
        <f t="shared" si="1"/>
        <v>0</v>
      </c>
      <c r="L16" s="21">
        <f t="shared" ca="1" si="1"/>
        <v>0</v>
      </c>
      <c r="M16" s="21">
        <f t="shared" si="1"/>
        <v>0</v>
      </c>
      <c r="N16" s="21">
        <f t="shared" ca="1" si="1"/>
        <v>1076.9293343763536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0.20565410121746686</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3174.4627219139352</v>
      </c>
      <c r="C20" s="23">
        <f t="shared" ref="C20:P20" ca="1" si="2">C16*C18</f>
        <v>8.3620761623426692</v>
      </c>
      <c r="D20" s="23">
        <f t="shared" ca="1" si="2"/>
        <v>3013.4201447140663</v>
      </c>
      <c r="E20" s="23">
        <f t="shared" si="2"/>
        <v>70.961870175694685</v>
      </c>
      <c r="F20" s="23">
        <f t="shared" ca="1" si="2"/>
        <v>1047.5731687006071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5082.5680000000002</v>
      </c>
      <c r="C26" s="39">
        <f>IF(ISERROR(B26*3.6/1000000/'E Balans VL '!Z12*100),0,B26*3.6/1000000/'E Balans VL '!Z12*100)</f>
        <v>0.10887255505332673</v>
      </c>
      <c r="D26" s="237" t="s">
        <v>659</v>
      </c>
      <c r="F26" s="6"/>
    </row>
    <row r="27" spans="1:18">
      <c r="A27" s="231" t="s">
        <v>52</v>
      </c>
      <c r="B27" s="33">
        <f>IF(ISERROR(TER_horeca_ele_kWh/1000),0,TER_horeca_ele_kWh/1000)</f>
        <v>2319.27</v>
      </c>
      <c r="C27" s="39">
        <f>IF(ISERROR(B27*3.6/1000000/'E Balans VL '!Z9*100),0,B27*3.6/1000000/'E Balans VL '!Z9*100)</f>
        <v>0.18611335579976709</v>
      </c>
      <c r="D27" s="237" t="s">
        <v>659</v>
      </c>
      <c r="F27" s="6"/>
    </row>
    <row r="28" spans="1:18">
      <c r="A28" s="171" t="s">
        <v>51</v>
      </c>
      <c r="B28" s="33">
        <f>IF(ISERROR(TER_handel_ele_kWh/1000),0,TER_handel_ele_kWh/1000)</f>
        <v>5293.625</v>
      </c>
      <c r="C28" s="39">
        <f>IF(ISERROR(B28*3.6/1000000/'E Balans VL '!Z13*100),0,B28*3.6/1000000/'E Balans VL '!Z13*100)</f>
        <v>0.15613157447808254</v>
      </c>
      <c r="D28" s="237" t="s">
        <v>659</v>
      </c>
      <c r="F28" s="6"/>
    </row>
    <row r="29" spans="1:18">
      <c r="A29" s="231" t="s">
        <v>50</v>
      </c>
      <c r="B29" s="33">
        <f>IF(ISERROR(TER_gezond_ele_kWh/1000),0,TER_gezond_ele_kWh/1000)</f>
        <v>1346.1869999999999</v>
      </c>
      <c r="C29" s="39">
        <f>IF(ISERROR(B29*3.6/1000000/'E Balans VL '!Z10*100),0,B29*3.6/1000000/'E Balans VL '!Z10*100)</f>
        <v>0.14373667897306763</v>
      </c>
      <c r="D29" s="237" t="s">
        <v>659</v>
      </c>
      <c r="F29" s="6"/>
    </row>
    <row r="30" spans="1:18">
      <c r="A30" s="231" t="s">
        <v>49</v>
      </c>
      <c r="B30" s="33">
        <f>IF(ISERROR(TER_ander_ele_kWh/1000),0,TER_ander_ele_kWh/1000)</f>
        <v>1331.239</v>
      </c>
      <c r="C30" s="39">
        <f>IF(ISERROR(B30*3.6/1000000/'E Balans VL '!Z14*100),0,B30*3.6/1000000/'E Balans VL '!Z14*100)</f>
        <v>0.10055370923469044</v>
      </c>
      <c r="D30" s="237" t="s">
        <v>659</v>
      </c>
      <c r="F30" s="6"/>
    </row>
    <row r="31" spans="1:18">
      <c r="A31" s="231" t="s">
        <v>54</v>
      </c>
      <c r="B31" s="33">
        <f>IF(ISERROR(TER_onderwijs_ele_kWh/1000),0,TER_onderwijs_ele_kWh/1000)</f>
        <v>38.292999999999999</v>
      </c>
      <c r="C31" s="39">
        <f>IF(ISERROR(B31*3.6/1000000/'E Balans VL '!Z11*100),0,B31*3.6/1000000/'E Balans VL '!Z11*100)</f>
        <v>7.7326350190955332E-3</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16619.820000000003</v>
      </c>
      <c r="C5" s="17">
        <f>IF(ISERROR('Eigen informatie GS &amp; warmtenet'!B59),0,'Eigen informatie GS &amp; warmtenet'!B59)</f>
        <v>0</v>
      </c>
      <c r="D5" s="30">
        <f>SUM(D6:D15)</f>
        <v>19227.09842787118</v>
      </c>
      <c r="E5" s="17">
        <f>SUM(E6:E15)</f>
        <v>597.17566611139785</v>
      </c>
      <c r="F5" s="17">
        <f>SUM(F6:F15)</f>
        <v>2299.2063168195623</v>
      </c>
      <c r="G5" s="18"/>
      <c r="H5" s="17"/>
      <c r="I5" s="17"/>
      <c r="J5" s="17">
        <f>SUM(J6:J15)</f>
        <v>916.1986856514568</v>
      </c>
      <c r="K5" s="17"/>
      <c r="L5" s="17"/>
      <c r="M5" s="17"/>
      <c r="N5" s="17">
        <f>SUM(N6:N15)</f>
        <v>3717.4353497641232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191.98400000000001</v>
      </c>
      <c r="C8" s="33"/>
      <c r="D8" s="37">
        <f>IF( ISERROR(IND_metaal_Gas_kWH/1000),0,IND_metaal_Gas_kWH/1000)*0.902</f>
        <v>0</v>
      </c>
      <c r="E8" s="33">
        <f>C30*'E Balans VL '!I18/100/3.6*1000000</f>
        <v>6.9081651109706623</v>
      </c>
      <c r="F8" s="33">
        <f>C30*'E Balans VL '!L18/100/3.6*1000000+C30*'E Balans VL '!N18/100/3.6*1000000</f>
        <v>83.833189348300394</v>
      </c>
      <c r="G8" s="34"/>
      <c r="H8" s="33"/>
      <c r="I8" s="33"/>
      <c r="J8" s="40">
        <f>C30*'E Balans VL '!D18/100/3.6*1000000+C30*'E Balans VL '!E18/100/3.6*1000000</f>
        <v>0</v>
      </c>
      <c r="K8" s="33"/>
      <c r="L8" s="33"/>
      <c r="M8" s="33"/>
      <c r="N8" s="33">
        <f>C30*'E Balans VL '!Y18/100/3.6*1000000</f>
        <v>9.6221076130477741</v>
      </c>
      <c r="O8" s="33"/>
      <c r="P8" s="33"/>
      <c r="R8" s="32"/>
    </row>
    <row r="9" spans="1:18">
      <c r="A9" s="6" t="s">
        <v>32</v>
      </c>
      <c r="B9" s="37">
        <f t="shared" si="0"/>
        <v>2026.5640000000001</v>
      </c>
      <c r="C9" s="33"/>
      <c r="D9" s="37">
        <f>IF( ISERROR(IND_andere_gas_kWh/1000),0,IND_andere_gas_kWh/1000)*0.902</f>
        <v>1234.4493033048</v>
      </c>
      <c r="E9" s="33">
        <f>C31*'E Balans VL '!I19/100/3.6*1000000</f>
        <v>517.133280505225</v>
      </c>
      <c r="F9" s="33">
        <f>C31*'E Balans VL '!L19/100/3.6*1000000+C31*'E Balans VL '!N19/100/3.6*1000000</f>
        <v>1744.7192815279709</v>
      </c>
      <c r="G9" s="34"/>
      <c r="H9" s="33"/>
      <c r="I9" s="33"/>
      <c r="J9" s="40">
        <f>C31*'E Balans VL '!D19/100/3.6*1000000+C31*'E Balans VL '!E19/100/3.6*1000000</f>
        <v>0</v>
      </c>
      <c r="K9" s="33"/>
      <c r="L9" s="33"/>
      <c r="M9" s="33"/>
      <c r="N9" s="33">
        <f>C31*'E Balans VL '!Y19/100/3.6*1000000</f>
        <v>159.87218532300784</v>
      </c>
      <c r="O9" s="33"/>
      <c r="P9" s="33"/>
      <c r="R9" s="32"/>
    </row>
    <row r="10" spans="1:18">
      <c r="A10" s="6" t="s">
        <v>40</v>
      </c>
      <c r="B10" s="37">
        <f t="shared" si="0"/>
        <v>552.53700000000003</v>
      </c>
      <c r="C10" s="33"/>
      <c r="D10" s="37">
        <f>IF( ISERROR(IND_voed_gas_kWh/1000),0,IND_voed_gas_kWh/1000)*0.902</f>
        <v>409.76249496138001</v>
      </c>
      <c r="E10" s="33">
        <f>C32*'E Balans VL '!I20/100/3.6*1000000</f>
        <v>14.046249235474814</v>
      </c>
      <c r="F10" s="33">
        <f>C32*'E Balans VL '!L20/100/3.6*1000000+C32*'E Balans VL '!N20/100/3.6*1000000</f>
        <v>125.0308288043295</v>
      </c>
      <c r="G10" s="34"/>
      <c r="H10" s="33"/>
      <c r="I10" s="33"/>
      <c r="J10" s="40">
        <f>C32*'E Balans VL '!D20/100/3.6*1000000+C32*'E Balans VL '!E20/100/3.6*1000000</f>
        <v>0</v>
      </c>
      <c r="K10" s="33"/>
      <c r="L10" s="33"/>
      <c r="M10" s="33"/>
      <c r="N10" s="33">
        <f>C32*'E Balans VL '!Y20/100/3.6*1000000</f>
        <v>207.21635210448935</v>
      </c>
      <c r="O10" s="33"/>
      <c r="P10" s="33"/>
      <c r="R10" s="32"/>
    </row>
    <row r="11" spans="1:18">
      <c r="A11" s="6" t="s">
        <v>39</v>
      </c>
      <c r="B11" s="37">
        <f t="shared" si="0"/>
        <v>7.6989999999999998</v>
      </c>
      <c r="C11" s="33"/>
      <c r="D11" s="37">
        <f>IF( ISERROR(IND_textiel_gas_kWh/1000),0,IND_textiel_gas_kWh/1000)*0.902</f>
        <v>0</v>
      </c>
      <c r="E11" s="33">
        <f>C33*'E Balans VL '!I21/100/3.6*1000000</f>
        <v>2.1135825437023577E-2</v>
      </c>
      <c r="F11" s="33">
        <f>C33*'E Balans VL '!L21/100/3.6*1000000+C33*'E Balans VL '!N21/100/3.6*1000000</f>
        <v>0.40816889413260937</v>
      </c>
      <c r="G11" s="34"/>
      <c r="H11" s="33"/>
      <c r="I11" s="33"/>
      <c r="J11" s="40">
        <f>C33*'E Balans VL '!D21/100/3.6*1000000+C33*'E Balans VL '!E21/100/3.6*1000000</f>
        <v>0</v>
      </c>
      <c r="K11" s="33"/>
      <c r="L11" s="33"/>
      <c r="M11" s="33"/>
      <c r="N11" s="33">
        <f>C33*'E Balans VL '!Y21/100/3.6*1000000</f>
        <v>1.5473715949414426E-2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13685.941000000001</v>
      </c>
      <c r="C13" s="33"/>
      <c r="D13" s="37">
        <f>IF( ISERROR(IND_papier_gas_kWh/1000),0,IND_papier_gas_kWh/1000)*0.902</f>
        <v>16604.458887412002</v>
      </c>
      <c r="E13" s="33">
        <f>C35*'E Balans VL '!I23/100/3.6*1000000</f>
        <v>58.695019465378188</v>
      </c>
      <c r="F13" s="33">
        <f>C35*'E Balans VL '!L23/100/3.6*1000000+C35*'E Balans VL '!N23/100/3.6*1000000</f>
        <v>343.97017578668357</v>
      </c>
      <c r="G13" s="34"/>
      <c r="H13" s="33"/>
      <c r="I13" s="33"/>
      <c r="J13" s="40">
        <f>C35*'E Balans VL '!D23/100/3.6*1000000+C35*'E Balans VL '!E23/100/3.6*1000000</f>
        <v>916.1986856514568</v>
      </c>
      <c r="K13" s="33"/>
      <c r="L13" s="33"/>
      <c r="M13" s="33"/>
      <c r="N13" s="33">
        <f>C35*'E Balans VL '!Y23/100/3.6*1000000</f>
        <v>3337.5035375966991</v>
      </c>
      <c r="O13" s="33"/>
      <c r="P13" s="33"/>
      <c r="R13" s="32"/>
    </row>
    <row r="14" spans="1:18">
      <c r="A14" s="6" t="s">
        <v>33</v>
      </c>
      <c r="B14" s="37">
        <f t="shared" si="0"/>
        <v>155.095</v>
      </c>
      <c r="C14" s="33"/>
      <c r="D14" s="37">
        <f>IF( ISERROR(IND_chemie_gas_kWh/1000),0,IND_chemie_gas_kWh/1000)*0.902</f>
        <v>0</v>
      </c>
      <c r="E14" s="33">
        <f>C36*'E Balans VL '!I24/100/3.6*1000000</f>
        <v>0.37181596891221241</v>
      </c>
      <c r="F14" s="33">
        <f>C36*'E Balans VL '!L24/100/3.6*1000000+C36*'E Balans VL '!N24/100/3.6*1000000</f>
        <v>1.2446724581448982</v>
      </c>
      <c r="G14" s="34"/>
      <c r="H14" s="33"/>
      <c r="I14" s="33"/>
      <c r="J14" s="40">
        <f>C36*'E Balans VL '!D24/100/3.6*1000000+C36*'E Balans VL '!E24/100/3.6*1000000</f>
        <v>0</v>
      </c>
      <c r="K14" s="33"/>
      <c r="L14" s="33"/>
      <c r="M14" s="33"/>
      <c r="N14" s="33">
        <f>C36*'E Balans VL '!Y24/100/3.6*1000000</f>
        <v>3.2056934109296886</v>
      </c>
      <c r="O14" s="33"/>
      <c r="P14" s="33"/>
      <c r="R14" s="32"/>
    </row>
    <row r="15" spans="1:18">
      <c r="A15" s="6" t="s">
        <v>269</v>
      </c>
      <c r="B15" s="37">
        <f t="shared" si="0"/>
        <v>0</v>
      </c>
      <c r="C15" s="33"/>
      <c r="D15" s="37">
        <f>IF( ISERROR(IND_rest_gas_kWh/1000),0,IND_rest_gas_kWh/1000)*0.902</f>
        <v>978.42774219299997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16619.820000000003</v>
      </c>
      <c r="C18" s="21">
        <f>C5+C16</f>
        <v>0</v>
      </c>
      <c r="D18" s="21">
        <f>MAX((D5+D16),0)</f>
        <v>19227.09842787118</v>
      </c>
      <c r="E18" s="21">
        <f>MAX((E5+E16),0)</f>
        <v>597.17566611139785</v>
      </c>
      <c r="F18" s="21">
        <f>MAX((F5+F16),0)</f>
        <v>2299.2063168195623</v>
      </c>
      <c r="G18" s="21"/>
      <c r="H18" s="21"/>
      <c r="I18" s="21"/>
      <c r="J18" s="21">
        <f>MAX((J5+J16),0)</f>
        <v>916.1986856514568</v>
      </c>
      <c r="K18" s="21"/>
      <c r="L18" s="21">
        <f>MAX((L5+L16),0)</f>
        <v>0</v>
      </c>
      <c r="M18" s="21"/>
      <c r="N18" s="21">
        <f>MAX((N5+N16),0)</f>
        <v>3717.4353497641232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0.20565410121746686</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3417.9341444960805</v>
      </c>
      <c r="C22" s="23">
        <f ca="1">C18*C20</f>
        <v>0</v>
      </c>
      <c r="D22" s="23">
        <f>D18*D20</f>
        <v>3883.8738824299785</v>
      </c>
      <c r="E22" s="23">
        <f>E18*E20</f>
        <v>135.55887620728731</v>
      </c>
      <c r="F22" s="23">
        <f>F18*F20</f>
        <v>613.88808659082315</v>
      </c>
      <c r="G22" s="23"/>
      <c r="H22" s="23"/>
      <c r="I22" s="23"/>
      <c r="J22" s="23">
        <f>J18*J20</f>
        <v>324.33433472061569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191.98400000000001</v>
      </c>
      <c r="C30" s="39">
        <f>IF(ISERROR(B30*3.6/1000000/'E Balans VL '!Z18*100),0,B30*3.6/1000000/'E Balans VL '!Z18*100)</f>
        <v>4.0677293571520168E-2</v>
      </c>
      <c r="D30" s="237" t="s">
        <v>659</v>
      </c>
    </row>
    <row r="31" spans="1:18">
      <c r="A31" s="6" t="s">
        <v>32</v>
      </c>
      <c r="B31" s="37">
        <f>IF( ISERROR(IND_ander_ele_kWh/1000),0,IND_ander_ele_kWh/1000)</f>
        <v>2026.5640000000001</v>
      </c>
      <c r="C31" s="39">
        <f>IF(ISERROR(B31*3.6/1000000/'E Balans VL '!Z19*100),0,B31*3.6/1000000/'E Balans VL '!Z19*100)</f>
        <v>8.5302680408221074E-2</v>
      </c>
      <c r="D31" s="237" t="s">
        <v>659</v>
      </c>
    </row>
    <row r="32" spans="1:18">
      <c r="A32" s="171" t="s">
        <v>40</v>
      </c>
      <c r="B32" s="37">
        <f>IF( ISERROR(IND_voed_ele_kWh/1000),0,IND_voed_ele_kWh/1000)</f>
        <v>552.53700000000003</v>
      </c>
      <c r="C32" s="39">
        <f>IF(ISERROR(B32*3.6/1000000/'E Balans VL '!Z20*100),0,B32*3.6/1000000/'E Balans VL '!Z20*100)</f>
        <v>9.2307557376195837E-2</v>
      </c>
      <c r="D32" s="237" t="s">
        <v>659</v>
      </c>
    </row>
    <row r="33" spans="1:5">
      <c r="A33" s="171" t="s">
        <v>39</v>
      </c>
      <c r="B33" s="37">
        <f>IF( ISERROR(IND_textiel_ele_kWh/1000),0,IND_textiel_ele_kWh/1000)</f>
        <v>7.6989999999999998</v>
      </c>
      <c r="C33" s="39">
        <f>IF(ISERROR(B33*3.6/1000000/'E Balans VL '!Z21*100),0,B33*3.6/1000000/'E Balans VL '!Z21*100)</f>
        <v>4.4949065938749245E-4</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13685.941000000001</v>
      </c>
      <c r="C35" s="39">
        <f>IF(ISERROR(B35*3.6/1000000/'E Balans VL '!Z22*100),0,B35*3.6/1000000/'E Balans VL '!Z22*100)</f>
        <v>1.7347668298118235</v>
      </c>
      <c r="D35" s="237" t="s">
        <v>659</v>
      </c>
    </row>
    <row r="36" spans="1:5">
      <c r="A36" s="171" t="s">
        <v>33</v>
      </c>
      <c r="B36" s="37">
        <f>IF( ISERROR(IND_chemie_ele_kWh/1000),0,IND_chemie_ele_kWh/1000)</f>
        <v>155.095</v>
      </c>
      <c r="C36" s="39">
        <f>IF(ISERROR(B36*3.6/1000000/'E Balans VL '!Z24*100),0,B36*3.6/1000000/'E Balans VL '!Z24*100)</f>
        <v>5.0374906014598441E-3</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2426.2579999999998</v>
      </c>
      <c r="C5" s="17">
        <f>'Eigen informatie GS &amp; warmtenet'!B60</f>
        <v>0</v>
      </c>
      <c r="D5" s="30">
        <f>IF(ISERROR(SUM(LB_lb_gas_kWh,LB_rest_gas_kWh)/1000),0,SUM(LB_lb_gas_kWh,LB_rest_gas_kWh)/1000)*0.902</f>
        <v>30849.90413210875</v>
      </c>
      <c r="E5" s="17">
        <f>B17*'E Balans VL '!I25/3.6*1000000/100</f>
        <v>62.563878066318594</v>
      </c>
      <c r="F5" s="17">
        <f>B17*('E Balans VL '!L25/3.6*1000000+'E Balans VL '!N25/3.6*1000000)/100</f>
        <v>8868.4350483906237</v>
      </c>
      <c r="G5" s="18"/>
      <c r="H5" s="17"/>
      <c r="I5" s="17"/>
      <c r="J5" s="17">
        <f>('E Balans VL '!D25+'E Balans VL '!E25)/3.6*1000000*landbouw!B17/100</f>
        <v>349.29189807898069</v>
      </c>
      <c r="K5" s="17"/>
      <c r="L5" s="17">
        <f>L6*(-1)</f>
        <v>0</v>
      </c>
      <c r="M5" s="17"/>
      <c r="N5" s="17">
        <f>N6*(-1)</f>
        <v>124.71428571428569</v>
      </c>
      <c r="O5" s="17"/>
      <c r="P5" s="17"/>
      <c r="R5" s="32"/>
    </row>
    <row r="6" spans="1:18">
      <c r="A6" s="16" t="s">
        <v>490</v>
      </c>
      <c r="B6" s="17" t="s">
        <v>210</v>
      </c>
      <c r="C6" s="17">
        <f>'lokale energieproductie'!O41+'lokale energieproductie'!O34</f>
        <v>12919.5</v>
      </c>
      <c r="D6" s="308">
        <f>('lokale energieproductie'!P34+'lokale energieproductie'!P41)*(-1)</f>
        <v>-25714.285714285717</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2426.2579999999998</v>
      </c>
      <c r="C8" s="21">
        <f>C5+C6</f>
        <v>12919.5</v>
      </c>
      <c r="D8" s="21">
        <f>MAX((D5+D6),0)</f>
        <v>5135.6184178230324</v>
      </c>
      <c r="E8" s="21">
        <f>MAX((E5+E6),0)</f>
        <v>62.563878066318594</v>
      </c>
      <c r="F8" s="21">
        <f>MAX((F5+F6),0)</f>
        <v>8868.4350483906237</v>
      </c>
      <c r="G8" s="21"/>
      <c r="H8" s="21"/>
      <c r="I8" s="21"/>
      <c r="J8" s="21">
        <f>MAX((J5+J6),0)</f>
        <v>349.29189807898069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0.20565410121746686</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498.96990831168864</v>
      </c>
      <c r="C12" s="23">
        <f ca="1">C8*C10</f>
        <v>3055.5026297200106</v>
      </c>
      <c r="D12" s="23">
        <f>D8*D10</f>
        <v>1037.3949204002527</v>
      </c>
      <c r="E12" s="23">
        <f>E8*E10</f>
        <v>14.202000321054321</v>
      </c>
      <c r="F12" s="23">
        <f>F8*F10</f>
        <v>2367.8721579202966</v>
      </c>
      <c r="G12" s="23"/>
      <c r="H12" s="23"/>
      <c r="I12" s="23"/>
      <c r="J12" s="23">
        <f>J8*J10</f>
        <v>123.64933191995915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0.34211844917263012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705.04860261320675</v>
      </c>
      <c r="C26" s="247">
        <f>B26*'GWP N2O_CH4'!B5</f>
        <v>14806.020654877342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192.76628432914691</v>
      </c>
      <c r="C27" s="247">
        <f>B27*'GWP N2O_CH4'!B5</f>
        <v>4048.0919709120853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9.6826671026752873</v>
      </c>
      <c r="C28" s="247">
        <f>B28*'GWP N2O_CH4'!B4</f>
        <v>3001.626801829339</v>
      </c>
      <c r="D28" s="50"/>
    </row>
    <row r="29" spans="1:4">
      <c r="A29" s="41" t="s">
        <v>276</v>
      </c>
      <c r="B29" s="247">
        <f>B34*'ha_N2O bodem landbouw'!B4</f>
        <v>22.216658536030373</v>
      </c>
      <c r="C29" s="247">
        <f>B29*'GWP N2O_CH4'!B4</f>
        <v>6887.1641461694153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4.9999554589509696E-3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1.9542680810176208E-4</v>
      </c>
      <c r="C5" s="437" t="s">
        <v>210</v>
      </c>
      <c r="D5" s="422">
        <f>SUM(D6:D11)</f>
        <v>3.7737815507234488E-4</v>
      </c>
      <c r="E5" s="422">
        <f>SUM(E6:E11)</f>
        <v>1.9427358956636911E-3</v>
      </c>
      <c r="F5" s="435" t="s">
        <v>210</v>
      </c>
      <c r="G5" s="422">
        <f>SUM(G6:G11)</f>
        <v>0.78083294029115402</v>
      </c>
      <c r="H5" s="422">
        <f>SUM(H6:H11)</f>
        <v>0.13252616237906034</v>
      </c>
      <c r="I5" s="437" t="s">
        <v>210</v>
      </c>
      <c r="J5" s="437" t="s">
        <v>210</v>
      </c>
      <c r="K5" s="437" t="s">
        <v>210</v>
      </c>
      <c r="L5" s="437" t="s">
        <v>210</v>
      </c>
      <c r="M5" s="422">
        <f>SUM(M6:M11)</f>
        <v>2.8536725183006942E-2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5.1530638475890352E-5</v>
      </c>
      <c r="C6" s="423"/>
      <c r="D6" s="865">
        <f>vkm_GW_PW*SUMIFS(TableVerdeelsleutelVkm[CNG],TableVerdeelsleutelVkm[Voertuigtype],"Lichte voertuigen")*SUMIFS(TableECFTransport[EnergieConsumptieFactor (PJ per km)],TableECFTransport[Index],CONCATENATE($A6,"_CNG_CNG"))</f>
        <v>9.2893079848491039E-5</v>
      </c>
      <c r="E6" s="865">
        <f>vkm_GW_PW*SUMIFS(TableVerdeelsleutelVkm[LPG],TableVerdeelsleutelVkm[Voertuigtype],"Lichte voertuigen")*SUMIFS(TableECFTransport[EnergieConsumptieFactor (PJ per km)],TableECFTransport[Index],CONCATENATE($A6,"_LPG_LPG"))</f>
        <v>4.1963764029410609E-4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0.1146444305514058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3.1895286183126259E-2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4.5626298086691112E-3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3.3919569597767901E-2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6.1207236532274174E-7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1.0671115609639423E-3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1.885702414528705E-5</v>
      </c>
      <c r="C8" s="423"/>
      <c r="D8" s="425">
        <f>vkm_NGW_PW*SUMIFS(TableVerdeelsleutelVkm[CNG],TableVerdeelsleutelVkm[Voertuigtype],"Lichte voertuigen")*SUMIFS(TableECFTransport[EnergieConsumptieFactor (PJ per km)],TableECFTransport[Index],CONCATENATE($A8,"_CNG_CNG"))</f>
        <v>5.7778519675633189E-5</v>
      </c>
      <c r="E8" s="425">
        <f>vkm_NGW_PW*SUMIFS(TableVerdeelsleutelVkm[LPG],TableVerdeelsleutelVkm[Voertuigtype],"Lichte voertuigen")*SUMIFS(TableECFTransport[EnergieConsumptieFactor (PJ per km)],TableECFTransport[Index],CONCATENATE($A8,"_LPG_LPG"))</f>
        <v>2.4775450090808003E-4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6.3554647396862562E-2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1.9278461269099031E-2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2.5772161152440775E-3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1.0766787270656676E-2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2.3983656911198475E-7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3.3872509637482349E-4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1.2503914548058468E-4</v>
      </c>
      <c r="C10" s="423"/>
      <c r="D10" s="425">
        <f>vkm_SW_PW*SUMIFS(TableVerdeelsleutelVkm[CNG],TableVerdeelsleutelVkm[Voertuigtype],"Lichte voertuigen")*SUMIFS(TableECFTransport[EnergieConsumptieFactor (PJ per km)],TableECFTransport[Index],CONCATENATE($A10,"_CNG_CNG"))</f>
        <v>2.2670655554822067E-4</v>
      </c>
      <c r="E10" s="425">
        <f>vkm_SW_PW*SUMIFS(TableVerdeelsleutelVkm[LPG],TableVerdeelsleutelVkm[Voertuigtype],"Lichte voertuigen")*SUMIFS(TableECFTransport[EnergieConsumptieFactor (PJ per km)],TableECFTransport[Index],CONCATENATE($A10,"_LPG_LPG"))</f>
        <v>1.275343754461505E-3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0.31270217385340709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8.1346835784036148E-2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1.2275601674898022E-2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0.24524533162105397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4.727233864472803E-6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7.7154409268569615E-3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54.28522447271169</v>
      </c>
      <c r="C14" s="21"/>
      <c r="D14" s="21">
        <f t="shared" ref="D14:M14" si="0">((D5)*10^9/3600)+D12</f>
        <v>104.82726529787358</v>
      </c>
      <c r="E14" s="21">
        <f t="shared" si="0"/>
        <v>539.64885990658092</v>
      </c>
      <c r="F14" s="21"/>
      <c r="G14" s="21">
        <f t="shared" si="0"/>
        <v>216898.03896976501</v>
      </c>
      <c r="H14" s="21">
        <f t="shared" si="0"/>
        <v>36812.822883072316</v>
      </c>
      <c r="I14" s="21"/>
      <c r="J14" s="21"/>
      <c r="K14" s="21"/>
      <c r="L14" s="21"/>
      <c r="M14" s="21">
        <f t="shared" si="0"/>
        <v>7926.868106390817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0.20565410121746686</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11.163979048323959</v>
      </c>
      <c r="C18" s="23"/>
      <c r="D18" s="23">
        <f t="shared" ref="D18:M18" si="1">D14*D16</f>
        <v>21.175107590170466</v>
      </c>
      <c r="E18" s="23">
        <f t="shared" si="1"/>
        <v>122.50029119879387</v>
      </c>
      <c r="F18" s="23"/>
      <c r="G18" s="23">
        <f t="shared" si="1"/>
        <v>57911.776404927259</v>
      </c>
      <c r="H18" s="23">
        <f t="shared" si="1"/>
        <v>9166.3928978850072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4.8928667216153535E-3</v>
      </c>
      <c r="H50" s="319">
        <f t="shared" si="2"/>
        <v>0</v>
      </c>
      <c r="I50" s="319">
        <f t="shared" si="2"/>
        <v>0</v>
      </c>
      <c r="J50" s="319">
        <f t="shared" si="2"/>
        <v>0</v>
      </c>
      <c r="K50" s="319">
        <f t="shared" si="2"/>
        <v>0</v>
      </c>
      <c r="L50" s="319">
        <f t="shared" si="2"/>
        <v>0</v>
      </c>
      <c r="M50" s="319">
        <f t="shared" si="2"/>
        <v>1.5157419539485716E-4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4.8928667216153535E-3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1.5157419539485716E-4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1359.1296448931537</v>
      </c>
      <c r="H54" s="21">
        <f t="shared" si="3"/>
        <v>0</v>
      </c>
      <c r="I54" s="21">
        <f t="shared" si="3"/>
        <v>0</v>
      </c>
      <c r="J54" s="21">
        <f t="shared" si="3"/>
        <v>0</v>
      </c>
      <c r="K54" s="21">
        <f t="shared" si="3"/>
        <v>0</v>
      </c>
      <c r="L54" s="21">
        <f t="shared" si="3"/>
        <v>0</v>
      </c>
      <c r="M54" s="21">
        <f t="shared" si="3"/>
        <v>42.103943165238107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0.20565410121746686</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362.88761518647203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16483.004999999997</v>
      </c>
      <c r="D10" s="978">
        <f ca="1">tertiair!C16</f>
        <v>35.357142857142861</v>
      </c>
      <c r="E10" s="978">
        <f ca="1">tertiair!D16</f>
        <v>14917.921508485475</v>
      </c>
      <c r="F10" s="978">
        <f>tertiair!E16</f>
        <v>312.60735760217921</v>
      </c>
      <c r="G10" s="978">
        <f ca="1">tertiair!F16</f>
        <v>3923.4950138599511</v>
      </c>
      <c r="H10" s="978">
        <f>tertiair!G16</f>
        <v>0</v>
      </c>
      <c r="I10" s="978">
        <f>tertiair!H16</f>
        <v>0</v>
      </c>
      <c r="J10" s="978">
        <f>tertiair!I16</f>
        <v>0</v>
      </c>
      <c r="K10" s="978">
        <f>tertiair!J16</f>
        <v>0</v>
      </c>
      <c r="L10" s="978">
        <f>tertiair!K16</f>
        <v>0</v>
      </c>
      <c r="M10" s="978">
        <f ca="1">tertiair!L16</f>
        <v>0</v>
      </c>
      <c r="N10" s="978">
        <f>tertiair!M16</f>
        <v>0</v>
      </c>
      <c r="O10" s="978">
        <f ca="1">tertiair!N16</f>
        <v>1076.9293343763536</v>
      </c>
      <c r="P10" s="978">
        <f>tertiair!O16</f>
        <v>0</v>
      </c>
      <c r="Q10" s="979">
        <f>tertiair!P16</f>
        <v>57.2</v>
      </c>
      <c r="R10" s="674">
        <f ca="1">SUM(C10:Q10)</f>
        <v>36806.515357181102</v>
      </c>
      <c r="S10" s="67"/>
    </row>
    <row r="11" spans="1:19" s="447" customFormat="1">
      <c r="A11" s="783" t="s">
        <v>224</v>
      </c>
      <c r="B11" s="788"/>
      <c r="C11" s="978">
        <f>huishoudens!B8</f>
        <v>25992.384781816163</v>
      </c>
      <c r="D11" s="978">
        <f>huishoudens!C8</f>
        <v>0</v>
      </c>
      <c r="E11" s="978">
        <f>huishoudens!D8</f>
        <v>53096.655817853956</v>
      </c>
      <c r="F11" s="978">
        <f>huishoudens!E8</f>
        <v>14916.717242418013</v>
      </c>
      <c r="G11" s="978">
        <f>huishoudens!F8</f>
        <v>13854.144782683567</v>
      </c>
      <c r="H11" s="978">
        <f>huishoudens!G8</f>
        <v>0</v>
      </c>
      <c r="I11" s="978">
        <f>huishoudens!H8</f>
        <v>0</v>
      </c>
      <c r="J11" s="978">
        <f>huishoudens!I8</f>
        <v>0</v>
      </c>
      <c r="K11" s="978">
        <f>huishoudens!J8</f>
        <v>0</v>
      </c>
      <c r="L11" s="978">
        <f>huishoudens!K8</f>
        <v>0</v>
      </c>
      <c r="M11" s="978">
        <f>huishoudens!L8</f>
        <v>0</v>
      </c>
      <c r="N11" s="978">
        <f>huishoudens!M8</f>
        <v>0</v>
      </c>
      <c r="O11" s="978">
        <f>huishoudens!N8</f>
        <v>15124.964540132039</v>
      </c>
      <c r="P11" s="978">
        <f>huishoudens!O8</f>
        <v>240.75333333333336</v>
      </c>
      <c r="Q11" s="979">
        <f>huishoudens!P8</f>
        <v>648.26666666666665</v>
      </c>
      <c r="R11" s="674">
        <f>SUM(C11:Q11)</f>
        <v>123873.88716490373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16619.820000000003</v>
      </c>
      <c r="D13" s="978">
        <f>industrie!C18</f>
        <v>0</v>
      </c>
      <c r="E13" s="978">
        <f>industrie!D18</f>
        <v>19227.09842787118</v>
      </c>
      <c r="F13" s="978">
        <f>industrie!E18</f>
        <v>597.17566611139785</v>
      </c>
      <c r="G13" s="978">
        <f>industrie!F18</f>
        <v>2299.2063168195623</v>
      </c>
      <c r="H13" s="978">
        <f>industrie!G18</f>
        <v>0</v>
      </c>
      <c r="I13" s="978">
        <f>industrie!H18</f>
        <v>0</v>
      </c>
      <c r="J13" s="978">
        <f>industrie!I18</f>
        <v>0</v>
      </c>
      <c r="K13" s="978">
        <f>industrie!J18</f>
        <v>916.1986856514568</v>
      </c>
      <c r="L13" s="978">
        <f>industrie!K18</f>
        <v>0</v>
      </c>
      <c r="M13" s="978">
        <f>industrie!L18</f>
        <v>0</v>
      </c>
      <c r="N13" s="978">
        <f>industrie!M18</f>
        <v>0</v>
      </c>
      <c r="O13" s="978">
        <f>industrie!N18</f>
        <v>3717.4353497641232</v>
      </c>
      <c r="P13" s="978">
        <f>industrie!O18</f>
        <v>0</v>
      </c>
      <c r="Q13" s="979">
        <f>industrie!P18</f>
        <v>0</v>
      </c>
      <c r="R13" s="674">
        <f>SUM(C13:Q13)</f>
        <v>43376.934446217718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59095.209781816171</v>
      </c>
      <c r="D16" s="706">
        <f t="shared" ref="D16:R16" ca="1" si="0">SUM(D9:D15)</f>
        <v>35.357142857142861</v>
      </c>
      <c r="E16" s="706">
        <f t="shared" ca="1" si="0"/>
        <v>87241.675754210621</v>
      </c>
      <c r="F16" s="706">
        <f t="shared" si="0"/>
        <v>15826.50026613159</v>
      </c>
      <c r="G16" s="706">
        <f t="shared" ca="1" si="0"/>
        <v>20076.846113363081</v>
      </c>
      <c r="H16" s="706">
        <f t="shared" si="0"/>
        <v>0</v>
      </c>
      <c r="I16" s="706">
        <f t="shared" si="0"/>
        <v>0</v>
      </c>
      <c r="J16" s="706">
        <f t="shared" si="0"/>
        <v>0</v>
      </c>
      <c r="K16" s="706">
        <f t="shared" si="0"/>
        <v>916.1986856514568</v>
      </c>
      <c r="L16" s="706">
        <f t="shared" si="0"/>
        <v>0</v>
      </c>
      <c r="M16" s="706">
        <f t="shared" ca="1" si="0"/>
        <v>0</v>
      </c>
      <c r="N16" s="706">
        <f t="shared" si="0"/>
        <v>0</v>
      </c>
      <c r="O16" s="706">
        <f t="shared" ca="1" si="0"/>
        <v>19919.329224272515</v>
      </c>
      <c r="P16" s="706">
        <f t="shared" si="0"/>
        <v>240.75333333333336</v>
      </c>
      <c r="Q16" s="706">
        <f t="shared" si="0"/>
        <v>705.4666666666667</v>
      </c>
      <c r="R16" s="706">
        <f t="shared" ca="1" si="0"/>
        <v>204057.33696830255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1359.1296448931537</v>
      </c>
      <c r="I19" s="978">
        <f>transport!H54</f>
        <v>0</v>
      </c>
      <c r="J19" s="978">
        <f>transport!I54</f>
        <v>0</v>
      </c>
      <c r="K19" s="978">
        <f>transport!J54</f>
        <v>0</v>
      </c>
      <c r="L19" s="978">
        <f>transport!K54</f>
        <v>0</v>
      </c>
      <c r="M19" s="978">
        <f>transport!L54</f>
        <v>0</v>
      </c>
      <c r="N19" s="978">
        <f>transport!M54</f>
        <v>42.103943165238107</v>
      </c>
      <c r="O19" s="978">
        <f>transport!N54</f>
        <v>0</v>
      </c>
      <c r="P19" s="978">
        <f>transport!O54</f>
        <v>0</v>
      </c>
      <c r="Q19" s="979">
        <f>transport!P54</f>
        <v>0</v>
      </c>
      <c r="R19" s="674">
        <f>SUM(C19:Q19)</f>
        <v>1401.2335880583919</v>
      </c>
      <c r="S19" s="67"/>
    </row>
    <row r="20" spans="1:19" s="447" customFormat="1">
      <c r="A20" s="783" t="s">
        <v>306</v>
      </c>
      <c r="B20" s="788"/>
      <c r="C20" s="978">
        <f>transport!B14</f>
        <v>54.28522447271169</v>
      </c>
      <c r="D20" s="978">
        <f>transport!C14</f>
        <v>0</v>
      </c>
      <c r="E20" s="978">
        <f>transport!D14</f>
        <v>104.82726529787358</v>
      </c>
      <c r="F20" s="978">
        <f>transport!E14</f>
        <v>539.64885990658092</v>
      </c>
      <c r="G20" s="978">
        <f>transport!F14</f>
        <v>0</v>
      </c>
      <c r="H20" s="978">
        <f>transport!G14</f>
        <v>216898.03896976501</v>
      </c>
      <c r="I20" s="978">
        <f>transport!H14</f>
        <v>36812.822883072316</v>
      </c>
      <c r="J20" s="978">
        <f>transport!I14</f>
        <v>0</v>
      </c>
      <c r="K20" s="978">
        <f>transport!J14</f>
        <v>0</v>
      </c>
      <c r="L20" s="978">
        <f>transport!K14</f>
        <v>0</v>
      </c>
      <c r="M20" s="978">
        <f>transport!L14</f>
        <v>0</v>
      </c>
      <c r="N20" s="978">
        <f>transport!M14</f>
        <v>7926.868106390817</v>
      </c>
      <c r="O20" s="978">
        <f>transport!N14</f>
        <v>0</v>
      </c>
      <c r="P20" s="978">
        <f>transport!O14</f>
        <v>0</v>
      </c>
      <c r="Q20" s="979">
        <f>transport!P14</f>
        <v>0</v>
      </c>
      <c r="R20" s="674">
        <f>SUM(C20:Q20)</f>
        <v>262336.4913089053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54.28522447271169</v>
      </c>
      <c r="D22" s="786">
        <f t="shared" ref="D22:R22" si="1">SUM(D18:D21)</f>
        <v>0</v>
      </c>
      <c r="E22" s="786">
        <f t="shared" si="1"/>
        <v>104.82726529787358</v>
      </c>
      <c r="F22" s="786">
        <f t="shared" si="1"/>
        <v>539.64885990658092</v>
      </c>
      <c r="G22" s="786">
        <f t="shared" si="1"/>
        <v>0</v>
      </c>
      <c r="H22" s="786">
        <f t="shared" si="1"/>
        <v>218257.16861465818</v>
      </c>
      <c r="I22" s="786">
        <f t="shared" si="1"/>
        <v>36812.822883072316</v>
      </c>
      <c r="J22" s="786">
        <f t="shared" si="1"/>
        <v>0</v>
      </c>
      <c r="K22" s="786">
        <f t="shared" si="1"/>
        <v>0</v>
      </c>
      <c r="L22" s="786">
        <f t="shared" si="1"/>
        <v>0</v>
      </c>
      <c r="M22" s="786">
        <f t="shared" si="1"/>
        <v>0</v>
      </c>
      <c r="N22" s="786">
        <f t="shared" si="1"/>
        <v>7968.972049556055</v>
      </c>
      <c r="O22" s="786">
        <f t="shared" si="1"/>
        <v>0</v>
      </c>
      <c r="P22" s="786">
        <f t="shared" si="1"/>
        <v>0</v>
      </c>
      <c r="Q22" s="786">
        <f t="shared" si="1"/>
        <v>0</v>
      </c>
      <c r="R22" s="786">
        <f t="shared" si="1"/>
        <v>263737.72489696369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2426.2579999999998</v>
      </c>
      <c r="D24" s="978">
        <f>+landbouw!C8</f>
        <v>12919.5</v>
      </c>
      <c r="E24" s="978">
        <f>+landbouw!D8</f>
        <v>5135.6184178230324</v>
      </c>
      <c r="F24" s="978">
        <f>+landbouw!E8</f>
        <v>62.563878066318594</v>
      </c>
      <c r="G24" s="978">
        <f>+landbouw!F8</f>
        <v>8868.4350483906237</v>
      </c>
      <c r="H24" s="978">
        <f>+landbouw!G8</f>
        <v>0</v>
      </c>
      <c r="I24" s="978">
        <f>+landbouw!H8</f>
        <v>0</v>
      </c>
      <c r="J24" s="978">
        <f>+landbouw!I8</f>
        <v>0</v>
      </c>
      <c r="K24" s="978">
        <f>+landbouw!J8</f>
        <v>349.29189807898069</v>
      </c>
      <c r="L24" s="978">
        <f>+landbouw!K8</f>
        <v>0</v>
      </c>
      <c r="M24" s="978">
        <f>+landbouw!L8</f>
        <v>0</v>
      </c>
      <c r="N24" s="978">
        <f>+landbouw!M8</f>
        <v>0</v>
      </c>
      <c r="O24" s="978">
        <f>+landbouw!N8</f>
        <v>0</v>
      </c>
      <c r="P24" s="978">
        <f>+landbouw!O8</f>
        <v>0</v>
      </c>
      <c r="Q24" s="979">
        <f>+landbouw!P8</f>
        <v>0</v>
      </c>
      <c r="R24" s="674">
        <f>SUM(C24:Q24)</f>
        <v>29761.667242358955</v>
      </c>
      <c r="S24" s="67"/>
    </row>
    <row r="25" spans="1:19" s="447" customFormat="1" ht="15" thickBot="1">
      <c r="A25" s="805" t="s">
        <v>834</v>
      </c>
      <c r="B25" s="981"/>
      <c r="C25" s="982">
        <f>IF(Onbekend_ele_kWh="---",0,Onbekend_ele_kWh)/1000+IF(REST_rest_ele_kWh="---",0,REST_rest_ele_kWh)/1000</f>
        <v>605.18899999999996</v>
      </c>
      <c r="D25" s="982"/>
      <c r="E25" s="982">
        <f>IF(onbekend_gas_kWh="---",0,onbekend_gas_kWh)/1000+IF(REST_rest_gas_kWh="---",0,REST_rest_gas_kWh)/1000</f>
        <v>1746.0291382</v>
      </c>
      <c r="F25" s="982"/>
      <c r="G25" s="982"/>
      <c r="H25" s="982"/>
      <c r="I25" s="982"/>
      <c r="J25" s="982"/>
      <c r="K25" s="982"/>
      <c r="L25" s="982"/>
      <c r="M25" s="982"/>
      <c r="N25" s="982"/>
      <c r="O25" s="982"/>
      <c r="P25" s="982"/>
      <c r="Q25" s="983"/>
      <c r="R25" s="674">
        <f>SUM(C25:Q25)</f>
        <v>2351.2181381999999</v>
      </c>
      <c r="S25" s="67"/>
    </row>
    <row r="26" spans="1:19" s="447" customFormat="1" ht="15.75" thickBot="1">
      <c r="A26" s="679" t="s">
        <v>835</v>
      </c>
      <c r="B26" s="791"/>
      <c r="C26" s="786">
        <f>SUM(C24:C25)</f>
        <v>3031.4469999999997</v>
      </c>
      <c r="D26" s="786">
        <f t="shared" ref="D26:R26" si="2">SUM(D24:D25)</f>
        <v>12919.5</v>
      </c>
      <c r="E26" s="786">
        <f t="shared" si="2"/>
        <v>6881.6475560230319</v>
      </c>
      <c r="F26" s="786">
        <f t="shared" si="2"/>
        <v>62.563878066318594</v>
      </c>
      <c r="G26" s="786">
        <f t="shared" si="2"/>
        <v>8868.4350483906237</v>
      </c>
      <c r="H26" s="786">
        <f t="shared" si="2"/>
        <v>0</v>
      </c>
      <c r="I26" s="786">
        <f t="shared" si="2"/>
        <v>0</v>
      </c>
      <c r="J26" s="786">
        <f t="shared" si="2"/>
        <v>0</v>
      </c>
      <c r="K26" s="786">
        <f t="shared" si="2"/>
        <v>349.29189807898069</v>
      </c>
      <c r="L26" s="786">
        <f t="shared" si="2"/>
        <v>0</v>
      </c>
      <c r="M26" s="786">
        <f t="shared" si="2"/>
        <v>0</v>
      </c>
      <c r="N26" s="786">
        <f t="shared" si="2"/>
        <v>0</v>
      </c>
      <c r="O26" s="786">
        <f t="shared" si="2"/>
        <v>0</v>
      </c>
      <c r="P26" s="786">
        <f t="shared" si="2"/>
        <v>0</v>
      </c>
      <c r="Q26" s="786">
        <f t="shared" si="2"/>
        <v>0</v>
      </c>
      <c r="R26" s="786">
        <f t="shared" si="2"/>
        <v>32112.885380558953</v>
      </c>
      <c r="S26" s="67"/>
    </row>
    <row r="27" spans="1:19" s="447" customFormat="1" ht="17.25" thickTop="1" thickBot="1">
      <c r="A27" s="680" t="s">
        <v>115</v>
      </c>
      <c r="B27" s="779"/>
      <c r="C27" s="681">
        <f ca="1">C22+C16+C26</f>
        <v>62180.942006288882</v>
      </c>
      <c r="D27" s="681">
        <f t="shared" ref="D27:R27" ca="1" si="3">D22+D16+D26</f>
        <v>12954.857142857143</v>
      </c>
      <c r="E27" s="681">
        <f t="shared" ca="1" si="3"/>
        <v>94228.15057553153</v>
      </c>
      <c r="F27" s="681">
        <f t="shared" si="3"/>
        <v>16428.713004104491</v>
      </c>
      <c r="G27" s="681">
        <f t="shared" ca="1" si="3"/>
        <v>28945.281161753705</v>
      </c>
      <c r="H27" s="681">
        <f t="shared" si="3"/>
        <v>218257.16861465818</v>
      </c>
      <c r="I27" s="681">
        <f t="shared" si="3"/>
        <v>36812.822883072316</v>
      </c>
      <c r="J27" s="681">
        <f t="shared" si="3"/>
        <v>0</v>
      </c>
      <c r="K27" s="681">
        <f t="shared" si="3"/>
        <v>1265.4905837304375</v>
      </c>
      <c r="L27" s="681">
        <f t="shared" si="3"/>
        <v>0</v>
      </c>
      <c r="M27" s="681">
        <f t="shared" ca="1" si="3"/>
        <v>0</v>
      </c>
      <c r="N27" s="681">
        <f t="shared" si="3"/>
        <v>7968.972049556055</v>
      </c>
      <c r="O27" s="681">
        <f t="shared" ca="1" si="3"/>
        <v>19919.329224272515</v>
      </c>
      <c r="P27" s="681">
        <f t="shared" si="3"/>
        <v>240.75333333333336</v>
      </c>
      <c r="Q27" s="681">
        <f t="shared" si="3"/>
        <v>705.4666666666667</v>
      </c>
      <c r="R27" s="681">
        <f t="shared" ca="1" si="3"/>
        <v>499907.9472458252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3389.7975786380121</v>
      </c>
      <c r="D40" s="978">
        <f ca="1">tertiair!C20</f>
        <v>8.3620761623426692</v>
      </c>
      <c r="E40" s="978">
        <f ca="1">tertiair!D20</f>
        <v>3013.4201447140663</v>
      </c>
      <c r="F40" s="978">
        <f>tertiair!E20</f>
        <v>70.961870175694685</v>
      </c>
      <c r="G40" s="978">
        <f ca="1">tertiair!F20</f>
        <v>1047.5731687006071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7530.114838390723</v>
      </c>
    </row>
    <row r="41" spans="1:18">
      <c r="A41" s="796" t="s">
        <v>224</v>
      </c>
      <c r="B41" s="803"/>
      <c r="C41" s="978">
        <f ca="1">huishoudens!B12</f>
        <v>5345.4405308029664</v>
      </c>
      <c r="D41" s="978">
        <f ca="1">huishoudens!C12</f>
        <v>0</v>
      </c>
      <c r="E41" s="978">
        <f>huishoudens!D12</f>
        <v>10725.524475206499</v>
      </c>
      <c r="F41" s="978">
        <f>huishoudens!E12</f>
        <v>3386.0948140288892</v>
      </c>
      <c r="G41" s="978">
        <f>huishoudens!F12</f>
        <v>3699.0566569765124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23156.116477014868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3417.9341444960805</v>
      </c>
      <c r="D43" s="978">
        <f ca="1">industrie!C22</f>
        <v>0</v>
      </c>
      <c r="E43" s="978">
        <f>industrie!D22</f>
        <v>3883.8738824299785</v>
      </c>
      <c r="F43" s="978">
        <f>industrie!E22</f>
        <v>135.55887620728731</v>
      </c>
      <c r="G43" s="978">
        <f>industrie!F22</f>
        <v>613.88808659082315</v>
      </c>
      <c r="H43" s="978">
        <f>industrie!G22</f>
        <v>0</v>
      </c>
      <c r="I43" s="978">
        <f>industrie!H22</f>
        <v>0</v>
      </c>
      <c r="J43" s="978">
        <f>industrie!I22</f>
        <v>0</v>
      </c>
      <c r="K43" s="978">
        <f>industrie!J22</f>
        <v>324.33433472061569</v>
      </c>
      <c r="L43" s="978">
        <f>industrie!K22</f>
        <v>0</v>
      </c>
      <c r="M43" s="978">
        <f>industrie!L22</f>
        <v>0</v>
      </c>
      <c r="N43" s="978">
        <f>industrie!M22</f>
        <v>0</v>
      </c>
      <c r="O43" s="978">
        <f>industrie!N22</f>
        <v>0</v>
      </c>
      <c r="P43" s="978">
        <f>industrie!O22</f>
        <v>0</v>
      </c>
      <c r="Q43" s="748">
        <f>industrie!P22</f>
        <v>0</v>
      </c>
      <c r="R43" s="823">
        <f t="shared" ca="1" si="4"/>
        <v>8375.5893244447852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12153.17225393706</v>
      </c>
      <c r="D46" s="706">
        <f t="shared" ref="D46:Q46" ca="1" si="5">SUM(D39:D45)</f>
        <v>8.3620761623426692</v>
      </c>
      <c r="E46" s="706">
        <f t="shared" ca="1" si="5"/>
        <v>17622.818502350543</v>
      </c>
      <c r="F46" s="706">
        <f t="shared" si="5"/>
        <v>3592.6155604118712</v>
      </c>
      <c r="G46" s="706">
        <f t="shared" ca="1" si="5"/>
        <v>5360.5179122679428</v>
      </c>
      <c r="H46" s="706">
        <f t="shared" si="5"/>
        <v>0</v>
      </c>
      <c r="I46" s="706">
        <f t="shared" si="5"/>
        <v>0</v>
      </c>
      <c r="J46" s="706">
        <f t="shared" si="5"/>
        <v>0</v>
      </c>
      <c r="K46" s="706">
        <f t="shared" si="5"/>
        <v>324.33433472061569</v>
      </c>
      <c r="L46" s="706">
        <f t="shared" si="5"/>
        <v>0</v>
      </c>
      <c r="M46" s="706">
        <f t="shared" ca="1" si="5"/>
        <v>0</v>
      </c>
      <c r="N46" s="706">
        <f t="shared" si="5"/>
        <v>0</v>
      </c>
      <c r="O46" s="706">
        <f t="shared" ca="1" si="5"/>
        <v>0</v>
      </c>
      <c r="P46" s="706">
        <f t="shared" si="5"/>
        <v>0</v>
      </c>
      <c r="Q46" s="706">
        <f t="shared" si="5"/>
        <v>0</v>
      </c>
      <c r="R46" s="706">
        <f ca="1">SUM(R39:R45)</f>
        <v>39061.820639850375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362.88761518647203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362.88761518647203</v>
      </c>
    </row>
    <row r="50" spans="1:18">
      <c r="A50" s="799" t="s">
        <v>306</v>
      </c>
      <c r="B50" s="809"/>
      <c r="C50" s="677">
        <f ca="1">transport!B18</f>
        <v>11.163979048323959</v>
      </c>
      <c r="D50" s="677">
        <f>transport!C18</f>
        <v>0</v>
      </c>
      <c r="E50" s="677">
        <f>transport!D18</f>
        <v>21.175107590170466</v>
      </c>
      <c r="F50" s="677">
        <f>transport!E18</f>
        <v>122.50029119879387</v>
      </c>
      <c r="G50" s="677">
        <f>transport!F18</f>
        <v>0</v>
      </c>
      <c r="H50" s="677">
        <f>transport!G18</f>
        <v>57911.776404927259</v>
      </c>
      <c r="I50" s="677">
        <f>transport!H18</f>
        <v>9166.3928978850072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67233.008680649553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11.163979048323959</v>
      </c>
      <c r="D52" s="706">
        <f t="shared" ref="D52:Q52" ca="1" si="6">SUM(D48:D51)</f>
        <v>0</v>
      </c>
      <c r="E52" s="706">
        <f t="shared" si="6"/>
        <v>21.175107590170466</v>
      </c>
      <c r="F52" s="706">
        <f t="shared" si="6"/>
        <v>122.50029119879387</v>
      </c>
      <c r="G52" s="706">
        <f t="shared" si="6"/>
        <v>0</v>
      </c>
      <c r="H52" s="706">
        <f t="shared" si="6"/>
        <v>58274.664020113734</v>
      </c>
      <c r="I52" s="706">
        <f t="shared" si="6"/>
        <v>9166.3928978850072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67595.896295836021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498.96990831168864</v>
      </c>
      <c r="D54" s="677">
        <f ca="1">+landbouw!C12</f>
        <v>3055.5026297200106</v>
      </c>
      <c r="E54" s="677">
        <f>+landbouw!D12</f>
        <v>1037.3949204002527</v>
      </c>
      <c r="F54" s="677">
        <f>+landbouw!E12</f>
        <v>14.202000321054321</v>
      </c>
      <c r="G54" s="677">
        <f>+landbouw!F12</f>
        <v>2367.8721579202966</v>
      </c>
      <c r="H54" s="677">
        <f>+landbouw!G12</f>
        <v>0</v>
      </c>
      <c r="I54" s="677">
        <f>+landbouw!H12</f>
        <v>0</v>
      </c>
      <c r="J54" s="677">
        <f>+landbouw!I12</f>
        <v>0</v>
      </c>
      <c r="K54" s="677">
        <f>+landbouw!J12</f>
        <v>123.64933191995915</v>
      </c>
      <c r="L54" s="677">
        <f>+landbouw!K12</f>
        <v>0</v>
      </c>
      <c r="M54" s="677">
        <f>+landbouw!L12</f>
        <v>0</v>
      </c>
      <c r="N54" s="677">
        <f>+landbouw!M12</f>
        <v>0</v>
      </c>
      <c r="O54" s="677">
        <f>+landbouw!N12</f>
        <v>0</v>
      </c>
      <c r="P54" s="677">
        <f>+landbouw!O12</f>
        <v>0</v>
      </c>
      <c r="Q54" s="678">
        <f>+landbouw!P12</f>
        <v>0</v>
      </c>
      <c r="R54" s="705">
        <f ca="1">SUM(C54:Q54)</f>
        <v>7097.5909485932625</v>
      </c>
    </row>
    <row r="55" spans="1:18" ht="15" thickBot="1">
      <c r="A55" s="799" t="s">
        <v>834</v>
      </c>
      <c r="B55" s="809"/>
      <c r="C55" s="677">
        <f ca="1">C25*'EF ele_warmte'!B12</f>
        <v>124.45959986169754</v>
      </c>
      <c r="D55" s="677"/>
      <c r="E55" s="677">
        <f>E25*EF_CO2_aardgas</f>
        <v>352.69788591640003</v>
      </c>
      <c r="F55" s="677"/>
      <c r="G55" s="677"/>
      <c r="H55" s="677"/>
      <c r="I55" s="677"/>
      <c r="J55" s="677"/>
      <c r="K55" s="677"/>
      <c r="L55" s="677"/>
      <c r="M55" s="677"/>
      <c r="N55" s="677"/>
      <c r="O55" s="677"/>
      <c r="P55" s="677"/>
      <c r="Q55" s="678"/>
      <c r="R55" s="705">
        <f ca="1">SUM(C55:Q55)</f>
        <v>477.15748577809757</v>
      </c>
    </row>
    <row r="56" spans="1:18" ht="15.75" thickBot="1">
      <c r="A56" s="797" t="s">
        <v>835</v>
      </c>
      <c r="B56" s="810"/>
      <c r="C56" s="706">
        <f ca="1">SUM(C54:C55)</f>
        <v>623.42950817338624</v>
      </c>
      <c r="D56" s="706">
        <f t="shared" ref="D56:Q56" ca="1" si="7">SUM(D54:D55)</f>
        <v>3055.5026297200106</v>
      </c>
      <c r="E56" s="706">
        <f t="shared" si="7"/>
        <v>1390.0928063166527</v>
      </c>
      <c r="F56" s="706">
        <f t="shared" si="7"/>
        <v>14.202000321054321</v>
      </c>
      <c r="G56" s="706">
        <f t="shared" si="7"/>
        <v>2367.8721579202966</v>
      </c>
      <c r="H56" s="706">
        <f t="shared" si="7"/>
        <v>0</v>
      </c>
      <c r="I56" s="706">
        <f t="shared" si="7"/>
        <v>0</v>
      </c>
      <c r="J56" s="706">
        <f t="shared" si="7"/>
        <v>0</v>
      </c>
      <c r="K56" s="706">
        <f t="shared" si="7"/>
        <v>123.64933191995915</v>
      </c>
      <c r="L56" s="706">
        <f t="shared" si="7"/>
        <v>0</v>
      </c>
      <c r="M56" s="706">
        <f t="shared" si="7"/>
        <v>0</v>
      </c>
      <c r="N56" s="706">
        <f t="shared" si="7"/>
        <v>0</v>
      </c>
      <c r="O56" s="706">
        <f t="shared" si="7"/>
        <v>0</v>
      </c>
      <c r="P56" s="706">
        <f t="shared" si="7"/>
        <v>0</v>
      </c>
      <c r="Q56" s="707">
        <f t="shared" si="7"/>
        <v>0</v>
      </c>
      <c r="R56" s="708">
        <f ca="1">SUM(R54:R55)</f>
        <v>7574.7484343713604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12787.765741158772</v>
      </c>
      <c r="D61" s="714">
        <f t="shared" ref="D61:Q61" ca="1" si="8">D46+D52+D56</f>
        <v>3063.8647058823535</v>
      </c>
      <c r="E61" s="714">
        <f t="shared" ca="1" si="8"/>
        <v>19034.086416257367</v>
      </c>
      <c r="F61" s="714">
        <f t="shared" si="8"/>
        <v>3729.3178519317194</v>
      </c>
      <c r="G61" s="714">
        <f t="shared" ca="1" si="8"/>
        <v>7728.3900701882394</v>
      </c>
      <c r="H61" s="714">
        <f t="shared" si="8"/>
        <v>58274.664020113734</v>
      </c>
      <c r="I61" s="714">
        <f t="shared" si="8"/>
        <v>9166.3928978850072</v>
      </c>
      <c r="J61" s="714">
        <f t="shared" si="8"/>
        <v>0</v>
      </c>
      <c r="K61" s="714">
        <f t="shared" si="8"/>
        <v>447.98366664057482</v>
      </c>
      <c r="L61" s="714">
        <f t="shared" si="8"/>
        <v>0</v>
      </c>
      <c r="M61" s="714">
        <f t="shared" ca="1" si="8"/>
        <v>0</v>
      </c>
      <c r="N61" s="714">
        <f t="shared" si="8"/>
        <v>0</v>
      </c>
      <c r="O61" s="714">
        <f t="shared" ca="1" si="8"/>
        <v>0</v>
      </c>
      <c r="P61" s="714">
        <f t="shared" si="8"/>
        <v>0</v>
      </c>
      <c r="Q61" s="714">
        <f t="shared" si="8"/>
        <v>0</v>
      </c>
      <c r="R61" s="714">
        <f ca="1">R46+R52+R56</f>
        <v>114232.46537005775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0.20565410121746688</v>
      </c>
      <c r="D63" s="755">
        <f t="shared" ca="1" si="9"/>
        <v>0.23650316418746939</v>
      </c>
      <c r="E63" s="989">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4953.8974495417206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9024.75</v>
      </c>
      <c r="D76" s="999">
        <f>'lokale energieproductie'!C8</f>
        <v>10617.352941176472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2144.7052941176476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4997.5474495417202</v>
      </c>
      <c r="C78" s="729">
        <f>SUM(C72:C77)</f>
        <v>9024.75</v>
      </c>
      <c r="D78" s="730">
        <f t="shared" ref="D78:H78" si="10">SUM(D76:D77)</f>
        <v>10617.352941176472</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2144.7052941176476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62.357142857142833</v>
      </c>
      <c r="C87" s="740">
        <f>'lokale energieproductie'!B17*IFERROR(SUM(D87:H87)/SUM(D87:O87),0)</f>
        <v>12892.5</v>
      </c>
      <c r="D87" s="751">
        <f>'lokale energieproductie'!C17</f>
        <v>15167.647058823532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3063.8647058823535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62.357142857142833</v>
      </c>
      <c r="C90" s="729">
        <f>SUM(C87:C89)</f>
        <v>12892.5</v>
      </c>
      <c r="D90" s="729">
        <f t="shared" ref="D90:H90" si="12">SUM(D87:D89)</f>
        <v>15167.647058823532</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3063.8647058823535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4953.8974495417206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9068.4</v>
      </c>
      <c r="C8" s="544">
        <f>B50</f>
        <v>10617.352941176472</v>
      </c>
      <c r="D8" s="1009"/>
      <c r="E8" s="1009">
        <f>E50</f>
        <v>0</v>
      </c>
      <c r="F8" s="1010"/>
      <c r="G8" s="545"/>
      <c r="H8" s="1009">
        <f>I50</f>
        <v>0</v>
      </c>
      <c r="I8" s="1009">
        <f>G50+F50</f>
        <v>0</v>
      </c>
      <c r="J8" s="1009">
        <f>H50+D50+C50</f>
        <v>51.35294117647058</v>
      </c>
      <c r="K8" s="1009"/>
      <c r="L8" s="1009"/>
      <c r="M8" s="1009"/>
      <c r="N8" s="546"/>
      <c r="O8" s="547">
        <f>C8*$C$12+D8*$D$12+E8*$E$12+F8*$F$12+G8*$G$12+H8*$H$12+I8*$I$12+J8*$J$12</f>
        <v>2144.7052941176476</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14022.29744954172</v>
      </c>
      <c r="C10" s="557">
        <f t="shared" ref="C10:L10" si="0">SUM(C8:C9)</f>
        <v>10617.352941176472</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2144.7052941176476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12954.857142857143</v>
      </c>
      <c r="C17" s="569">
        <f>B51</f>
        <v>15167.647058823532</v>
      </c>
      <c r="D17" s="570"/>
      <c r="E17" s="570">
        <f>E51</f>
        <v>0</v>
      </c>
      <c r="F17" s="1015"/>
      <c r="G17" s="571"/>
      <c r="H17" s="569">
        <f>I51</f>
        <v>0</v>
      </c>
      <c r="I17" s="570">
        <f>G51+F51</f>
        <v>0</v>
      </c>
      <c r="J17" s="570">
        <f>H51+D51+C51</f>
        <v>73.361344537815114</v>
      </c>
      <c r="K17" s="570"/>
      <c r="L17" s="570"/>
      <c r="M17" s="570"/>
      <c r="N17" s="1016"/>
      <c r="O17" s="572">
        <f>C17*$C$22+E17*$E$22+H17*$H$22+I17*$I$22+J17*$J$22+D17*$D$22+F17*$F$22+G17*$G$22+K17*$K$22+L17*$L$22</f>
        <v>3063.8647058823535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12954.857142857143</v>
      </c>
      <c r="C20" s="556">
        <f>SUM(C17:C19)</f>
        <v>15167.647058823532</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3063.8647058823535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31012</v>
      </c>
      <c r="C28" s="770">
        <v>8490</v>
      </c>
      <c r="D28" s="627" t="s">
        <v>896</v>
      </c>
      <c r="E28" s="626" t="s">
        <v>897</v>
      </c>
      <c r="F28" s="626" t="s">
        <v>898</v>
      </c>
      <c r="G28" s="626" t="s">
        <v>899</v>
      </c>
      <c r="H28" s="626" t="s">
        <v>900</v>
      </c>
      <c r="I28" s="626" t="s">
        <v>897</v>
      </c>
      <c r="J28" s="769">
        <v>39995</v>
      </c>
      <c r="K28" s="769">
        <v>39995</v>
      </c>
      <c r="L28" s="626" t="s">
        <v>901</v>
      </c>
      <c r="M28" s="626">
        <v>2000</v>
      </c>
      <c r="N28" s="626">
        <v>9000</v>
      </c>
      <c r="O28" s="626">
        <v>12857.142857142857</v>
      </c>
      <c r="P28" s="626">
        <v>25714.285714285717</v>
      </c>
      <c r="Q28" s="626">
        <v>0</v>
      </c>
      <c r="R28" s="626">
        <v>0</v>
      </c>
      <c r="S28" s="626">
        <v>0</v>
      </c>
      <c r="T28" s="626">
        <v>0</v>
      </c>
      <c r="U28" s="626">
        <v>0</v>
      </c>
      <c r="V28" s="626">
        <v>0</v>
      </c>
      <c r="W28" s="626">
        <v>0</v>
      </c>
      <c r="X28" s="626">
        <v>10</v>
      </c>
      <c r="Y28" s="626" t="s">
        <v>111</v>
      </c>
      <c r="Z28" s="628" t="s">
        <v>111</v>
      </c>
    </row>
    <row r="29" spans="1:26" s="580" customFormat="1" ht="63.75">
      <c r="A29" s="579"/>
      <c r="B29" s="770">
        <v>31012</v>
      </c>
      <c r="C29" s="770">
        <v>8490</v>
      </c>
      <c r="D29" s="627" t="s">
        <v>902</v>
      </c>
      <c r="E29" s="626" t="s">
        <v>903</v>
      </c>
      <c r="F29" s="626" t="s">
        <v>904</v>
      </c>
      <c r="G29" s="626" t="s">
        <v>899</v>
      </c>
      <c r="H29" s="626" t="s">
        <v>900</v>
      </c>
      <c r="I29" s="626" t="s">
        <v>903</v>
      </c>
      <c r="J29" s="769">
        <v>40477</v>
      </c>
      <c r="K29" s="769">
        <v>40513</v>
      </c>
      <c r="L29" s="626" t="s">
        <v>901</v>
      </c>
      <c r="M29" s="626">
        <v>5.5</v>
      </c>
      <c r="N29" s="626">
        <v>24.75</v>
      </c>
      <c r="O29" s="626">
        <v>35.357142857142861</v>
      </c>
      <c r="P29" s="626">
        <v>70.714285714285722</v>
      </c>
      <c r="Q29" s="626">
        <v>0</v>
      </c>
      <c r="R29" s="626">
        <v>0</v>
      </c>
      <c r="S29" s="626">
        <v>0</v>
      </c>
      <c r="T29" s="626">
        <v>0</v>
      </c>
      <c r="U29" s="626">
        <v>0</v>
      </c>
      <c r="V29" s="626">
        <v>0</v>
      </c>
      <c r="W29" s="626">
        <v>0</v>
      </c>
      <c r="X29" s="626">
        <v>1600</v>
      </c>
      <c r="Y29" s="626" t="s">
        <v>49</v>
      </c>
      <c r="Z29" s="628" t="s">
        <v>155</v>
      </c>
    </row>
    <row r="30" spans="1:26" s="580" customFormat="1" ht="25.5">
      <c r="A30" s="579"/>
      <c r="B30" s="770">
        <v>31012</v>
      </c>
      <c r="C30" s="770">
        <v>8490</v>
      </c>
      <c r="D30" s="627" t="s">
        <v>905</v>
      </c>
      <c r="E30" s="626" t="s">
        <v>906</v>
      </c>
      <c r="F30" s="626" t="s">
        <v>907</v>
      </c>
      <c r="G30" s="626" t="s">
        <v>899</v>
      </c>
      <c r="H30" s="626" t="s">
        <v>900</v>
      </c>
      <c r="I30" s="626" t="s">
        <v>908</v>
      </c>
      <c r="J30" s="769">
        <v>41257</v>
      </c>
      <c r="K30" s="769">
        <v>41275</v>
      </c>
      <c r="L30" s="626" t="s">
        <v>901</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2015.2</v>
      </c>
      <c r="N31" s="584">
        <f>SUM(N28:N30)</f>
        <v>9068.4</v>
      </c>
      <c r="O31" s="584">
        <f>SUM(O28:O30)</f>
        <v>12954.857142857143</v>
      </c>
      <c r="P31" s="584">
        <f>SUM(P28:P30)</f>
        <v>25785.000000000004</v>
      </c>
      <c r="Q31" s="584">
        <f>SUM(Q28:Q30)</f>
        <v>124.71428571428569</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5.5</v>
      </c>
      <c r="N33" s="584">
        <f ca="1">SUMIF($Z$28:AD30,"tertiair",N28:N30)</f>
        <v>24.75</v>
      </c>
      <c r="O33" s="584">
        <f ca="1">SUMIF($Z$28:AE30,"tertiair",O28:O30)</f>
        <v>35.357142857142861</v>
      </c>
      <c r="P33" s="584">
        <f ca="1">SUMIF($Z$28:AF30,"tertiair",P28:P30)</f>
        <v>70.714285714285722</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2009.7</v>
      </c>
      <c r="N34" s="589">
        <f>SUMIF($Z$28:$Z$30,"landbouw",N28:N30)</f>
        <v>9043.65</v>
      </c>
      <c r="O34" s="589">
        <f>SUMIF($Z$28:$Z$30,"landbouw",O28:O30)</f>
        <v>12919.5</v>
      </c>
      <c r="P34" s="589">
        <f>SUMIF($Z$28:$Z$30,"landbouw",P28:P30)</f>
        <v>25714.285714285717</v>
      </c>
      <c r="Q34" s="589">
        <f>SUMIF($Z$28:$Z$30,"landbouw",Q28:Q30)</f>
        <v>124.71428571428569</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10617.352941176472</v>
      </c>
      <c r="C50" s="618">
        <f t="shared" si="2"/>
        <v>51.35294117647058</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15167.647058823532</v>
      </c>
      <c r="C51" s="621">
        <f t="shared" si="3"/>
        <v>73.361344537815114</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25992.384781816163</v>
      </c>
      <c r="C4" s="451">
        <f>huishoudens!C8</f>
        <v>0</v>
      </c>
      <c r="D4" s="451">
        <f>huishoudens!D8</f>
        <v>53096.655817853956</v>
      </c>
      <c r="E4" s="451">
        <f>huishoudens!E8</f>
        <v>14916.717242418013</v>
      </c>
      <c r="F4" s="451">
        <f>huishoudens!F8</f>
        <v>13854.144782683567</v>
      </c>
      <c r="G4" s="451">
        <f>huishoudens!G8</f>
        <v>0</v>
      </c>
      <c r="H4" s="451">
        <f>huishoudens!H8</f>
        <v>0</v>
      </c>
      <c r="I4" s="451">
        <f>huishoudens!I8</f>
        <v>0</v>
      </c>
      <c r="J4" s="451">
        <f>huishoudens!J8</f>
        <v>0</v>
      </c>
      <c r="K4" s="451">
        <f>huishoudens!K8</f>
        <v>0</v>
      </c>
      <c r="L4" s="451">
        <f>huishoudens!L8</f>
        <v>0</v>
      </c>
      <c r="M4" s="451">
        <f>huishoudens!M8</f>
        <v>0</v>
      </c>
      <c r="N4" s="451">
        <f>huishoudens!N8</f>
        <v>15124.964540132039</v>
      </c>
      <c r="O4" s="451">
        <f>huishoudens!O8</f>
        <v>240.75333333333336</v>
      </c>
      <c r="P4" s="452">
        <f>huishoudens!P8</f>
        <v>648.26666666666665</v>
      </c>
      <c r="Q4" s="453">
        <f>SUM(B4:P4)</f>
        <v>123873.88716490373</v>
      </c>
    </row>
    <row r="5" spans="1:17">
      <c r="A5" s="450" t="s">
        <v>155</v>
      </c>
      <c r="B5" s="451">
        <f ca="1">tertiair!B16</f>
        <v>15435.931999999999</v>
      </c>
      <c r="C5" s="451">
        <f ca="1">tertiair!C16</f>
        <v>35.357142857142861</v>
      </c>
      <c r="D5" s="451">
        <f ca="1">tertiair!D16</f>
        <v>14917.921508485475</v>
      </c>
      <c r="E5" s="451">
        <f>tertiair!E16</f>
        <v>312.60735760217921</v>
      </c>
      <c r="F5" s="451">
        <f ca="1">tertiair!F16</f>
        <v>3923.4950138599511</v>
      </c>
      <c r="G5" s="451">
        <f>tertiair!G16</f>
        <v>0</v>
      </c>
      <c r="H5" s="451">
        <f>tertiair!H16</f>
        <v>0</v>
      </c>
      <c r="I5" s="451">
        <f>tertiair!I16</f>
        <v>0</v>
      </c>
      <c r="J5" s="451">
        <f>tertiair!J16</f>
        <v>0</v>
      </c>
      <c r="K5" s="451">
        <f>tertiair!K16</f>
        <v>0</v>
      </c>
      <c r="L5" s="451">
        <f ca="1">tertiair!L16</f>
        <v>0</v>
      </c>
      <c r="M5" s="451">
        <f>tertiair!M16</f>
        <v>0</v>
      </c>
      <c r="N5" s="451">
        <f ca="1">tertiair!N16</f>
        <v>1076.9293343763536</v>
      </c>
      <c r="O5" s="451">
        <f>tertiair!O16</f>
        <v>0</v>
      </c>
      <c r="P5" s="452">
        <f>tertiair!P16</f>
        <v>57.2</v>
      </c>
      <c r="Q5" s="450">
        <f t="shared" ref="Q5:Q14" ca="1" si="0">SUM(B5:P5)</f>
        <v>35759.442357181106</v>
      </c>
    </row>
    <row r="6" spans="1:17">
      <c r="A6" s="450" t="s">
        <v>193</v>
      </c>
      <c r="B6" s="451">
        <f>'openbare verlichting'!B8</f>
        <v>1047.0730000000001</v>
      </c>
      <c r="C6" s="451"/>
      <c r="D6" s="451"/>
      <c r="E6" s="451"/>
      <c r="F6" s="451"/>
      <c r="G6" s="451"/>
      <c r="H6" s="451"/>
      <c r="I6" s="451"/>
      <c r="J6" s="451"/>
      <c r="K6" s="451"/>
      <c r="L6" s="451"/>
      <c r="M6" s="451"/>
      <c r="N6" s="451"/>
      <c r="O6" s="451"/>
      <c r="P6" s="452"/>
      <c r="Q6" s="450">
        <f t="shared" si="0"/>
        <v>1047.0730000000001</v>
      </c>
    </row>
    <row r="7" spans="1:17">
      <c r="A7" s="450" t="s">
        <v>111</v>
      </c>
      <c r="B7" s="451">
        <f>landbouw!B8</f>
        <v>2426.2579999999998</v>
      </c>
      <c r="C7" s="451">
        <f>landbouw!C8</f>
        <v>12919.5</v>
      </c>
      <c r="D7" s="451">
        <f>landbouw!D8</f>
        <v>5135.6184178230324</v>
      </c>
      <c r="E7" s="451">
        <f>landbouw!E8</f>
        <v>62.563878066318594</v>
      </c>
      <c r="F7" s="451">
        <f>landbouw!F8</f>
        <v>8868.4350483906237</v>
      </c>
      <c r="G7" s="451">
        <f>landbouw!G8</f>
        <v>0</v>
      </c>
      <c r="H7" s="451">
        <f>landbouw!H8</f>
        <v>0</v>
      </c>
      <c r="I7" s="451">
        <f>landbouw!I8</f>
        <v>0</v>
      </c>
      <c r="J7" s="451">
        <f>landbouw!J8</f>
        <v>349.29189807898069</v>
      </c>
      <c r="K7" s="451">
        <f>landbouw!K8</f>
        <v>0</v>
      </c>
      <c r="L7" s="451">
        <f>landbouw!L8</f>
        <v>0</v>
      </c>
      <c r="M7" s="451">
        <f>landbouw!M8</f>
        <v>0</v>
      </c>
      <c r="N7" s="451">
        <f>landbouw!N8</f>
        <v>0</v>
      </c>
      <c r="O7" s="451">
        <f>landbouw!O8</f>
        <v>0</v>
      </c>
      <c r="P7" s="452">
        <f>landbouw!P8</f>
        <v>0</v>
      </c>
      <c r="Q7" s="450">
        <f t="shared" si="0"/>
        <v>29761.667242358955</v>
      </c>
    </row>
    <row r="8" spans="1:17">
      <c r="A8" s="450" t="s">
        <v>637</v>
      </c>
      <c r="B8" s="451">
        <f>industrie!B18</f>
        <v>16619.820000000003</v>
      </c>
      <c r="C8" s="451">
        <f>industrie!C18</f>
        <v>0</v>
      </c>
      <c r="D8" s="451">
        <f>industrie!D18</f>
        <v>19227.09842787118</v>
      </c>
      <c r="E8" s="451">
        <f>industrie!E18</f>
        <v>597.17566611139785</v>
      </c>
      <c r="F8" s="451">
        <f>industrie!F18</f>
        <v>2299.2063168195623</v>
      </c>
      <c r="G8" s="451">
        <f>industrie!G18</f>
        <v>0</v>
      </c>
      <c r="H8" s="451">
        <f>industrie!H18</f>
        <v>0</v>
      </c>
      <c r="I8" s="451">
        <f>industrie!I18</f>
        <v>0</v>
      </c>
      <c r="J8" s="451">
        <f>industrie!J18</f>
        <v>916.1986856514568</v>
      </c>
      <c r="K8" s="451">
        <f>industrie!K18</f>
        <v>0</v>
      </c>
      <c r="L8" s="451">
        <f>industrie!L18</f>
        <v>0</v>
      </c>
      <c r="M8" s="451">
        <f>industrie!M18</f>
        <v>0</v>
      </c>
      <c r="N8" s="451">
        <f>industrie!N18</f>
        <v>3717.4353497641232</v>
      </c>
      <c r="O8" s="451">
        <f>industrie!O18</f>
        <v>0</v>
      </c>
      <c r="P8" s="452">
        <f>industrie!P18</f>
        <v>0</v>
      </c>
      <c r="Q8" s="450">
        <f t="shared" si="0"/>
        <v>43376.934446217718</v>
      </c>
    </row>
    <row r="9" spans="1:17" s="456" customFormat="1">
      <c r="A9" s="454" t="s">
        <v>563</v>
      </c>
      <c r="B9" s="455">
        <f>transport!B14</f>
        <v>54.28522447271169</v>
      </c>
      <c r="C9" s="455">
        <f>transport!C14</f>
        <v>0</v>
      </c>
      <c r="D9" s="455">
        <f>transport!D14</f>
        <v>104.82726529787358</v>
      </c>
      <c r="E9" s="455">
        <f>transport!E14</f>
        <v>539.64885990658092</v>
      </c>
      <c r="F9" s="455">
        <f>transport!F14</f>
        <v>0</v>
      </c>
      <c r="G9" s="455">
        <f>transport!G14</f>
        <v>216898.03896976501</v>
      </c>
      <c r="H9" s="455">
        <f>transport!H14</f>
        <v>36812.822883072316</v>
      </c>
      <c r="I9" s="455">
        <f>transport!I14</f>
        <v>0</v>
      </c>
      <c r="J9" s="455">
        <f>transport!J14</f>
        <v>0</v>
      </c>
      <c r="K9" s="455">
        <f>transport!K14</f>
        <v>0</v>
      </c>
      <c r="L9" s="455">
        <f>transport!L14</f>
        <v>0</v>
      </c>
      <c r="M9" s="455">
        <f>transport!M14</f>
        <v>7926.868106390817</v>
      </c>
      <c r="N9" s="455">
        <f>transport!N14</f>
        <v>0</v>
      </c>
      <c r="O9" s="455">
        <f>transport!O14</f>
        <v>0</v>
      </c>
      <c r="P9" s="455">
        <f>transport!P14</f>
        <v>0</v>
      </c>
      <c r="Q9" s="454">
        <f>SUM(B9:P9)</f>
        <v>262336.4913089053</v>
      </c>
    </row>
    <row r="10" spans="1:17">
      <c r="A10" s="450" t="s">
        <v>553</v>
      </c>
      <c r="B10" s="451">
        <f>transport!B54</f>
        <v>0</v>
      </c>
      <c r="C10" s="451">
        <f>transport!C54</f>
        <v>0</v>
      </c>
      <c r="D10" s="451">
        <f>transport!D54</f>
        <v>0</v>
      </c>
      <c r="E10" s="451">
        <f>transport!E54</f>
        <v>0</v>
      </c>
      <c r="F10" s="451">
        <f>transport!F54</f>
        <v>0</v>
      </c>
      <c r="G10" s="451">
        <f>transport!G54</f>
        <v>1359.1296448931537</v>
      </c>
      <c r="H10" s="451">
        <f>transport!H54</f>
        <v>0</v>
      </c>
      <c r="I10" s="451">
        <f>transport!I54</f>
        <v>0</v>
      </c>
      <c r="J10" s="451">
        <f>transport!J54</f>
        <v>0</v>
      </c>
      <c r="K10" s="451">
        <f>transport!K54</f>
        <v>0</v>
      </c>
      <c r="L10" s="451">
        <f>transport!L54</f>
        <v>0</v>
      </c>
      <c r="M10" s="451">
        <f>transport!M54</f>
        <v>42.103943165238107</v>
      </c>
      <c r="N10" s="451">
        <f>transport!N54</f>
        <v>0</v>
      </c>
      <c r="O10" s="451">
        <f>transport!O54</f>
        <v>0</v>
      </c>
      <c r="P10" s="452">
        <f>transport!P54</f>
        <v>0</v>
      </c>
      <c r="Q10" s="450">
        <f t="shared" si="0"/>
        <v>1401.2335880583919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605.18899999999996</v>
      </c>
      <c r="C14" s="458"/>
      <c r="D14" s="458">
        <f>'SEAP template'!E25</f>
        <v>1746.0291382</v>
      </c>
      <c r="E14" s="458"/>
      <c r="F14" s="458"/>
      <c r="G14" s="458"/>
      <c r="H14" s="458"/>
      <c r="I14" s="458"/>
      <c r="J14" s="458"/>
      <c r="K14" s="458"/>
      <c r="L14" s="458"/>
      <c r="M14" s="458"/>
      <c r="N14" s="458"/>
      <c r="O14" s="458"/>
      <c r="P14" s="459"/>
      <c r="Q14" s="450">
        <f t="shared" si="0"/>
        <v>2351.2181381999999</v>
      </c>
    </row>
    <row r="15" spans="1:17" s="460" customFormat="1">
      <c r="A15" s="1004" t="s">
        <v>557</v>
      </c>
      <c r="B15" s="944">
        <f ca="1">SUM(B4:B14)</f>
        <v>62180.942006288868</v>
      </c>
      <c r="C15" s="944">
        <f t="shared" ref="C15:Q15" ca="1" si="1">SUM(C4:C14)</f>
        <v>12954.857142857143</v>
      </c>
      <c r="D15" s="944">
        <f t="shared" ca="1" si="1"/>
        <v>94228.15057553153</v>
      </c>
      <c r="E15" s="944">
        <f t="shared" si="1"/>
        <v>16428.713004104491</v>
      </c>
      <c r="F15" s="944">
        <f t="shared" ca="1" si="1"/>
        <v>28945.281161753705</v>
      </c>
      <c r="G15" s="944">
        <f t="shared" si="1"/>
        <v>218257.16861465818</v>
      </c>
      <c r="H15" s="944">
        <f t="shared" si="1"/>
        <v>36812.822883072316</v>
      </c>
      <c r="I15" s="944">
        <f t="shared" si="1"/>
        <v>0</v>
      </c>
      <c r="J15" s="944">
        <f t="shared" si="1"/>
        <v>1265.4905837304375</v>
      </c>
      <c r="K15" s="944">
        <f t="shared" si="1"/>
        <v>0</v>
      </c>
      <c r="L15" s="944">
        <f t="shared" ca="1" si="1"/>
        <v>0</v>
      </c>
      <c r="M15" s="944">
        <f t="shared" si="1"/>
        <v>7968.972049556055</v>
      </c>
      <c r="N15" s="944">
        <f t="shared" ca="1" si="1"/>
        <v>19919.329224272515</v>
      </c>
      <c r="O15" s="944">
        <f t="shared" si="1"/>
        <v>240.75333333333336</v>
      </c>
      <c r="P15" s="944">
        <f t="shared" si="1"/>
        <v>705.4666666666667</v>
      </c>
      <c r="Q15" s="944">
        <f t="shared" ca="1" si="1"/>
        <v>499907.9472458252</v>
      </c>
    </row>
    <row r="17" spans="1:17">
      <c r="A17" s="461" t="s">
        <v>558</v>
      </c>
      <c r="B17" s="760">
        <f ca="1">huishoudens!B10</f>
        <v>0.20565410121746686</v>
      </c>
      <c r="C17" s="760">
        <f ca="1">huishoudens!C10</f>
        <v>0.23650316418746939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5345.4405308029664</v>
      </c>
      <c r="C22" s="451">
        <f t="shared" ref="C22:C32" ca="1" si="3">C4*$C$17</f>
        <v>0</v>
      </c>
      <c r="D22" s="451">
        <f t="shared" ref="D22:D32" si="4">D4*$D$17</f>
        <v>10725.524475206499</v>
      </c>
      <c r="E22" s="451">
        <f t="shared" ref="E22:E32" si="5">E4*$E$17</f>
        <v>3386.0948140288892</v>
      </c>
      <c r="F22" s="451">
        <f t="shared" ref="F22:F32" si="6">F4*$F$17</f>
        <v>3699.0566569765124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23156.116477014868</v>
      </c>
    </row>
    <row r="23" spans="1:17">
      <c r="A23" s="450" t="s">
        <v>155</v>
      </c>
      <c r="B23" s="451">
        <f t="shared" ca="1" si="2"/>
        <v>3174.4627219139352</v>
      </c>
      <c r="C23" s="451">
        <f t="shared" ca="1" si="3"/>
        <v>8.3620761623426692</v>
      </c>
      <c r="D23" s="451">
        <f t="shared" ca="1" si="4"/>
        <v>3013.4201447140663</v>
      </c>
      <c r="E23" s="451">
        <f t="shared" si="5"/>
        <v>70.961870175694685</v>
      </c>
      <c r="F23" s="451">
        <f t="shared" ca="1" si="6"/>
        <v>1047.5731687006071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7314.7799816666466</v>
      </c>
    </row>
    <row r="24" spans="1:17">
      <c r="A24" s="450" t="s">
        <v>193</v>
      </c>
      <c r="B24" s="451">
        <f t="shared" ca="1" si="2"/>
        <v>215.3348567240767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215.3348567240767</v>
      </c>
    </row>
    <row r="25" spans="1:17">
      <c r="A25" s="450" t="s">
        <v>111</v>
      </c>
      <c r="B25" s="451">
        <f t="shared" ca="1" si="2"/>
        <v>498.96990831168864</v>
      </c>
      <c r="C25" s="451">
        <f t="shared" ca="1" si="3"/>
        <v>3055.5026297200106</v>
      </c>
      <c r="D25" s="451">
        <f t="shared" si="4"/>
        <v>1037.3949204002527</v>
      </c>
      <c r="E25" s="451">
        <f t="shared" si="5"/>
        <v>14.202000321054321</v>
      </c>
      <c r="F25" s="451">
        <f t="shared" si="6"/>
        <v>2367.8721579202966</v>
      </c>
      <c r="G25" s="451">
        <f t="shared" si="7"/>
        <v>0</v>
      </c>
      <c r="H25" s="451">
        <f t="shared" si="8"/>
        <v>0</v>
      </c>
      <c r="I25" s="451">
        <f t="shared" si="9"/>
        <v>0</v>
      </c>
      <c r="J25" s="451">
        <f t="shared" si="10"/>
        <v>123.64933191995915</v>
      </c>
      <c r="K25" s="451">
        <f t="shared" si="11"/>
        <v>0</v>
      </c>
      <c r="L25" s="451">
        <f t="shared" si="12"/>
        <v>0</v>
      </c>
      <c r="M25" s="451">
        <f t="shared" si="13"/>
        <v>0</v>
      </c>
      <c r="N25" s="451">
        <f t="shared" si="14"/>
        <v>0</v>
      </c>
      <c r="O25" s="451">
        <f t="shared" si="15"/>
        <v>0</v>
      </c>
      <c r="P25" s="452">
        <f t="shared" si="16"/>
        <v>0</v>
      </c>
      <c r="Q25" s="450">
        <f t="shared" ca="1" si="17"/>
        <v>7097.5909485932625</v>
      </c>
    </row>
    <row r="26" spans="1:17">
      <c r="A26" s="450" t="s">
        <v>637</v>
      </c>
      <c r="B26" s="451">
        <f t="shared" ca="1" si="2"/>
        <v>3417.9341444960805</v>
      </c>
      <c r="C26" s="451">
        <f t="shared" ca="1" si="3"/>
        <v>0</v>
      </c>
      <c r="D26" s="451">
        <f t="shared" si="4"/>
        <v>3883.8738824299785</v>
      </c>
      <c r="E26" s="451">
        <f t="shared" si="5"/>
        <v>135.55887620728731</v>
      </c>
      <c r="F26" s="451">
        <f t="shared" si="6"/>
        <v>613.88808659082315</v>
      </c>
      <c r="G26" s="451">
        <f t="shared" si="7"/>
        <v>0</v>
      </c>
      <c r="H26" s="451">
        <f t="shared" si="8"/>
        <v>0</v>
      </c>
      <c r="I26" s="451">
        <f t="shared" si="9"/>
        <v>0</v>
      </c>
      <c r="J26" s="451">
        <f t="shared" si="10"/>
        <v>324.33433472061569</v>
      </c>
      <c r="K26" s="451">
        <f t="shared" si="11"/>
        <v>0</v>
      </c>
      <c r="L26" s="451">
        <f t="shared" si="12"/>
        <v>0</v>
      </c>
      <c r="M26" s="451">
        <f t="shared" si="13"/>
        <v>0</v>
      </c>
      <c r="N26" s="451">
        <f t="shared" si="14"/>
        <v>0</v>
      </c>
      <c r="O26" s="451">
        <f t="shared" si="15"/>
        <v>0</v>
      </c>
      <c r="P26" s="452">
        <f t="shared" si="16"/>
        <v>0</v>
      </c>
      <c r="Q26" s="450">
        <f t="shared" ca="1" si="17"/>
        <v>8375.5893244447852</v>
      </c>
    </row>
    <row r="27" spans="1:17" s="456" customFormat="1">
      <c r="A27" s="454" t="s">
        <v>563</v>
      </c>
      <c r="B27" s="754">
        <f t="shared" ca="1" si="2"/>
        <v>11.163979048323959</v>
      </c>
      <c r="C27" s="455">
        <f t="shared" ca="1" si="3"/>
        <v>0</v>
      </c>
      <c r="D27" s="455">
        <f t="shared" si="4"/>
        <v>21.175107590170466</v>
      </c>
      <c r="E27" s="455">
        <f t="shared" si="5"/>
        <v>122.50029119879387</v>
      </c>
      <c r="F27" s="455">
        <f t="shared" si="6"/>
        <v>0</v>
      </c>
      <c r="G27" s="455">
        <f t="shared" si="7"/>
        <v>57911.776404927259</v>
      </c>
      <c r="H27" s="455">
        <f t="shared" si="8"/>
        <v>9166.3928978850072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67233.008680649553</v>
      </c>
    </row>
    <row r="28" spans="1:17">
      <c r="A28" s="450" t="s">
        <v>553</v>
      </c>
      <c r="B28" s="451">
        <f t="shared" ca="1" si="2"/>
        <v>0</v>
      </c>
      <c r="C28" s="451">
        <f t="shared" ca="1" si="3"/>
        <v>0</v>
      </c>
      <c r="D28" s="451">
        <f t="shared" si="4"/>
        <v>0</v>
      </c>
      <c r="E28" s="451">
        <f t="shared" si="5"/>
        <v>0</v>
      </c>
      <c r="F28" s="451">
        <f t="shared" si="6"/>
        <v>0</v>
      </c>
      <c r="G28" s="451">
        <f t="shared" si="7"/>
        <v>362.88761518647203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362.88761518647203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124.45959986169754</v>
      </c>
      <c r="C32" s="451">
        <f t="shared" ca="1" si="3"/>
        <v>0</v>
      </c>
      <c r="D32" s="451">
        <f t="shared" si="4"/>
        <v>352.69788591640003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477.15748577809757</v>
      </c>
    </row>
    <row r="33" spans="1:17" s="460" customFormat="1">
      <c r="A33" s="1004" t="s">
        <v>557</v>
      </c>
      <c r="B33" s="944">
        <f ca="1">SUM(B22:B32)</f>
        <v>12787.76574115877</v>
      </c>
      <c r="C33" s="944">
        <f t="shared" ref="C33:Q33" ca="1" si="18">SUM(C22:C32)</f>
        <v>3063.8647058823535</v>
      </c>
      <c r="D33" s="944">
        <f t="shared" ca="1" si="18"/>
        <v>19034.086416257367</v>
      </c>
      <c r="E33" s="944">
        <f t="shared" si="18"/>
        <v>3729.3178519317189</v>
      </c>
      <c r="F33" s="944">
        <f t="shared" ca="1" si="18"/>
        <v>7728.3900701882394</v>
      </c>
      <c r="G33" s="944">
        <f t="shared" si="18"/>
        <v>58274.664020113734</v>
      </c>
      <c r="H33" s="944">
        <f t="shared" si="18"/>
        <v>9166.3928978850072</v>
      </c>
      <c r="I33" s="944">
        <f t="shared" si="18"/>
        <v>0</v>
      </c>
      <c r="J33" s="944">
        <f t="shared" si="18"/>
        <v>447.98366664057482</v>
      </c>
      <c r="K33" s="944">
        <f t="shared" si="18"/>
        <v>0</v>
      </c>
      <c r="L33" s="944">
        <f t="shared" ca="1" si="18"/>
        <v>0</v>
      </c>
      <c r="M33" s="944">
        <f t="shared" si="18"/>
        <v>0</v>
      </c>
      <c r="N33" s="944">
        <f t="shared" ca="1" si="18"/>
        <v>0</v>
      </c>
      <c r="O33" s="944">
        <f t="shared" si="18"/>
        <v>0</v>
      </c>
      <c r="P33" s="944">
        <f t="shared" si="18"/>
        <v>0</v>
      </c>
      <c r="Q33" s="944">
        <f t="shared" ca="1" si="18"/>
        <v>114232.46537005775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4953.8974495417206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9024.75</v>
      </c>
      <c r="D8" s="1021">
        <f>'SEAP template'!D76</f>
        <v>10617.352941176472</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2144.7052941176476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4997.5474495417202</v>
      </c>
      <c r="C10" s="1025">
        <f>SUM(C4:C9)</f>
        <v>9024.75</v>
      </c>
      <c r="D10" s="1025">
        <f t="shared" ref="D10:H10" si="0">SUM(D8:D9)</f>
        <v>10617.352941176472</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2144.7052941176476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0.20565410121746686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62.357142857142833</v>
      </c>
      <c r="C17" s="1027">
        <f>'SEAP template'!C87</f>
        <v>12892.5</v>
      </c>
      <c r="D17" s="1022">
        <f>'SEAP template'!D87</f>
        <v>15167.647058823532</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3063.8647058823535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62.357142857142833</v>
      </c>
      <c r="C20" s="1025">
        <f>SUM(C17:C19)</f>
        <v>12892.5</v>
      </c>
      <c r="D20" s="1025">
        <f t="shared" ref="D20:H20" si="2">SUM(D17:D19)</f>
        <v>15167.647058823532</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3063.8647058823535</v>
      </c>
    </row>
    <row r="22" spans="1:16">
      <c r="A22" s="461" t="s">
        <v>857</v>
      </c>
      <c r="B22" s="760" t="s">
        <v>851</v>
      </c>
      <c r="C22" s="760">
        <f ca="1">'EF ele_warmte'!B22</f>
        <v>0.23650316418746939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0.20565410121746686</v>
      </c>
      <c r="C17" s="498">
        <f ca="1">'EF ele_warmte'!B22</f>
        <v>0.23650316418746939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2020-06-20T15:54:47Z</dcterms:modified>
</cp:coreProperties>
</file>