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F49" i="18"/>
  <c r="D48" i="18"/>
  <c r="B49" i="18"/>
  <c r="C17" i="18" s="1"/>
  <c r="B48" i="18"/>
  <c r="C8" i="18" s="1"/>
  <c r="D76" i="14" s="1"/>
  <c r="D8" i="59" s="1"/>
  <c r="D10" i="59"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3" i="14" l="1"/>
  <c r="F16" i="14" s="1"/>
  <c r="F27" i="14" s="1"/>
  <c r="F63" i="14" s="1"/>
  <c r="E8" i="48"/>
  <c r="E26" i="48" s="1"/>
  <c r="E23" i="48"/>
  <c r="E33" i="48" s="1"/>
  <c r="E15" i="48"/>
  <c r="J22" i="16"/>
  <c r="K43" i="14" s="1"/>
  <c r="K46" i="14" s="1"/>
  <c r="K61" i="14" s="1"/>
  <c r="J8" i="48"/>
  <c r="K13" i="14"/>
  <c r="K16" i="14" s="1"/>
  <c r="K27"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<sst xmlns="http://schemas.openxmlformats.org/spreadsheetml/2006/main" count="2416" uniqueCount="903">
  <si>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</si>
  <si>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</si>
  <si>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</si>
  <si>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</si>
  <si>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</si>
  <si>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</si>
  <si>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</si>
  <si>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</si>
  <si>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</si>
  <si>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</si>
  <si>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</si>
  <si>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</si>
  <si>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</si>
  <si>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</si>
  <si>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</si>
  <si>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</si>
  <si>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</si>
  <si>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</si>
  <si>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</si>
  <si>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</si>
  <si>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</si>
  <si>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</si>
  <si>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</si>
  <si>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</si>
  <si>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</si>
  <si>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</si>
  <si>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</si>
  <si>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</si>
  <si>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</si>
  <si>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</si>
  <si>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</si>
  <si>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</si>
  <si>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</si>
  <si>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</si>
  <si>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</si>
  <si>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</si>
  <si>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</si>
  <si>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</si>
  <si>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</si>
  <si>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</si>
  <si>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</si>
  <si>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</si>
  <si>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</si>
  <si>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</si>
  <si>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</si>
  <si>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</si>
  <si>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</si>
  <si>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</si>
  <si>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</si>
  <si>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</si>
  <si>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</si>
  <si>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</si>
  <si>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</si>
  <si>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</si>
  <si>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</si>
  <si>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</si>
  <si>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</si>
  <si>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</si>
  <si>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</si>
  <si>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</si>
  <si>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</si>
  <si>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</si>
  <si>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</si>
  <si>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</si>
  <si>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</si>
  <si>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</si>
  <si>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</si>
  <si>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</si>
  <si>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</si>
  <si>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</si>
  <si>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</si>
  <si>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</si>
  <si>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</si>
  <si>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</si>
  <si>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</si>
  <si>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</si>
  <si>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</si>
  <si>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</si>
  <si>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</si>
  <si>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</si>
  <si>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</si>
  <si>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</si>
  <si>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</si>
  <si>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</si>
  <si>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</si>
  <si>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</si>
  <si>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</si>
  <si>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</si>
  <si>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</si>
  <si>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</si>
  <si>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</si>
  <si>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</si>
  <si>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</si>
  <si>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</si>
  <si>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</si>
  <si>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</si>
  <si>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</si>
  <si>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</si>
  <si>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</si>
  <si>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</si>
  <si>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</si>
  <si>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</si>
  <si>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</si>
  <si>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</si>
  <si>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</si>
  <si>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</si>
  <si>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</si>
  <si>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</si>
  <si>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</si>
  <si>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</si>
  <si>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</si>
  <si>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</si>
  <si>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</si>
  <si>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</si>
  <si>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</si>
  <si>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</si>
  <si>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</si>
  <si>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</si>
  <si>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</si>
  <si>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</si>
  <si>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</si>
  <si>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</si>
  <si>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</si>
  <si>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</si>
  <si>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</si>
  <si>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</si>
  <si>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</si>
  <si>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</si>
  <si>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</si>
  <si>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</si>
  <si>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</si>
  <si>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</si>
  <si>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</si>
  <si>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</si>
  <si>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</si>
  <si>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</si>
  <si>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</si>
  <si>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</si>
  <si>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</si>
  <si>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</si>
  <si>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</si>
  <si>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</si>
  <si>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</si>
  <si>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</si>
  <si>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</si>
  <si>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</si>
  <si>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</si>
  <si>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</si>
  <si>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</si>
  <si>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</si>
  <si>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</si>
  <si>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</si>
  <si>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</si>
  <si>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</si>
  <si>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</si>
  <si>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</si>
  <si>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</si>
  <si>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</si>
  <si>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</si>
  <si>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</si>
  <si>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</si>
  <si>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</si>
  <si>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</si>
  <si>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</si>
  <si>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</si>
  <si>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</si>
  <si>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</si>
  <si>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</si>
  <si>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</si>
  <si>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</si>
  <si>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</si>
  <si>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</si>
  <si>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</si>
  <si>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</si>
  <si>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</si>
  <si>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</si>
  <si>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</si>
  <si>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</si>
  <si>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</si>
  <si>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</si>
  <si>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</si>
  <si>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</si>
  <si>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</si>
  <si>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</si>
  <si>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</si>
  <si>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</si>
  <si>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</si>
  <si>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</si>
  <si>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</si>
  <si>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</si>
  <si>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</si>
  <si>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</si>
  <si>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</si>
  <si>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</si>
  <si>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</si>
  <si>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</si>
  <si>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</si>
  <si>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</si>
  <si>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</si>
  <si>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</si>
  <si>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</si>
  <si>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</si>
  <si>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</si>
  <si>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</si>
  <si>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</si>
  <si>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</si>
  <si>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</si>
  <si>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</si>
  <si>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</si>
  <si>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</si>
  <si>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</si>
  <si>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</si>
  <si>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</si>
  <si>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</si>
  <si>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</si>
  <si>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</si>
  <si>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</si>
  <si>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</si>
  <si>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</si>
  <si>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</si>
  <si>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</si>
  <si>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</si>
  <si>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</si>
  <si>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</si>
  <si>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</si>
  <si>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</si>
  <si>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</si>
  <si>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</si>
  <si>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</si>
  <si>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</si>
  <si>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</si>
  <si>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</si>
  <si>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</si>
  <si>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</si>
  <si>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</si>
  <si>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</si>
  <si>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</si>
  <si>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</si>
  <si>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</si>
  <si>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</si>
  <si>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</si>
  <si>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</si>
  <si>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</si>
  <si>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</si>
  <si>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</si>
  <si>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</si>
  <si>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</si>
  <si>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</si>
  <si>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</si>
  <si>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</si>
  <si>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</si>
  <si>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</si>
  <si>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</si>
  <si>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</si>
  <si>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</si>
  <si>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</si>
  <si>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</si>
  <si>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</si>
  <si>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</si>
  <si>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</si>
  <si>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</si>
  <si>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</si>
  <si>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</si>
  <si>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</si>
  <si>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</si>
  <si>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</si>
  <si>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</si>
  <si>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</si>
  <si>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</si>
  <si>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</si>
  <si>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</si>
  <si>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</si>
  <si>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</si>
  <si>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</si>
  <si>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</si>
  <si>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</si>
  <si>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</si>
  <si>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</si>
  <si>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</si>
  <si>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</si>
  <si>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</si>
  <si>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</si>
  <si>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</si>
  <si>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</si>
  <si>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</si>
  <si>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</si>
  <si>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</si>
  <si>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</si>
  <si>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</si>
  <si>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</si>
  <si>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</si>
  <si>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</si>
  <si>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</si>
  <si>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</si>
  <si>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</si>
  <si>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</si>
  <si>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</si>
  <si>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</si>
  <si>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</si>
  <si>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</si>
  <si>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</si>
  <si>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</si>
  <si>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</si>
  <si>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</si>
  <si>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</si>
  <si>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</si>
  <si>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</si>
  <si>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</si>
  <si>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</si>
  <si>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</si>
  <si>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</si>
  <si>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</si>
  <si>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</si>
  <si>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</si>
  <si>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</si>
  <si>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</si>
  <si>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</si>
  <si>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</si>
  <si>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</si>
  <si>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</si>
  <si>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</si>
  <si>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</si>
  <si>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</si>
  <si>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</si>
  <si>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</si>
  <si>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</si>
  <si>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</si>
  <si>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</si>
  <si>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</si>
  <si>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</si>
  <si>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</si>
  <si>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</si>
  <si>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</si>
  <si>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</si>
  <si>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</si>
  <si>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</si>
  <si>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</si>
  <si>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</si>
  <si>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</si>
  <si>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</si>
  <si>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</si>
  <si>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</si>
  <si>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</si>
  <si>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</si>
  <si>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</si>
  <si>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</si>
  <si>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</si>
  <si>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</si>
  <si>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</si>
  <si>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</si>
  <si>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</si>
  <si>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</si>
  <si>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</si>
  <si>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</si>
  <si>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</si>
  <si>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</si>
  <si>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</si>
  <si>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</si>
  <si>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</si>
  <si>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</si>
  <si>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</si>
  <si>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</si>
  <si>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</si>
  <si>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</si>
  <si>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</si>
  <si>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</si>
  <si>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</si>
  <si>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</si>
  <si>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</si>
  <si>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</si>
  <si>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</si>
  <si>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</si>
  <si>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</si>
  <si>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</si>
  <si>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</si>
  <si>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</si>
  <si>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</si>
  <si>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</si>
  <si>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</si>
  <si>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</si>
  <si>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</si>
  <si>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</si>
  <si>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</si>
  <si>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</si>
  <si>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</si>
  <si>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</si>
  <si>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</si>
  <si>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</si>
  <si>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</si>
  <si>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</si>
  <si>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</si>
  <si>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</si>
  <si>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</si>
  <si>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</si>
  <si>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</si>
  <si>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</si>
  <si>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</si>
  <si>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</si>
  <si>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</si>
  <si>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</si>
  <si>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</si>
  <si>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</si>
  <si>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</si>
  <si>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</si>
  <si>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</si>
  <si>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</si>
  <si>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</si>
  <si>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</si>
  <si>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</si>
  <si>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</si>
  <si>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</si>
  <si>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</si>
  <si>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</si>
  <si>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</si>
  <si>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</si>
  <si>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</si>
  <si>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</si>
  <si>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</si>
  <si>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</si>
  <si>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</si>
  <si>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</si>
  <si>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</si>
  <si>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</si>
  <si>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</si>
  <si>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</si>
  <si>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</si>
  <si>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</si>
  <si>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</si>
  <si>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</si>
  <si>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</si>
  <si>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</si>
  <si>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</si>
  <si>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</si>
  <si>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</si>
  <si>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</si>
  <si>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</si>
  <si>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</si>
  <si>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</si>
  <si>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</si>
  <si>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</si>
  <si>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</si>
  <si>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</si>
  <si>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</si>
  <si>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</si>
  <si>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</si>
  <si>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</si>
  <si>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</si>
  <si>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</si>
  <si>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</si>
  <si>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</si>
  <si>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</si>
  <si>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</si>
  <si>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</si>
  <si>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</si>
  <si>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</si>
  <si>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</si>
  <si>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</si>
  <si>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</si>
  <si>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</si>
  <si>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</si>
  <si>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</si>
  <si>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</si>
  <si>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</si>
  <si>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</si>
  <si>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</si>
  <si>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</si>
  <si>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</si>
  <si>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</si>
  <si>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</si>
  <si>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</si>
  <si>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</si>
  <si>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</si>
  <si>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</si>
  <si>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</si>
  <si>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</si>
  <si>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</si>
  <si>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</si>
  <si>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</si>
  <si>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</si>
  <si>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</si>
  <si>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</si>
  <si>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</si>
  <si>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</si>
  <si>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</si>
  <si>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</si>
  <si>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</si>
  <si>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</si>
  <si>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</si>
  <si>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</si>
  <si>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</si>
  <si>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</si>
  <si>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</si>
  <si>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</si>
  <si>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</si>
  <si>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</si>
  <si>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</si>
  <si>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</si>
  <si>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</si>
  <si>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</si>
  <si>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</si>
  <si>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</si>
  <si>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</si>
  <si>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</si>
  <si>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</si>
  <si>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</si>
  <si>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</si>
  <si>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</si>
  <si>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</si>
  <si>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</si>
  <si>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</si>
  <si>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</si>
  <si>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</si>
  <si>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</si>
  <si>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</si>
  <si>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</si>
  <si>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</si>
  <si>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</si>
  <si>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</si>
  <si>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</si>
  <si>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</si>
  <si>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</si>
  <si>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</si>
  <si>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</si>
  <si>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</si>
  <si>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</si>
  <si>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</si>
  <si>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</si>
  <si>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</si>
  <si>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</si>
  <si>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</si>
  <si>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</si>
  <si>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</si>
  <si>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</si>
  <si>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</si>
  <si>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</si>
  <si>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</si>
  <si>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</si>
  <si>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</si>
  <si>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</si>
  <si>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</si>
  <si>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</si>
  <si>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</si>
  <si>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</si>
  <si>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</si>
  <si>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</si>
  <si>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</si>
  <si>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</si>
  <si>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</si>
  <si>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</si>
  <si>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</si>
  <si>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</si>
  <si>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</si>
  <si>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</si>
  <si>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</si>
  <si>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</si>
  <si>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</si>
  <si>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</si>
  <si>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</si>
  <si>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</si>
  <si>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</si>
  <si>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</si>
  <si>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</si>
  <si>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</si>
  <si>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</si>
  <si>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</si>
  <si>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</si>
  <si>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</si>
  <si>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</si>
  <si>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</si>
  <si>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</si>
  <si>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</si>
  <si>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</si>
  <si>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</si>
  <si>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</si>
  <si>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</si>
  <si>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</si>
  <si>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</si>
  <si>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</si>
  <si>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</si>
  <si>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</si>
  <si>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</si>
  <si>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</si>
  <si>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</si>
  <si>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</si>
  <si>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</si>
  <si>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</si>
  <si>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</si>
  <si>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</si>
  <si>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</si>
  <si>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</si>
  <si>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</si>
  <si>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</si>
  <si>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</si>
  <si>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</si>
  <si>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</si>
  <si>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</si>
  <si>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</si>
  <si>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</si>
  <si>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</si>
  <si>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</si>
  <si>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</si>
  <si>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</si>
  <si>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</si>
  <si>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</si>
  <si>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</si>
  <si>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</si>
  <si>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</si>
  <si>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</si>
  <si>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</si>
  <si>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</si>
  <si>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</si>
  <si>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</si>
  <si>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</si>
  <si>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</si>
  <si>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</si>
  <si>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</si>
  <si>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</si>
  <si>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</si>
  <si>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</si>
  <si>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</si>
  <si>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</si>
  <si>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</si>
  <si>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</si>
  <si>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</si>
  <si>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</si>
  <si>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</si>
  <si>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</si>
  <si>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</si>
  <si>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</si>
  <si>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</si>
  <si>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</si>
  <si>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</si>
  <si>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</si>
  <si>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</si>
  <si>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</si>
  <si>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</si>
  <si>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</si>
  <si>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</si>
  <si>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</si>
  <si>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</si>
  <si>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</si>
  <si>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</si>
  <si>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</si>
  <si>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</si>
  <si>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</si>
  <si>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</si>
  <si>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</si>
  <si>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</si>
  <si>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</si>
  <si>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</si>
  <si>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</si>
  <si>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</si>
  <si>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</si>
  <si>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</si>
  <si>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</si>
  <si>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</si>
  <si>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</si>
  <si>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</si>
  <si>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</si>
  <si>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</si>
  <si>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</si>
  <si>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</si>
  <si>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</si>
  <si>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</si>
  <si>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</si>
  <si>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</si>
  <si>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</si>
  <si>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</si>
  <si>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</si>
  <si>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</si>
  <si>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</si>
  <si>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</si>
  <si>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</si>
  <si>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</si>
  <si>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</si>
  <si>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</si>
  <si>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</si>
  <si>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</si>
  <si>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</si>
  <si>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</si>
  <si>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</si>
  <si>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</si>
  <si>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</si>
  <si>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</si>
  <si>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</si>
  <si>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</si>
  <si>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</si>
  <si>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</si>
  <si>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</si>
  <si>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</si>
  <si>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</si>
  <si>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</si>
  <si>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</si>
  <si>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</si>
  <si>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</si>
  <si>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</si>
  <si>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</si>
  <si>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</si>
  <si>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</si>
  <si>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</si>
  <si>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</si>
  <si>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</si>
  <si>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</si>
  <si>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</si>
  <si>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</si>
  <si>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</si>
  <si>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</si>
  <si>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</si>
  <si>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</si>
  <si>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</si>
  <si>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</si>
  <si>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</si>
  <si>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</si>
  <si>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</si>
  <si>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</si>
  <si>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</si>
  <si>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</si>
  <si>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</si>
  <si>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</si>
  <si>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</si>
  <si>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</si>
  <si>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</si>
  <si>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</si>
  <si>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</si>
  <si>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</si>
  <si>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</si>
  <si>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</si>
  <si>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</si>
  <si>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</si>
  <si>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</si>
  <si>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</si>
  <si>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</si>
  <si>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</si>
  <si>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</si>
  <si>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</si>
  <si>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</si>
  <si>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</si>
  <si>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</si>
  <si>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</si>
  <si>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</si>
  <si>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</si>
  <si>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</si>
  <si>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</si>
  <si>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</si>
  <si>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</si>
  <si>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</si>
  <si>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</si>
  <si>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</si>
  <si>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</si>
  <si>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</si>
  <si>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</si>
  <si>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</si>
  <si>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</si>
  <si>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</si>
  <si>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</si>
  <si>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</si>
  <si>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</si>
  <si>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</si>
  <si>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</si>
  <si>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</si>
  <si>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</si>
  <si>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</si>
  <si>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</si>
  <si>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</si>
  <si>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</si>
  <si>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</si>
  <si>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</si>
  <si>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</si>
  <si>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</si>
  <si>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</si>
  <si>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</si>
  <si>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</si>
  <si>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</si>
  <si>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</si>
  <si>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</si>
  <si>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</si>
  <si>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</si>
  <si>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</si>
  <si>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</si>
  <si>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</si>
  <si>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</si>
  <si>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</si>
  <si>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</si>
  <si>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</si>
  <si>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</si>
  <si>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</si>
  <si>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</si>
  <si>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</si>
  <si>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</si>
  <si>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</si>
  <si>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</si>
  <si>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</si>
  <si>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</si>
  <si>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</si>
  <si>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</si>
  <si>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</si>
  <si>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</si>
  <si>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</si>
  <si>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</si>
  <si>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</si>
  <si>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</si>
  <si>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</si>
  <si>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</si>
  <si>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</si>
  <si>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</si>
  <si>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</si>
  <si>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</si>
  <si>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</si>
  <si>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</si>
  <si>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</si>
  <si>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</si>
  <si>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</si>
  <si>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</si>
  <si>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</si>
  <si>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</si>
  <si>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</si>
  <si>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</si>
  <si>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</si>
  <si>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</si>
  <si>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</si>
  <si>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</si>
  <si>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</si>
  <si>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</si>
  <si>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</si>
  <si>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</si>
  <si>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</si>
  <si>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</si>
  <si>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</si>
  <si>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</si>
  <si>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</si>
  <si>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</si>
  <si>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</si>
  <si>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</si>
  <si>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</si>
  <si>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</si>
  <si>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</si>
  <si>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</si>
  <si>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</si>
  <si>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</si>
  <si>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</si>
  <si>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</si>
  <si>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</si>
  <si>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</si>
  <si>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</si>
  <si>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</si>
  <si>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</si>
  <si>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</si>
  <si>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</si>
  <si>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</si>
  <si>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</si>
  <si>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</si>
  <si>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</si>
  <si>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</si>
  <si>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</si>
  <si>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</si>
  <si>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</si>
  <si>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</si>
  <si>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</si>
  <si>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</si>
  <si>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</si>
  <si>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</si>
  <si>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</si>
  <si>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</si>
  <si>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</si>
  <si>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</si>
  <si>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</si>
  <si>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</si>
  <si>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</si>
  <si>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</si>
  <si>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</si>
  <si>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</si>
  <si>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</si>
  <si>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</si>
  <si>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</si>
  <si>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</si>
  <si>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</si>
  <si>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</si>
  <si>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</si>
  <si>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</si>
  <si>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</si>
  <si>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</si>
  <si>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</si>
  <si>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</si>
  <si>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</si>
  <si>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</si>
  <si>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</si>
  <si>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</si>
  <si>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</si>
  <si>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</si>
  <si>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</si>
  <si>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24066</t>
  </si>
  <si>
    <t>LUBBEEK</t>
  </si>
  <si>
    <t>Paarden&amp;pony's 200 - 600 kg</t>
  </si>
  <si>
    <t>Paarden&amp;pony's &lt; 200 kg</t>
  </si>
  <si>
    <t>Fluvius</t>
  </si>
  <si>
    <t>referentietaak LNE (2017); Jaarverslag De Lijn</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</si>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</sst>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127480.25847322887</c:v>
                </c:pt>
                <c:pt idx="1">
                  <c:v>24563.50154309563</c:v>
                </c:pt>
                <c:pt idx="2">
                  <c:v>882.25900000000001</c:v>
                </c:pt>
                <c:pt idx="3">
                  <c:v>3993.1387626138912</c:v>
                </c:pt>
                <c:pt idx="4">
                  <c:v>3049.3815121666712</c:v>
                </c:pt>
                <c:pt idx="5">
                  <c:v>70292.446264976825</c:v>
                </c:pt>
                <c:pt idx="6">
                  <c:v>3751.0645904072244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127480.25847322887</c:v>
                </c:pt>
                <c:pt idx="1">
                  <c:v>24563.50154309563</c:v>
                </c:pt>
                <c:pt idx="2">
                  <c:v>882.25900000000001</c:v>
                </c:pt>
                <c:pt idx="3">
                  <c:v>3993.1387626138912</c:v>
                </c:pt>
                <c:pt idx="4">
                  <c:v>3049.3815121666712</c:v>
                </c:pt>
                <c:pt idx="5">
                  <c:v>70292.446264976825</c:v>
                </c:pt>
                <c:pt idx="6">
                  <c:v>3751.0645904072244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27060.776765506354</c:v>
                </c:pt>
                <c:pt idx="2">
                  <c:v>5004.4962009785186</c:v>
                </c:pt>
                <c:pt idx="3">
                  <c:v>168.66941484621537</c:v>
                </c:pt>
                <c:pt idx="4">
                  <c:v>1006.7944391554637</c:v>
                </c:pt>
                <c:pt idx="5">
                  <c:v>608.54477816624308</c:v>
                </c:pt>
                <c:pt idx="6">
                  <c:v>17997.159082935133</c:v>
                </c:pt>
                <c:pt idx="7">
                  <c:v>971.44037598289015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27060.776765506354</c:v>
                </c:pt>
                <c:pt idx="2">
                  <c:v>5004.4962009785186</c:v>
                </c:pt>
                <c:pt idx="3">
                  <c:v>168.66941484621537</c:v>
                </c:pt>
                <c:pt idx="4">
                  <c:v>1006.7944391554637</c:v>
                </c:pt>
                <c:pt idx="5">
                  <c:v>608.54477816624308</c:v>
                </c:pt>
                <c:pt idx="6">
                  <c:v>17997.159082935133</c:v>
                </c:pt>
                <c:pt idx="7">
                  <c:v>971.44037598289015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24066</v>
      </c>
      <c r="B6" s="390"/>
      <c r="C6" s="391"/>
    </row>
    <row r="7" spans="1:7" s="388" customFormat="1" ht="15.75" customHeight="1">
      <c r="A7" s="392" t="str">
        <f>txtMunicipality</f>
        <v>LUBBEEK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15043.079</v>
      </c>
      <c r="D10" s="978">
        <f ca="1">tertiair!C16</f>
        <v>0</v>
      </c>
      <c r="E10" s="978">
        <f ca="1">tertiair!D16</f>
        <v>7083.2274040000011</v>
      </c>
      <c r="F10" s="978">
        <f>tertiair!E16</f>
        <v>210.6977849858161</v>
      </c>
      <c r="G10" s="978">
        <f ca="1">tertiair!F16</f>
        <v>3065.9330207764792</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4.6900000000000004</v>
      </c>
      <c r="Q10" s="979">
        <f>tertiair!P16</f>
        <v>38.133333333333333</v>
      </c>
      <c r="R10" s="674">
        <f ca="1">SUM(C10:Q10)</f>
        <v>25445.760543095632</v>
      </c>
      <c r="S10" s="67"/>
    </row>
    <row r="11" spans="1:19" s="447" customFormat="1">
      <c r="A11" s="783" t="s">
        <v>224</v>
      </c>
      <c r="B11" s="788"/>
      <c r="C11" s="978">
        <f>huishoudens!B8</f>
        <v>26377.594257978293</v>
      </c>
      <c r="D11" s="978">
        <f>huishoudens!C8</f>
        <v>0</v>
      </c>
      <c r="E11" s="978">
        <f>huishoudens!D8</f>
        <v>30984.662434000002</v>
      </c>
      <c r="F11" s="978">
        <f>huishoudens!E8</f>
        <v>14691.017848692733</v>
      </c>
      <c r="G11" s="978">
        <f>huishoudens!F8</f>
        <v>46532.476281567848</v>
      </c>
      <c r="H11" s="978">
        <f>huishoudens!G8</f>
        <v>0</v>
      </c>
      <c r="I11" s="978">
        <f>huishoudens!H8</f>
        <v>0</v>
      </c>
      <c r="J11" s="978">
        <f>huishoudens!I8</f>
        <v>0</v>
      </c>
      <c r="K11" s="978">
        <f>huishoudens!J8</f>
        <v>0</v>
      </c>
      <c r="L11" s="978">
        <f>huishoudens!K8</f>
        <v>0</v>
      </c>
      <c r="M11" s="978">
        <f>huishoudens!L8</f>
        <v>0</v>
      </c>
      <c r="N11" s="978">
        <f>huishoudens!M8</f>
        <v>0</v>
      </c>
      <c r="O11" s="978">
        <f>huishoudens!N8</f>
        <v>7547.2443176566458</v>
      </c>
      <c r="P11" s="978">
        <f>huishoudens!O8</f>
        <v>298.59666666666669</v>
      </c>
      <c r="Q11" s="979">
        <f>huishoudens!P8</f>
        <v>1048.6666666666667</v>
      </c>
      <c r="R11" s="674">
        <f>SUM(C11:Q11)</f>
        <v>127480.25847322887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1447.058</v>
      </c>
      <c r="D13" s="978">
        <f>industrie!C18</f>
        <v>0</v>
      </c>
      <c r="E13" s="978">
        <f>industrie!D18</f>
        <v>597.58311800000001</v>
      </c>
      <c r="F13" s="978">
        <f>industrie!E18</f>
        <v>162.40226371215405</v>
      </c>
      <c r="G13" s="978">
        <f>industrie!F18</f>
        <v>642.77694185093117</v>
      </c>
      <c r="H13" s="978">
        <f>industrie!G18</f>
        <v>0</v>
      </c>
      <c r="I13" s="978">
        <f>industrie!H18</f>
        <v>0</v>
      </c>
      <c r="J13" s="978">
        <f>industrie!I18</f>
        <v>0</v>
      </c>
      <c r="K13" s="978">
        <f>industrie!J18</f>
        <v>7.6245603726004338</v>
      </c>
      <c r="L13" s="978">
        <f>industrie!K18</f>
        <v>0</v>
      </c>
      <c r="M13" s="978">
        <f>industrie!L18</f>
        <v>0</v>
      </c>
      <c r="N13" s="978">
        <f>industrie!M18</f>
        <v>0</v>
      </c>
      <c r="O13" s="978">
        <f>industrie!N18</f>
        <v>191.93662823098572</v>
      </c>
      <c r="P13" s="978">
        <f>industrie!O18</f>
        <v>0</v>
      </c>
      <c r="Q13" s="979">
        <f>industrie!P18</f>
        <v>0</v>
      </c>
      <c r="R13" s="674">
        <f>SUM(C13:Q13)</f>
        <v>3049.3815121666712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42867.731257978288</v>
      </c>
      <c r="D16" s="706">
        <f t="shared" ref="D16:R16" ca="1" si="0">SUM(D9:D15)</f>
        <v>0</v>
      </c>
      <c r="E16" s="706">
        <f t="shared" ca="1" si="0"/>
        <v>38665.472956000005</v>
      </c>
      <c r="F16" s="706">
        <f t="shared" si="0"/>
        <v>15064.117897390703</v>
      </c>
      <c r="G16" s="706">
        <f t="shared" ca="1" si="0"/>
        <v>50241.186244195262</v>
      </c>
      <c r="H16" s="706">
        <f t="shared" si="0"/>
        <v>0</v>
      </c>
      <c r="I16" s="706">
        <f t="shared" si="0"/>
        <v>0</v>
      </c>
      <c r="J16" s="706">
        <f t="shared" si="0"/>
        <v>0</v>
      </c>
      <c r="K16" s="706">
        <f t="shared" si="0"/>
        <v>7.6245603726004338</v>
      </c>
      <c r="L16" s="706">
        <f t="shared" si="0"/>
        <v>0</v>
      </c>
      <c r="M16" s="706">
        <f t="shared" ca="1" si="0"/>
        <v>0</v>
      </c>
      <c r="N16" s="706">
        <f t="shared" si="0"/>
        <v>0</v>
      </c>
      <c r="O16" s="706">
        <f t="shared" ca="1" si="0"/>
        <v>7739.1809458876314</v>
      </c>
      <c r="P16" s="706">
        <f t="shared" si="0"/>
        <v>303.28666666666669</v>
      </c>
      <c r="Q16" s="706">
        <f t="shared" si="0"/>
        <v>1086.8000000000002</v>
      </c>
      <c r="R16" s="706">
        <f t="shared" ca="1" si="0"/>
        <v>155975.40052849115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3638.3534681007118</v>
      </c>
      <c r="I19" s="978">
        <f>transport!H54</f>
        <v>0</v>
      </c>
      <c r="J19" s="978">
        <f>transport!I54</f>
        <v>0</v>
      </c>
      <c r="K19" s="978">
        <f>transport!J54</f>
        <v>0</v>
      </c>
      <c r="L19" s="978">
        <f>transport!K54</f>
        <v>0</v>
      </c>
      <c r="M19" s="978">
        <f>transport!L54</f>
        <v>0</v>
      </c>
      <c r="N19" s="978">
        <f>transport!M54</f>
        <v>112.71112230651258</v>
      </c>
      <c r="O19" s="978">
        <f>transport!N54</f>
        <v>0</v>
      </c>
      <c r="P19" s="978">
        <f>transport!O54</f>
        <v>0</v>
      </c>
      <c r="Q19" s="979">
        <f>transport!P54</f>
        <v>0</v>
      </c>
      <c r="R19" s="674">
        <f>SUM(C19:Q19)</f>
        <v>3751.0645904072244</v>
      </c>
      <c r="S19" s="67"/>
    </row>
    <row r="20" spans="1:19" s="447" customFormat="1">
      <c r="A20" s="783" t="s">
        <v>306</v>
      </c>
      <c r="B20" s="788"/>
      <c r="C20" s="978">
        <f>transport!B14</f>
        <v>14.451867120212516</v>
      </c>
      <c r="D20" s="978">
        <f>transport!C14</f>
        <v>0</v>
      </c>
      <c r="E20" s="978">
        <f>transport!D14</f>
        <v>32.020438518813506</v>
      </c>
      <c r="F20" s="978">
        <f>transport!E14</f>
        <v>141.32375955983355</v>
      </c>
      <c r="G20" s="978">
        <f>transport!F14</f>
        <v>0</v>
      </c>
      <c r="H20" s="978">
        <f>transport!G14</f>
        <v>57127.902702159365</v>
      </c>
      <c r="I20" s="978">
        <f>transport!H14</f>
        <v>10854.207010448145</v>
      </c>
      <c r="J20" s="978">
        <f>transport!I14</f>
        <v>0</v>
      </c>
      <c r="K20" s="978">
        <f>transport!J14</f>
        <v>0</v>
      </c>
      <c r="L20" s="978">
        <f>transport!K14</f>
        <v>0</v>
      </c>
      <c r="M20" s="978">
        <f>transport!L14</f>
        <v>0</v>
      </c>
      <c r="N20" s="978">
        <f>transport!M14</f>
        <v>2122.5404871704472</v>
      </c>
      <c r="O20" s="978">
        <f>transport!N14</f>
        <v>0</v>
      </c>
      <c r="P20" s="978">
        <f>transport!O14</f>
        <v>0</v>
      </c>
      <c r="Q20" s="979">
        <f>transport!P14</f>
        <v>0</v>
      </c>
      <c r="R20" s="674">
        <f>SUM(C20:Q20)</f>
        <v>70292.446264976825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14.451867120212516</v>
      </c>
      <c r="D22" s="786">
        <f t="shared" ref="D22:R22" si="1">SUM(D18:D21)</f>
        <v>0</v>
      </c>
      <c r="E22" s="786">
        <f t="shared" si="1"/>
        <v>32.020438518813506</v>
      </c>
      <c r="F22" s="786">
        <f t="shared" si="1"/>
        <v>141.32375955983355</v>
      </c>
      <c r="G22" s="786">
        <f t="shared" si="1"/>
        <v>0</v>
      </c>
      <c r="H22" s="786">
        <f t="shared" si="1"/>
        <v>60766.25617026008</v>
      </c>
      <c r="I22" s="786">
        <f t="shared" si="1"/>
        <v>10854.207010448145</v>
      </c>
      <c r="J22" s="786">
        <f t="shared" si="1"/>
        <v>0</v>
      </c>
      <c r="K22" s="786">
        <f t="shared" si="1"/>
        <v>0</v>
      </c>
      <c r="L22" s="786">
        <f t="shared" si="1"/>
        <v>0</v>
      </c>
      <c r="M22" s="786">
        <f t="shared" si="1"/>
        <v>0</v>
      </c>
      <c r="N22" s="786">
        <f t="shared" si="1"/>
        <v>2235.2516094769599</v>
      </c>
      <c r="O22" s="786">
        <f t="shared" si="1"/>
        <v>0</v>
      </c>
      <c r="P22" s="786">
        <f t="shared" si="1"/>
        <v>0</v>
      </c>
      <c r="Q22" s="786">
        <f t="shared" si="1"/>
        <v>0</v>
      </c>
      <c r="R22" s="786">
        <f t="shared" si="1"/>
        <v>74043.510855384055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802.99099999999999</v>
      </c>
      <c r="D24" s="978">
        <f>+landbouw!C8</f>
        <v>0</v>
      </c>
      <c r="E24" s="978">
        <f>+landbouw!D8</f>
        <v>118.75551599999999</v>
      </c>
      <c r="F24" s="978">
        <f>+landbouw!E8</f>
        <v>20.706054761015206</v>
      </c>
      <c r="G24" s="978">
        <f>+landbouw!F8</f>
        <v>2935.0850272074267</v>
      </c>
      <c r="H24" s="978">
        <f>+landbouw!G8</f>
        <v>0</v>
      </c>
      <c r="I24" s="978">
        <f>+landbouw!H8</f>
        <v>0</v>
      </c>
      <c r="J24" s="978">
        <f>+landbouw!I8</f>
        <v>0</v>
      </c>
      <c r="K24" s="978">
        <f>+landbouw!J8</f>
        <v>115.60116464544943</v>
      </c>
      <c r="L24" s="978">
        <f>+landbouw!K8</f>
        <v>0</v>
      </c>
      <c r="M24" s="978">
        <f>+landbouw!L8</f>
        <v>0</v>
      </c>
      <c r="N24" s="978">
        <f>+landbouw!M8</f>
        <v>0</v>
      </c>
      <c r="O24" s="978">
        <f>+landbouw!N8</f>
        <v>0</v>
      </c>
      <c r="P24" s="978">
        <f>+landbouw!O8</f>
        <v>0</v>
      </c>
      <c r="Q24" s="979">
        <f>+landbouw!P8</f>
        <v>0</v>
      </c>
      <c r="R24" s="674">
        <f>SUM(C24:Q24)</f>
        <v>3993.1387626138912</v>
      </c>
      <c r="S24" s="67"/>
    </row>
    <row r="25" spans="1:19" s="447" customFormat="1" ht="15" thickBot="1">
      <c r="A25" s="805" t="s">
        <v>834</v>
      </c>
      <c r="B25" s="981"/>
      <c r="C25" s="982">
        <f>IF(Onbekend_ele_kWh="---",0,Onbekend_ele_kWh)/1000+IF(REST_rest_ele_kWh="---",0,REST_rest_ele_kWh)/1000</f>
        <v>623.90899999999999</v>
      </c>
      <c r="D25" s="982"/>
      <c r="E25" s="982">
        <f>IF(onbekend_gas_kWh="---",0,onbekend_gas_kWh)/1000+IF(REST_rest_gas_kWh="---",0,REST_rest_gas_kWh)/1000</f>
        <v>934.16099999999994</v>
      </c>
      <c r="F25" s="982"/>
      <c r="G25" s="982"/>
      <c r="H25" s="982"/>
      <c r="I25" s="982"/>
      <c r="J25" s="982"/>
      <c r="K25" s="982"/>
      <c r="L25" s="982"/>
      <c r="M25" s="982"/>
      <c r="N25" s="982"/>
      <c r="O25" s="982"/>
      <c r="P25" s="982"/>
      <c r="Q25" s="983"/>
      <c r="R25" s="674">
        <f>SUM(C25:Q25)</f>
        <v>1558.07</v>
      </c>
      <c r="S25" s="67"/>
    </row>
    <row r="26" spans="1:19" s="447" customFormat="1" ht="15.75" thickBot="1">
      <c r="A26" s="679" t="s">
        <v>835</v>
      </c>
      <c r="B26" s="791"/>
      <c r="C26" s="786">
        <f>SUM(C24:C25)</f>
        <v>1426.9</v>
      </c>
      <c r="D26" s="786">
        <f t="shared" ref="D26:R26" si="2">SUM(D24:D25)</f>
        <v>0</v>
      </c>
      <c r="E26" s="786">
        <f t="shared" si="2"/>
        <v>1052.916516</v>
      </c>
      <c r="F26" s="786">
        <f t="shared" si="2"/>
        <v>20.706054761015206</v>
      </c>
      <c r="G26" s="786">
        <f t="shared" si="2"/>
        <v>2935.0850272074267</v>
      </c>
      <c r="H26" s="786">
        <f t="shared" si="2"/>
        <v>0</v>
      </c>
      <c r="I26" s="786">
        <f t="shared" si="2"/>
        <v>0</v>
      </c>
      <c r="J26" s="786">
        <f t="shared" si="2"/>
        <v>0</v>
      </c>
      <c r="K26" s="786">
        <f t="shared" si="2"/>
        <v>115.60116464544943</v>
      </c>
      <c r="L26" s="786">
        <f t="shared" si="2"/>
        <v>0</v>
      </c>
      <c r="M26" s="786">
        <f t="shared" si="2"/>
        <v>0</v>
      </c>
      <c r="N26" s="786">
        <f t="shared" si="2"/>
        <v>0</v>
      </c>
      <c r="O26" s="786">
        <f t="shared" si="2"/>
        <v>0</v>
      </c>
      <c r="P26" s="786">
        <f t="shared" si="2"/>
        <v>0</v>
      </c>
      <c r="Q26" s="786">
        <f t="shared" si="2"/>
        <v>0</v>
      </c>
      <c r="R26" s="786">
        <f t="shared" si="2"/>
        <v>5551.2087626138909</v>
      </c>
      <c r="S26" s="67"/>
    </row>
    <row r="27" spans="1:19" s="447" customFormat="1" ht="17.25" thickTop="1" thickBot="1">
      <c r="A27" s="680" t="s">
        <v>115</v>
      </c>
      <c r="B27" s="779"/>
      <c r="C27" s="681">
        <f ca="1">C22+C16+C26</f>
        <v>44309.083125098499</v>
      </c>
      <c r="D27" s="681">
        <f t="shared" ref="D27:R27" ca="1" si="3">D22+D16+D26</f>
        <v>0</v>
      </c>
      <c r="E27" s="681">
        <f t="shared" ca="1" si="3"/>
        <v>39750.409910518814</v>
      </c>
      <c r="F27" s="681">
        <f t="shared" si="3"/>
        <v>15226.14771171155</v>
      </c>
      <c r="G27" s="681">
        <f t="shared" ca="1" si="3"/>
        <v>53176.271271402686</v>
      </c>
      <c r="H27" s="681">
        <f t="shared" si="3"/>
        <v>60766.25617026008</v>
      </c>
      <c r="I27" s="681">
        <f t="shared" si="3"/>
        <v>10854.207010448145</v>
      </c>
      <c r="J27" s="681">
        <f t="shared" si="3"/>
        <v>0</v>
      </c>
      <c r="K27" s="681">
        <f t="shared" si="3"/>
        <v>123.22572501804986</v>
      </c>
      <c r="L27" s="681">
        <f t="shared" si="3"/>
        <v>0</v>
      </c>
      <c r="M27" s="681">
        <f t="shared" ca="1" si="3"/>
        <v>0</v>
      </c>
      <c r="N27" s="681">
        <f t="shared" si="3"/>
        <v>2235.2516094769599</v>
      </c>
      <c r="O27" s="681">
        <f t="shared" ca="1" si="3"/>
        <v>7739.1809458876314</v>
      </c>
      <c r="P27" s="681">
        <f t="shared" si="3"/>
        <v>303.28666666666669</v>
      </c>
      <c r="Q27" s="681">
        <f t="shared" si="3"/>
        <v>1086.8000000000002</v>
      </c>
      <c r="R27" s="681">
        <f t="shared" ca="1" si="3"/>
        <v>235570.12014648909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2875.9211664776335</v>
      </c>
      <c r="D40" s="978">
        <f ca="1">tertiair!C20</f>
        <v>0</v>
      </c>
      <c r="E40" s="978">
        <f ca="1">tertiair!D20</f>
        <v>1430.8119356080003</v>
      </c>
      <c r="F40" s="978">
        <f>tertiair!E20</f>
        <v>47.828397191780255</v>
      </c>
      <c r="G40" s="978">
        <f ca="1">tertiair!F20</f>
        <v>818.60411654732002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5173.1656158247333</v>
      </c>
    </row>
    <row r="41" spans="1:18">
      <c r="A41" s="796" t="s">
        <v>224</v>
      </c>
      <c r="B41" s="803"/>
      <c r="C41" s="978">
        <f ca="1">huishoudens!B12</f>
        <v>5042.8427350064876</v>
      </c>
      <c r="D41" s="978">
        <f ca="1">huishoudens!C12</f>
        <v>0</v>
      </c>
      <c r="E41" s="978">
        <f>huishoudens!D12</f>
        <v>6258.9018116680008</v>
      </c>
      <c r="F41" s="978">
        <f>huishoudens!E12</f>
        <v>3334.8610516532503</v>
      </c>
      <c r="G41" s="978">
        <f>huishoudens!F12</f>
        <v>12424.171167178616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27060.776765506354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276.64713662148495</v>
      </c>
      <c r="D43" s="978">
        <f ca="1">industrie!C22</f>
        <v>0</v>
      </c>
      <c r="E43" s="978">
        <f>industrie!D22</f>
        <v>120.71178983600001</v>
      </c>
      <c r="F43" s="978">
        <f>industrie!E22</f>
        <v>36.865313862658972</v>
      </c>
      <c r="G43" s="978">
        <f>industrie!F22</f>
        <v>171.62144347419863</v>
      </c>
      <c r="H43" s="978">
        <f>industrie!G22</f>
        <v>0</v>
      </c>
      <c r="I43" s="978">
        <f>industrie!H22</f>
        <v>0</v>
      </c>
      <c r="J43" s="978">
        <f>industrie!I22</f>
        <v>0</v>
      </c>
      <c r="K43" s="978">
        <f>industrie!J22</f>
        <v>2.6990943719005536</v>
      </c>
      <c r="L43" s="978">
        <f>industrie!K22</f>
        <v>0</v>
      </c>
      <c r="M43" s="978">
        <f>industrie!L22</f>
        <v>0</v>
      </c>
      <c r="N43" s="978">
        <f>industrie!M22</f>
        <v>0</v>
      </c>
      <c r="O43" s="978">
        <f>industrie!N22</f>
        <v>0</v>
      </c>
      <c r="P43" s="978">
        <f>industrie!O22</f>
        <v>0</v>
      </c>
      <c r="Q43" s="748">
        <f>industrie!P22</f>
        <v>0</v>
      </c>
      <c r="R43" s="823">
        <f t="shared" ca="1" si="4"/>
        <v>608.54477816624308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8195.4110381056053</v>
      </c>
      <c r="D46" s="706">
        <f t="shared" ref="D46:Q46" ca="1" si="5">SUM(D39:D45)</f>
        <v>0</v>
      </c>
      <c r="E46" s="706">
        <f t="shared" ca="1" si="5"/>
        <v>7810.4255371120016</v>
      </c>
      <c r="F46" s="706">
        <f t="shared" si="5"/>
        <v>3419.5547627076899</v>
      </c>
      <c r="G46" s="706">
        <f t="shared" ca="1" si="5"/>
        <v>13414.396727200134</v>
      </c>
      <c r="H46" s="706">
        <f t="shared" si="5"/>
        <v>0</v>
      </c>
      <c r="I46" s="706">
        <f t="shared" si="5"/>
        <v>0</v>
      </c>
      <c r="J46" s="706">
        <f t="shared" si="5"/>
        <v>0</v>
      </c>
      <c r="K46" s="706">
        <f t="shared" si="5"/>
        <v>2.6990943719005536</v>
      </c>
      <c r="L46" s="706">
        <f t="shared" si="5"/>
        <v>0</v>
      </c>
      <c r="M46" s="706">
        <f t="shared" ca="1" si="5"/>
        <v>0</v>
      </c>
      <c r="N46" s="706">
        <f t="shared" si="5"/>
        <v>0</v>
      </c>
      <c r="O46" s="706">
        <f t="shared" ca="1" si="5"/>
        <v>0</v>
      </c>
      <c r="P46" s="706">
        <f t="shared" si="5"/>
        <v>0</v>
      </c>
      <c r="Q46" s="706">
        <f t="shared" si="5"/>
        <v>0</v>
      </c>
      <c r="R46" s="706">
        <f ca="1">SUM(R39:R45)</f>
        <v>32842.48715949733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971.44037598289015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971.44037598289015</v>
      </c>
    </row>
    <row r="50" spans="1:18">
      <c r="A50" s="799" t="s">
        <v>306</v>
      </c>
      <c r="B50" s="809"/>
      <c r="C50" s="677">
        <f ca="1">transport!B18</f>
        <v>2.7628938561142529</v>
      </c>
      <c r="D50" s="677">
        <f>transport!C18</f>
        <v>0</v>
      </c>
      <c r="E50" s="677">
        <f>transport!D18</f>
        <v>6.4681285808003288</v>
      </c>
      <c r="F50" s="677">
        <f>transport!E18</f>
        <v>32.080493420082213</v>
      </c>
      <c r="G50" s="677">
        <f>transport!F18</f>
        <v>0</v>
      </c>
      <c r="H50" s="677">
        <f>transport!G18</f>
        <v>15253.150021476551</v>
      </c>
      <c r="I50" s="677">
        <f>transport!H18</f>
        <v>2702.697545601588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17997.159082935133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2.7628938561142529</v>
      </c>
      <c r="D52" s="706">
        <f t="shared" ref="D52:Q52" ca="1" si="6">SUM(D48:D51)</f>
        <v>0</v>
      </c>
      <c r="E52" s="706">
        <f t="shared" si="6"/>
        <v>6.4681285808003288</v>
      </c>
      <c r="F52" s="706">
        <f t="shared" si="6"/>
        <v>32.080493420082213</v>
      </c>
      <c r="G52" s="706">
        <f t="shared" si="6"/>
        <v>0</v>
      </c>
      <c r="H52" s="706">
        <f t="shared" si="6"/>
        <v>16224.59039745944</v>
      </c>
      <c r="I52" s="706">
        <f t="shared" si="6"/>
        <v>2702.697545601588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18968.599458918023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153.51503594384113</v>
      </c>
      <c r="D54" s="677">
        <f ca="1">+landbouw!C12</f>
        <v>0</v>
      </c>
      <c r="E54" s="677">
        <f>+landbouw!D12</f>
        <v>23.988614232</v>
      </c>
      <c r="F54" s="677">
        <f>+landbouw!E12</f>
        <v>4.7002744307504516</v>
      </c>
      <c r="G54" s="677">
        <f>+landbouw!F12</f>
        <v>783.66770226438302</v>
      </c>
      <c r="H54" s="677">
        <f>+landbouw!G12</f>
        <v>0</v>
      </c>
      <c r="I54" s="677">
        <f>+landbouw!H12</f>
        <v>0</v>
      </c>
      <c r="J54" s="677">
        <f>+landbouw!I12</f>
        <v>0</v>
      </c>
      <c r="K54" s="677">
        <f>+landbouw!J12</f>
        <v>40.922812284489098</v>
      </c>
      <c r="L54" s="677">
        <f>+landbouw!K12</f>
        <v>0</v>
      </c>
      <c r="M54" s="677">
        <f>+landbouw!L12</f>
        <v>0</v>
      </c>
      <c r="N54" s="677">
        <f>+landbouw!M12</f>
        <v>0</v>
      </c>
      <c r="O54" s="677">
        <f>+landbouw!N12</f>
        <v>0</v>
      </c>
      <c r="P54" s="677">
        <f>+landbouw!O12</f>
        <v>0</v>
      </c>
      <c r="Q54" s="678">
        <f>+landbouw!P12</f>
        <v>0</v>
      </c>
      <c r="R54" s="705">
        <f ca="1">SUM(C54:Q54)</f>
        <v>1006.7944391554637</v>
      </c>
    </row>
    <row r="55" spans="1:18" ht="15" thickBot="1">
      <c r="A55" s="799" t="s">
        <v>834</v>
      </c>
      <c r="B55" s="809"/>
      <c r="C55" s="677">
        <f ca="1">C25*'EF ele_warmte'!B12</f>
        <v>119.27831390474608</v>
      </c>
      <c r="D55" s="677"/>
      <c r="E55" s="677">
        <f>E25*EF_CO2_aardgas</f>
        <v>188.70052200000001</v>
      </c>
      <c r="F55" s="677"/>
      <c r="G55" s="677"/>
      <c r="H55" s="677"/>
      <c r="I55" s="677"/>
      <c r="J55" s="677"/>
      <c r="K55" s="677"/>
      <c r="L55" s="677"/>
      <c r="M55" s="677"/>
      <c r="N55" s="677"/>
      <c r="O55" s="677"/>
      <c r="P55" s="677"/>
      <c r="Q55" s="678"/>
      <c r="R55" s="705">
        <f ca="1">SUM(C55:Q55)</f>
        <v>307.97883590474612</v>
      </c>
    </row>
    <row r="56" spans="1:18" ht="15.75" thickBot="1">
      <c r="A56" s="797" t="s">
        <v>835</v>
      </c>
      <c r="B56" s="810"/>
      <c r="C56" s="706">
        <f ca="1">SUM(C54:C55)</f>
        <v>272.79334984858724</v>
      </c>
      <c r="D56" s="706">
        <f t="shared" ref="D56:Q56" ca="1" si="7">SUM(D54:D55)</f>
        <v>0</v>
      </c>
      <c r="E56" s="706">
        <f t="shared" si="7"/>
        <v>212.68913623200001</v>
      </c>
      <c r="F56" s="706">
        <f t="shared" si="7"/>
        <v>4.7002744307504516</v>
      </c>
      <c r="G56" s="706">
        <f t="shared" si="7"/>
        <v>783.66770226438302</v>
      </c>
      <c r="H56" s="706">
        <f t="shared" si="7"/>
        <v>0</v>
      </c>
      <c r="I56" s="706">
        <f t="shared" si="7"/>
        <v>0</v>
      </c>
      <c r="J56" s="706">
        <f t="shared" si="7"/>
        <v>0</v>
      </c>
      <c r="K56" s="706">
        <f t="shared" si="7"/>
        <v>40.922812284489098</v>
      </c>
      <c r="L56" s="706">
        <f t="shared" si="7"/>
        <v>0</v>
      </c>
      <c r="M56" s="706">
        <f t="shared" si="7"/>
        <v>0</v>
      </c>
      <c r="N56" s="706">
        <f t="shared" si="7"/>
        <v>0</v>
      </c>
      <c r="O56" s="706">
        <f t="shared" si="7"/>
        <v>0</v>
      </c>
      <c r="P56" s="706">
        <f t="shared" si="7"/>
        <v>0</v>
      </c>
      <c r="Q56" s="707">
        <f t="shared" si="7"/>
        <v>0</v>
      </c>
      <c r="R56" s="708">
        <f ca="1">SUM(R54:R55)</f>
        <v>1314.7732750602099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8470.9672818103063</v>
      </c>
      <c r="D61" s="714">
        <f t="shared" ref="D61:Q61" ca="1" si="8">D46+D52+D56</f>
        <v>0</v>
      </c>
      <c r="E61" s="714">
        <f t="shared" ca="1" si="8"/>
        <v>8029.582801924802</v>
      </c>
      <c r="F61" s="714">
        <f t="shared" si="8"/>
        <v>3456.3355305585228</v>
      </c>
      <c r="G61" s="714">
        <f t="shared" ca="1" si="8"/>
        <v>14198.064429464517</v>
      </c>
      <c r="H61" s="714">
        <f t="shared" si="8"/>
        <v>16224.59039745944</v>
      </c>
      <c r="I61" s="714">
        <f t="shared" si="8"/>
        <v>2702.697545601588</v>
      </c>
      <c r="J61" s="714">
        <f t="shared" si="8"/>
        <v>0</v>
      </c>
      <c r="K61" s="714">
        <f t="shared" si="8"/>
        <v>43.621906656389655</v>
      </c>
      <c r="L61" s="714">
        <f t="shared" si="8"/>
        <v>0</v>
      </c>
      <c r="M61" s="714">
        <f t="shared" ca="1" si="8"/>
        <v>0</v>
      </c>
      <c r="N61" s="714">
        <f t="shared" si="8"/>
        <v>0</v>
      </c>
      <c r="O61" s="714">
        <f t="shared" ca="1" si="8"/>
        <v>0</v>
      </c>
      <c r="P61" s="714">
        <f t="shared" si="8"/>
        <v>0</v>
      </c>
      <c r="Q61" s="714">
        <f t="shared" si="8"/>
        <v>0</v>
      </c>
      <c r="R61" s="714">
        <f ca="1">R46+R52+R56</f>
        <v>53125.859893475565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0.19117902435250347</v>
      </c>
      <c r="D63" s="755">
        <f t="shared" ca="1" si="9"/>
        <v>0</v>
      </c>
      <c r="E63" s="989">
        <f t="shared" ca="1" si="9"/>
        <v>0.20200000000000004</v>
      </c>
      <c r="F63" s="755">
        <f t="shared" si="9"/>
        <v>0.22700000000000006</v>
      </c>
      <c r="G63" s="755">
        <f t="shared" ca="1" si="9"/>
        <v>0.26700000000000002</v>
      </c>
      <c r="H63" s="755">
        <f t="shared" si="9"/>
        <v>0.26699999999999996</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5164.4144291242646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814.5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2327.1428571428573</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5978.9144291242646</v>
      </c>
      <c r="C78" s="729">
        <f>SUM(C72:C77)</f>
        <v>0</v>
      </c>
      <c r="D78" s="730">
        <f t="shared" ref="D78:H78" si="10">SUM(D76:D77)</f>
        <v>0</v>
      </c>
      <c r="E78" s="730">
        <f t="shared" si="10"/>
        <v>0</v>
      </c>
      <c r="F78" s="730">
        <f t="shared" si="10"/>
        <v>0</v>
      </c>
      <c r="G78" s="730">
        <f t="shared" si="10"/>
        <v>0</v>
      </c>
      <c r="H78" s="730">
        <f t="shared" si="10"/>
        <v>0</v>
      </c>
      <c r="I78" s="730">
        <f>SUM(I76:I77)</f>
        <v>0</v>
      </c>
      <c r="J78" s="730">
        <f>SUM(J76:J77)</f>
        <v>2327.1428571428573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26377.594257978293</v>
      </c>
      <c r="C4" s="451">
        <f>huishoudens!C8</f>
        <v>0</v>
      </c>
      <c r="D4" s="451">
        <f>huishoudens!D8</f>
        <v>30984.662434000002</v>
      </c>
      <c r="E4" s="451">
        <f>huishoudens!E8</f>
        <v>14691.017848692733</v>
      </c>
      <c r="F4" s="451">
        <f>huishoudens!F8</f>
        <v>46532.476281567848</v>
      </c>
      <c r="G4" s="451">
        <f>huishoudens!G8</f>
        <v>0</v>
      </c>
      <c r="H4" s="451">
        <f>huishoudens!H8</f>
        <v>0</v>
      </c>
      <c r="I4" s="451">
        <f>huishoudens!I8</f>
        <v>0</v>
      </c>
      <c r="J4" s="451">
        <f>huishoudens!J8</f>
        <v>0</v>
      </c>
      <c r="K4" s="451">
        <f>huishoudens!K8</f>
        <v>0</v>
      </c>
      <c r="L4" s="451">
        <f>huishoudens!L8</f>
        <v>0</v>
      </c>
      <c r="M4" s="451">
        <f>huishoudens!M8</f>
        <v>0</v>
      </c>
      <c r="N4" s="451">
        <f>huishoudens!N8</f>
        <v>7547.2443176566458</v>
      </c>
      <c r="O4" s="451">
        <f>huishoudens!O8</f>
        <v>298.59666666666669</v>
      </c>
      <c r="P4" s="452">
        <f>huishoudens!P8</f>
        <v>1048.6666666666667</v>
      </c>
      <c r="Q4" s="453">
        <f>SUM(B4:P4)</f>
        <v>127480.25847322887</v>
      </c>
    </row>
    <row r="5" spans="1:17">
      <c r="A5" s="450" t="s">
        <v>155</v>
      </c>
      <c r="B5" s="451">
        <f ca="1">tertiair!B16</f>
        <v>14160.82</v>
      </c>
      <c r="C5" s="451">
        <f ca="1">tertiair!C16</f>
        <v>0</v>
      </c>
      <c r="D5" s="451">
        <f ca="1">tertiair!D16</f>
        <v>7083.2274040000011</v>
      </c>
      <c r="E5" s="451">
        <f>tertiair!E16</f>
        <v>210.6977849858161</v>
      </c>
      <c r="F5" s="451">
        <f ca="1">tertiair!F16</f>
        <v>3065.9330207764792</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4.6900000000000004</v>
      </c>
      <c r="P5" s="452">
        <f>tertiair!P16</f>
        <v>38.133333333333333</v>
      </c>
      <c r="Q5" s="450">
        <f t="shared" ref="Q5:Q14" ca="1" si="0">SUM(B5:P5)</f>
        <v>24563.50154309563</v>
      </c>
    </row>
    <row r="6" spans="1:17">
      <c r="A6" s="450" t="s">
        <v>193</v>
      </c>
      <c r="B6" s="451">
        <f>'openbare verlichting'!B8</f>
        <v>882.25900000000001</v>
      </c>
      <c r="C6" s="451"/>
      <c r="D6" s="451"/>
      <c r="E6" s="451"/>
      <c r="F6" s="451"/>
      <c r="G6" s="451"/>
      <c r="H6" s="451"/>
      <c r="I6" s="451"/>
      <c r="J6" s="451"/>
      <c r="K6" s="451"/>
      <c r="L6" s="451"/>
      <c r="M6" s="451"/>
      <c r="N6" s="451"/>
      <c r="O6" s="451"/>
      <c r="P6" s="452"/>
      <c r="Q6" s="450">
        <f t="shared" si="0"/>
        <v>882.25900000000001</v>
      </c>
    </row>
    <row r="7" spans="1:17">
      <c r="A7" s="450" t="s">
        <v>111</v>
      </c>
      <c r="B7" s="451">
        <f>landbouw!B8</f>
        <v>802.99099999999999</v>
      </c>
      <c r="C7" s="451">
        <f>landbouw!C8</f>
        <v>0</v>
      </c>
      <c r="D7" s="451">
        <f>landbouw!D8</f>
        <v>118.75551599999999</v>
      </c>
      <c r="E7" s="451">
        <f>landbouw!E8</f>
        <v>20.706054761015206</v>
      </c>
      <c r="F7" s="451">
        <f>landbouw!F8</f>
        <v>2935.0850272074267</v>
      </c>
      <c r="G7" s="451">
        <f>landbouw!G8</f>
        <v>0</v>
      </c>
      <c r="H7" s="451">
        <f>landbouw!H8</f>
        <v>0</v>
      </c>
      <c r="I7" s="451">
        <f>landbouw!I8</f>
        <v>0</v>
      </c>
      <c r="J7" s="451">
        <f>landbouw!J8</f>
        <v>115.60116464544943</v>
      </c>
      <c r="K7" s="451">
        <f>landbouw!K8</f>
        <v>0</v>
      </c>
      <c r="L7" s="451">
        <f>landbouw!L8</f>
        <v>0</v>
      </c>
      <c r="M7" s="451">
        <f>landbouw!M8</f>
        <v>0</v>
      </c>
      <c r="N7" s="451">
        <f>landbouw!N8</f>
        <v>0</v>
      </c>
      <c r="O7" s="451">
        <f>landbouw!O8</f>
        <v>0</v>
      </c>
      <c r="P7" s="452">
        <f>landbouw!P8</f>
        <v>0</v>
      </c>
      <c r="Q7" s="450">
        <f t="shared" si="0"/>
        <v>3993.1387626138912</v>
      </c>
    </row>
    <row r="8" spans="1:17">
      <c r="A8" s="450" t="s">
        <v>637</v>
      </c>
      <c r="B8" s="451">
        <f>industrie!B18</f>
        <v>1447.058</v>
      </c>
      <c r="C8" s="451">
        <f>industrie!C18</f>
        <v>0</v>
      </c>
      <c r="D8" s="451">
        <f>industrie!D18</f>
        <v>597.58311800000001</v>
      </c>
      <c r="E8" s="451">
        <f>industrie!E18</f>
        <v>162.40226371215405</v>
      </c>
      <c r="F8" s="451">
        <f>industrie!F18</f>
        <v>642.77694185093117</v>
      </c>
      <c r="G8" s="451">
        <f>industrie!G18</f>
        <v>0</v>
      </c>
      <c r="H8" s="451">
        <f>industrie!H18</f>
        <v>0</v>
      </c>
      <c r="I8" s="451">
        <f>industrie!I18</f>
        <v>0</v>
      </c>
      <c r="J8" s="451">
        <f>industrie!J18</f>
        <v>7.6245603726004338</v>
      </c>
      <c r="K8" s="451">
        <f>industrie!K18</f>
        <v>0</v>
      </c>
      <c r="L8" s="451">
        <f>industrie!L18</f>
        <v>0</v>
      </c>
      <c r="M8" s="451">
        <f>industrie!M18</f>
        <v>0</v>
      </c>
      <c r="N8" s="451">
        <f>industrie!N18</f>
        <v>191.93662823098572</v>
      </c>
      <c r="O8" s="451">
        <f>industrie!O18</f>
        <v>0</v>
      </c>
      <c r="P8" s="452">
        <f>industrie!P18</f>
        <v>0</v>
      </c>
      <c r="Q8" s="450">
        <f t="shared" si="0"/>
        <v>3049.3815121666712</v>
      </c>
    </row>
    <row r="9" spans="1:17" s="456" customFormat="1">
      <c r="A9" s="454" t="s">
        <v>563</v>
      </c>
      <c r="B9" s="455">
        <f>transport!B14</f>
        <v>14.451867120212516</v>
      </c>
      <c r="C9" s="455">
        <f>transport!C14</f>
        <v>0</v>
      </c>
      <c r="D9" s="455">
        <f>transport!D14</f>
        <v>32.020438518813506</v>
      </c>
      <c r="E9" s="455">
        <f>transport!E14</f>
        <v>141.32375955983355</v>
      </c>
      <c r="F9" s="455">
        <f>transport!F14</f>
        <v>0</v>
      </c>
      <c r="G9" s="455">
        <f>transport!G14</f>
        <v>57127.902702159365</v>
      </c>
      <c r="H9" s="455">
        <f>transport!H14</f>
        <v>10854.207010448145</v>
      </c>
      <c r="I9" s="455">
        <f>transport!I14</f>
        <v>0</v>
      </c>
      <c r="J9" s="455">
        <f>transport!J14</f>
        <v>0</v>
      </c>
      <c r="K9" s="455">
        <f>transport!K14</f>
        <v>0</v>
      </c>
      <c r="L9" s="455">
        <f>transport!L14</f>
        <v>0</v>
      </c>
      <c r="M9" s="455">
        <f>transport!M14</f>
        <v>2122.5404871704472</v>
      </c>
      <c r="N9" s="455">
        <f>transport!N14</f>
        <v>0</v>
      </c>
      <c r="O9" s="455">
        <f>transport!O14</f>
        <v>0</v>
      </c>
      <c r="P9" s="455">
        <f>transport!P14</f>
        <v>0</v>
      </c>
      <c r="Q9" s="454">
        <f>SUM(B9:P9)</f>
        <v>70292.446264976825</v>
      </c>
    </row>
    <row r="10" spans="1:17">
      <c r="A10" s="450" t="s">
        <v>553</v>
      </c>
      <c r="B10" s="451">
        <f>transport!B54</f>
        <v>0</v>
      </c>
      <c r="C10" s="451">
        <f>transport!C54</f>
        <v>0</v>
      </c>
      <c r="D10" s="451">
        <f>transport!D54</f>
        <v>0</v>
      </c>
      <c r="E10" s="451">
        <f>transport!E54</f>
        <v>0</v>
      </c>
      <c r="F10" s="451">
        <f>transport!F54</f>
        <v>0</v>
      </c>
      <c r="G10" s="451">
        <f>transport!G54</f>
        <v>3638.3534681007118</v>
      </c>
      <c r="H10" s="451">
        <f>transport!H54</f>
        <v>0</v>
      </c>
      <c r="I10" s="451">
        <f>transport!I54</f>
        <v>0</v>
      </c>
      <c r="J10" s="451">
        <f>transport!J54</f>
        <v>0</v>
      </c>
      <c r="K10" s="451">
        <f>transport!K54</f>
        <v>0</v>
      </c>
      <c r="L10" s="451">
        <f>transport!L54</f>
        <v>0</v>
      </c>
      <c r="M10" s="451">
        <f>transport!M54</f>
        <v>112.71112230651258</v>
      </c>
      <c r="N10" s="451">
        <f>transport!N54</f>
        <v>0</v>
      </c>
      <c r="O10" s="451">
        <f>transport!O54</f>
        <v>0</v>
      </c>
      <c r="P10" s="452">
        <f>transport!P54</f>
        <v>0</v>
      </c>
      <c r="Q10" s="450">
        <f t="shared" si="0"/>
        <v>3751.0645904072244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623.90899999999999</v>
      </c>
      <c r="C14" s="458"/>
      <c r="D14" s="458">
        <f>'SEAP template'!E25</f>
        <v>934.16099999999994</v>
      </c>
      <c r="E14" s="458"/>
      <c r="F14" s="458"/>
      <c r="G14" s="458"/>
      <c r="H14" s="458"/>
      <c r="I14" s="458"/>
      <c r="J14" s="458"/>
      <c r="K14" s="458"/>
      <c r="L14" s="458"/>
      <c r="M14" s="458"/>
      <c r="N14" s="458"/>
      <c r="O14" s="458"/>
      <c r="P14" s="459"/>
      <c r="Q14" s="450">
        <f t="shared" si="0"/>
        <v>1558.07</v>
      </c>
    </row>
    <row r="15" spans="1:17" s="460" customFormat="1">
      <c r="A15" s="1004" t="s">
        <v>557</v>
      </c>
      <c r="B15" s="944">
        <f ca="1">SUM(B4:B14)</f>
        <v>44309.083125098499</v>
      </c>
      <c r="C15" s="944">
        <f t="shared" ref="C15:Q15" ca="1" si="1">SUM(C4:C14)</f>
        <v>0</v>
      </c>
      <c r="D15" s="944">
        <f t="shared" ca="1" si="1"/>
        <v>39750.409910518814</v>
      </c>
      <c r="E15" s="944">
        <f t="shared" si="1"/>
        <v>15226.14771171155</v>
      </c>
      <c r="F15" s="944">
        <f t="shared" ca="1" si="1"/>
        <v>53176.271271402686</v>
      </c>
      <c r="G15" s="944">
        <f t="shared" si="1"/>
        <v>60766.25617026008</v>
      </c>
      <c r="H15" s="944">
        <f t="shared" si="1"/>
        <v>10854.207010448145</v>
      </c>
      <c r="I15" s="944">
        <f t="shared" si="1"/>
        <v>0</v>
      </c>
      <c r="J15" s="944">
        <f t="shared" si="1"/>
        <v>123.22572501804986</v>
      </c>
      <c r="K15" s="944">
        <f t="shared" si="1"/>
        <v>0</v>
      </c>
      <c r="L15" s="944">
        <f t="shared" ca="1" si="1"/>
        <v>0</v>
      </c>
      <c r="M15" s="944">
        <f t="shared" si="1"/>
        <v>2235.2516094769599</v>
      </c>
      <c r="N15" s="944">
        <f t="shared" ca="1" si="1"/>
        <v>7739.1809458876314</v>
      </c>
      <c r="O15" s="944">
        <f t="shared" si="1"/>
        <v>303.28666666666669</v>
      </c>
      <c r="P15" s="944">
        <f t="shared" si="1"/>
        <v>1086.8000000000002</v>
      </c>
      <c r="Q15" s="944">
        <f t="shared" ca="1" si="1"/>
        <v>235570.12014648909</v>
      </c>
    </row>
    <row r="17" spans="1:17">
      <c r="A17" s="461" t="s">
        <v>558</v>
      </c>
      <c r="B17" s="760">
        <f ca="1">huishoudens!B10</f>
        <v>0.19117902435250347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5042.8427350064876</v>
      </c>
      <c r="C22" s="451">
        <f t="shared" ref="C22:C32" ca="1" si="3">C4*$C$17</f>
        <v>0</v>
      </c>
      <c r="D22" s="451">
        <f t="shared" ref="D22:D32" si="4">D4*$D$17</f>
        <v>6258.9018116680008</v>
      </c>
      <c r="E22" s="451">
        <f t="shared" ref="E22:E32" si="5">E4*$E$17</f>
        <v>3334.8610516532503</v>
      </c>
      <c r="F22" s="451">
        <f t="shared" ref="F22:F32" si="6">F4*$F$17</f>
        <v>12424.171167178616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27060.776765506354</v>
      </c>
    </row>
    <row r="23" spans="1:17">
      <c r="A23" s="450" t="s">
        <v>155</v>
      </c>
      <c r="B23" s="451">
        <f t="shared" ca="1" si="2"/>
        <v>2707.2517516314183</v>
      </c>
      <c r="C23" s="451">
        <f t="shared" ca="1" si="3"/>
        <v>0</v>
      </c>
      <c r="D23" s="451">
        <f t="shared" ca="1" si="4"/>
        <v>1430.8119356080003</v>
      </c>
      <c r="E23" s="451">
        <f t="shared" si="5"/>
        <v>47.828397191780255</v>
      </c>
      <c r="F23" s="451">
        <f t="shared" ca="1" si="6"/>
        <v>818.60411654732002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5004.4962009785186</v>
      </c>
    </row>
    <row r="24" spans="1:17">
      <c r="A24" s="450" t="s">
        <v>193</v>
      </c>
      <c r="B24" s="451">
        <f t="shared" ca="1" si="2"/>
        <v>168.66941484621537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168.66941484621537</v>
      </c>
    </row>
    <row r="25" spans="1:17">
      <c r="A25" s="450" t="s">
        <v>111</v>
      </c>
      <c r="B25" s="451">
        <f t="shared" ca="1" si="2"/>
        <v>153.51503594384113</v>
      </c>
      <c r="C25" s="451">
        <f t="shared" ca="1" si="3"/>
        <v>0</v>
      </c>
      <c r="D25" s="451">
        <f t="shared" si="4"/>
        <v>23.988614232</v>
      </c>
      <c r="E25" s="451">
        <f t="shared" si="5"/>
        <v>4.7002744307504516</v>
      </c>
      <c r="F25" s="451">
        <f t="shared" si="6"/>
        <v>783.66770226438302</v>
      </c>
      <c r="G25" s="451">
        <f t="shared" si="7"/>
        <v>0</v>
      </c>
      <c r="H25" s="451">
        <f t="shared" si="8"/>
        <v>0</v>
      </c>
      <c r="I25" s="451">
        <f t="shared" si="9"/>
        <v>0</v>
      </c>
      <c r="J25" s="451">
        <f t="shared" si="10"/>
        <v>40.922812284489098</v>
      </c>
      <c r="K25" s="451">
        <f t="shared" si="11"/>
        <v>0</v>
      </c>
      <c r="L25" s="451">
        <f t="shared" si="12"/>
        <v>0</v>
      </c>
      <c r="M25" s="451">
        <f t="shared" si="13"/>
        <v>0</v>
      </c>
      <c r="N25" s="451">
        <f t="shared" si="14"/>
        <v>0</v>
      </c>
      <c r="O25" s="451">
        <f t="shared" si="15"/>
        <v>0</v>
      </c>
      <c r="P25" s="452">
        <f t="shared" si="16"/>
        <v>0</v>
      </c>
      <c r="Q25" s="450">
        <f t="shared" ca="1" si="17"/>
        <v>1006.7944391554637</v>
      </c>
    </row>
    <row r="26" spans="1:17">
      <c r="A26" s="450" t="s">
        <v>637</v>
      </c>
      <c r="B26" s="451">
        <f t="shared" ca="1" si="2"/>
        <v>276.64713662148495</v>
      </c>
      <c r="C26" s="451">
        <f t="shared" ca="1" si="3"/>
        <v>0</v>
      </c>
      <c r="D26" s="451">
        <f t="shared" si="4"/>
        <v>120.71178983600001</v>
      </c>
      <c r="E26" s="451">
        <f t="shared" si="5"/>
        <v>36.865313862658972</v>
      </c>
      <c r="F26" s="451">
        <f t="shared" si="6"/>
        <v>171.62144347419863</v>
      </c>
      <c r="G26" s="451">
        <f t="shared" si="7"/>
        <v>0</v>
      </c>
      <c r="H26" s="451">
        <f t="shared" si="8"/>
        <v>0</v>
      </c>
      <c r="I26" s="451">
        <f t="shared" si="9"/>
        <v>0</v>
      </c>
      <c r="J26" s="451">
        <f t="shared" si="10"/>
        <v>2.6990943719005536</v>
      </c>
      <c r="K26" s="451">
        <f t="shared" si="11"/>
        <v>0</v>
      </c>
      <c r="L26" s="451">
        <f t="shared" si="12"/>
        <v>0</v>
      </c>
      <c r="M26" s="451">
        <f t="shared" si="13"/>
        <v>0</v>
      </c>
      <c r="N26" s="451">
        <f t="shared" si="14"/>
        <v>0</v>
      </c>
      <c r="O26" s="451">
        <f t="shared" si="15"/>
        <v>0</v>
      </c>
      <c r="P26" s="452">
        <f t="shared" si="16"/>
        <v>0</v>
      </c>
      <c r="Q26" s="450">
        <f t="shared" ca="1" si="17"/>
        <v>608.54477816624308</v>
      </c>
    </row>
    <row r="27" spans="1:17" s="456" customFormat="1">
      <c r="A27" s="454" t="s">
        <v>563</v>
      </c>
      <c r="B27" s="754">
        <f t="shared" ca="1" si="2"/>
        <v>2.7628938561142529</v>
      </c>
      <c r="C27" s="455">
        <f t="shared" ca="1" si="3"/>
        <v>0</v>
      </c>
      <c r="D27" s="455">
        <f t="shared" si="4"/>
        <v>6.4681285808003288</v>
      </c>
      <c r="E27" s="455">
        <f t="shared" si="5"/>
        <v>32.080493420082213</v>
      </c>
      <c r="F27" s="455">
        <f t="shared" si="6"/>
        <v>0</v>
      </c>
      <c r="G27" s="455">
        <f t="shared" si="7"/>
        <v>15253.150021476551</v>
      </c>
      <c r="H27" s="455">
        <f t="shared" si="8"/>
        <v>2702.697545601588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17997.159082935133</v>
      </c>
    </row>
    <row r="28" spans="1:17">
      <c r="A28" s="450" t="s">
        <v>553</v>
      </c>
      <c r="B28" s="451">
        <f t="shared" ca="1" si="2"/>
        <v>0</v>
      </c>
      <c r="C28" s="451">
        <f t="shared" ca="1" si="3"/>
        <v>0</v>
      </c>
      <c r="D28" s="451">
        <f t="shared" si="4"/>
        <v>0</v>
      </c>
      <c r="E28" s="451">
        <f t="shared" si="5"/>
        <v>0</v>
      </c>
      <c r="F28" s="451">
        <f t="shared" si="6"/>
        <v>0</v>
      </c>
      <c r="G28" s="451">
        <f t="shared" si="7"/>
        <v>971.44037598289015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971.44037598289015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119.27831390474608</v>
      </c>
      <c r="C32" s="451">
        <f t="shared" ca="1" si="3"/>
        <v>0</v>
      </c>
      <c r="D32" s="451">
        <f t="shared" si="4"/>
        <v>188.70052200000001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307.97883590474612</v>
      </c>
    </row>
    <row r="33" spans="1:17" s="460" customFormat="1">
      <c r="A33" s="1004" t="s">
        <v>557</v>
      </c>
      <c r="B33" s="944">
        <f ca="1">SUM(B22:B32)</f>
        <v>8470.9672818103081</v>
      </c>
      <c r="C33" s="944">
        <f t="shared" ref="C33:Q33" ca="1" si="18">SUM(C22:C32)</f>
        <v>0</v>
      </c>
      <c r="D33" s="944">
        <f t="shared" ca="1" si="18"/>
        <v>8029.582801924802</v>
      </c>
      <c r="E33" s="944">
        <f t="shared" si="18"/>
        <v>3456.3355305585228</v>
      </c>
      <c r="F33" s="944">
        <f t="shared" ca="1" si="18"/>
        <v>14198.064429464517</v>
      </c>
      <c r="G33" s="944">
        <f t="shared" si="18"/>
        <v>16224.59039745944</v>
      </c>
      <c r="H33" s="944">
        <f t="shared" si="18"/>
        <v>2702.697545601588</v>
      </c>
      <c r="I33" s="944">
        <f t="shared" si="18"/>
        <v>0</v>
      </c>
      <c r="J33" s="944">
        <f t="shared" si="18"/>
        <v>43.621906656389655</v>
      </c>
      <c r="K33" s="944">
        <f t="shared" si="18"/>
        <v>0</v>
      </c>
      <c r="L33" s="944">
        <f t="shared" ca="1" si="18"/>
        <v>0</v>
      </c>
      <c r="M33" s="944">
        <f t="shared" si="18"/>
        <v>0</v>
      </c>
      <c r="N33" s="944">
        <f t="shared" ca="1" si="18"/>
        <v>0</v>
      </c>
      <c r="O33" s="944">
        <f t="shared" si="18"/>
        <v>0</v>
      </c>
      <c r="P33" s="944">
        <f t="shared" si="18"/>
        <v>0</v>
      </c>
      <c r="Q33" s="944">
        <f t="shared" ca="1" si="18"/>
        <v>53125.859893475572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5164.4144291242646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814.5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2327.1428571428573</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5978.9144291242646</v>
      </c>
      <c r="C10" s="1025">
        <f>SUM(C4:C9)</f>
        <v>0</v>
      </c>
      <c r="D10" s="1025">
        <f t="shared" ref="D10:H10" si="0">SUM(D8:D9)</f>
        <v>0</v>
      </c>
      <c r="E10" s="1025">
        <f t="shared" si="0"/>
        <v>0</v>
      </c>
      <c r="F10" s="1025">
        <f t="shared" si="0"/>
        <v>0</v>
      </c>
      <c r="G10" s="1025">
        <f t="shared" si="0"/>
        <v>0</v>
      </c>
      <c r="H10" s="1025">
        <f t="shared" si="0"/>
        <v>0</v>
      </c>
      <c r="I10" s="1025">
        <f>SUM(I8:I9)</f>
        <v>0</v>
      </c>
      <c r="J10" s="1025">
        <f>SUM(J8:J9)</f>
        <v>2327.1428571428573</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0.19117902435250347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0.19117902435250347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0.19117902435250347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0.19117902435250347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5586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2323.27</v>
      </c>
      <c r="C14" s="330"/>
      <c r="D14" s="330"/>
      <c r="E14" s="330"/>
      <c r="F14" s="330"/>
    </row>
    <row r="15" spans="1:6">
      <c r="A15" s="1291" t="s">
        <v>183</v>
      </c>
      <c r="B15" s="1292">
        <v>477</v>
      </c>
      <c r="C15" s="330"/>
      <c r="D15" s="330"/>
      <c r="E15" s="330"/>
      <c r="F15" s="330"/>
    </row>
    <row r="16" spans="1:6">
      <c r="A16" s="1291" t="s">
        <v>6</v>
      </c>
      <c r="B16" s="1292">
        <v>502</v>
      </c>
      <c r="C16" s="330"/>
      <c r="D16" s="330"/>
      <c r="E16" s="330"/>
      <c r="F16" s="330"/>
    </row>
    <row r="17" spans="1:6">
      <c r="A17" s="1291" t="s">
        <v>7</v>
      </c>
      <c r="B17" s="1292">
        <v>318</v>
      </c>
      <c r="C17" s="330"/>
      <c r="D17" s="330"/>
      <c r="E17" s="330"/>
      <c r="F17" s="330"/>
    </row>
    <row r="18" spans="1:6">
      <c r="A18" s="1291" t="s">
        <v>8</v>
      </c>
      <c r="B18" s="1292">
        <v>610</v>
      </c>
      <c r="C18" s="330"/>
      <c r="D18" s="330"/>
      <c r="E18" s="330"/>
      <c r="F18" s="330"/>
    </row>
    <row r="19" spans="1:6">
      <c r="A19" s="1291" t="s">
        <v>9</v>
      </c>
      <c r="B19" s="1292">
        <v>558</v>
      </c>
      <c r="C19" s="330"/>
      <c r="D19" s="330"/>
      <c r="E19" s="330"/>
      <c r="F19" s="330"/>
    </row>
    <row r="20" spans="1:6">
      <c r="A20" s="1291" t="s">
        <v>10</v>
      </c>
      <c r="B20" s="1292">
        <v>359</v>
      </c>
      <c r="C20" s="330"/>
      <c r="D20" s="330"/>
      <c r="E20" s="330"/>
      <c r="F20" s="330"/>
    </row>
    <row r="21" spans="1:6">
      <c r="A21" s="1291" t="s">
        <v>11</v>
      </c>
      <c r="B21" s="1292">
        <v>907</v>
      </c>
      <c r="C21" s="330"/>
      <c r="D21" s="330"/>
      <c r="E21" s="330"/>
      <c r="F21" s="330"/>
    </row>
    <row r="22" spans="1:6">
      <c r="A22" s="1291" t="s">
        <v>12</v>
      </c>
      <c r="B22" s="1292">
        <v>2041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269</v>
      </c>
      <c r="C26" s="330"/>
      <c r="D26" s="330"/>
      <c r="E26" s="330"/>
      <c r="F26" s="330"/>
    </row>
    <row r="27" spans="1:6">
      <c r="A27" s="1291" t="s">
        <v>17</v>
      </c>
      <c r="B27" s="1292">
        <v>8</v>
      </c>
      <c r="C27" s="330"/>
      <c r="D27" s="330"/>
      <c r="E27" s="330"/>
      <c r="F27" s="330"/>
    </row>
    <row r="28" spans="1:6" s="43" customFormat="1">
      <c r="A28" s="1293" t="s">
        <v>18</v>
      </c>
      <c r="B28" s="1294">
        <v>0</v>
      </c>
      <c r="C28" s="336"/>
      <c r="D28" s="336"/>
      <c r="E28" s="336"/>
      <c r="F28" s="336"/>
    </row>
    <row r="29" spans="1:6">
      <c r="A29" s="1293" t="s">
        <v>892</v>
      </c>
      <c r="B29" s="1294">
        <v>292</v>
      </c>
      <c r="C29" s="336"/>
      <c r="D29" s="336"/>
      <c r="E29" s="336"/>
      <c r="F29" s="336"/>
    </row>
    <row r="30" spans="1:6">
      <c r="A30" s="1286" t="s">
        <v>893</v>
      </c>
      <c r="B30" s="1295">
        <v>42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28</v>
      </c>
      <c r="F36" s="1292">
        <v>2744785</v>
      </c>
    </row>
    <row r="37" spans="1:6">
      <c r="A37" s="1291" t="s">
        <v>24</v>
      </c>
      <c r="B37" s="1291" t="s">
        <v>27</v>
      </c>
      <c r="C37" s="1292">
        <v>0</v>
      </c>
      <c r="D37" s="1292">
        <v>0</v>
      </c>
      <c r="E37" s="1292">
        <v>0</v>
      </c>
      <c r="F37" s="1292">
        <v>0</v>
      </c>
    </row>
    <row r="38" spans="1:6">
      <c r="A38" s="1291" t="s">
        <v>24</v>
      </c>
      <c r="B38" s="1291" t="s">
        <v>28</v>
      </c>
      <c r="C38" s="1292">
        <v>0</v>
      </c>
      <c r="D38" s="1292">
        <v>939003</v>
      </c>
      <c r="E38" s="1292">
        <v>0</v>
      </c>
      <c r="F38" s="1292">
        <v>28409</v>
      </c>
    </row>
    <row r="39" spans="1:6">
      <c r="A39" s="1291" t="s">
        <v>29</v>
      </c>
      <c r="B39" s="1291" t="s">
        <v>30</v>
      </c>
      <c r="C39" s="1292">
        <v>2014</v>
      </c>
      <c r="D39" s="1292">
        <v>34351067</v>
      </c>
      <c r="E39" s="1292">
        <v>5406</v>
      </c>
      <c r="F39" s="1292">
        <v>22666006</v>
      </c>
    </row>
    <row r="40" spans="1:6">
      <c r="A40" s="1291" t="s">
        <v>29</v>
      </c>
      <c r="B40" s="1291" t="s">
        <v>28</v>
      </c>
      <c r="C40" s="1292">
        <v>0</v>
      </c>
      <c r="D40" s="1292">
        <v>0</v>
      </c>
      <c r="E40" s="1292">
        <v>0</v>
      </c>
      <c r="F40" s="1292">
        <v>0</v>
      </c>
    </row>
    <row r="41" spans="1:6">
      <c r="A41" s="1291" t="s">
        <v>31</v>
      </c>
      <c r="B41" s="1291" t="s">
        <v>32</v>
      </c>
      <c r="C41" s="1292">
        <v>23</v>
      </c>
      <c r="D41" s="1292">
        <v>496425</v>
      </c>
      <c r="E41" s="1292">
        <v>88</v>
      </c>
      <c r="F41" s="1292">
        <v>562870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30772</v>
      </c>
    </row>
    <row r="45" spans="1:6">
      <c r="A45" s="1291" t="s">
        <v>31</v>
      </c>
      <c r="B45" s="1291" t="s">
        <v>36</v>
      </c>
      <c r="C45" s="1292">
        <v>0</v>
      </c>
      <c r="D45" s="1292">
        <v>0</v>
      </c>
      <c r="E45" s="1292">
        <v>3</v>
      </c>
      <c r="F45" s="1292">
        <v>426901</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106464</v>
      </c>
    </row>
    <row r="48" spans="1:6">
      <c r="A48" s="1291" t="s">
        <v>31</v>
      </c>
      <c r="B48" s="1291" t="s">
        <v>28</v>
      </c>
      <c r="C48" s="1292">
        <v>5</v>
      </c>
      <c r="D48" s="1292">
        <v>131642</v>
      </c>
      <c r="E48" s="1292">
        <v>0</v>
      </c>
      <c r="F48" s="1292">
        <v>0</v>
      </c>
    </row>
    <row r="49" spans="1:6">
      <c r="A49" s="1291" t="s">
        <v>31</v>
      </c>
      <c r="B49" s="1291" t="s">
        <v>39</v>
      </c>
      <c r="C49" s="1292">
        <v>0</v>
      </c>
      <c r="D49" s="1292">
        <v>0</v>
      </c>
      <c r="E49" s="1292">
        <v>0</v>
      </c>
      <c r="F49" s="1292">
        <v>0</v>
      </c>
    </row>
    <row r="50" spans="1:6">
      <c r="A50" s="1291" t="s">
        <v>31</v>
      </c>
      <c r="B50" s="1291" t="s">
        <v>40</v>
      </c>
      <c r="C50" s="1292">
        <v>4</v>
      </c>
      <c r="D50" s="1292">
        <v>34442</v>
      </c>
      <c r="E50" s="1292">
        <v>11</v>
      </c>
      <c r="F50" s="1292">
        <v>320051</v>
      </c>
    </row>
    <row r="51" spans="1:6">
      <c r="A51" s="1291" t="s">
        <v>41</v>
      </c>
      <c r="B51" s="1291" t="s">
        <v>42</v>
      </c>
      <c r="C51" s="1292">
        <v>7</v>
      </c>
      <c r="D51" s="1292">
        <v>131658</v>
      </c>
      <c r="E51" s="1292">
        <v>71</v>
      </c>
      <c r="F51" s="1292">
        <v>802991</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882259</v>
      </c>
    </row>
    <row r="56" spans="1:6">
      <c r="A56" s="1291" t="s">
        <v>47</v>
      </c>
      <c r="B56" s="1291" t="s">
        <v>28</v>
      </c>
      <c r="C56" s="1292">
        <v>36</v>
      </c>
      <c r="D56" s="1292">
        <v>934161</v>
      </c>
      <c r="E56" s="1292">
        <v>113</v>
      </c>
      <c r="F56" s="1292">
        <v>623909</v>
      </c>
    </row>
    <row r="57" spans="1:6">
      <c r="A57" s="1291" t="s">
        <v>48</v>
      </c>
      <c r="B57" s="1291" t="s">
        <v>49</v>
      </c>
      <c r="C57" s="1292">
        <v>14</v>
      </c>
      <c r="D57" s="1292">
        <v>371194</v>
      </c>
      <c r="E57" s="1292">
        <v>60</v>
      </c>
      <c r="F57" s="1292">
        <v>594046</v>
      </c>
    </row>
    <row r="58" spans="1:6">
      <c r="A58" s="1291" t="s">
        <v>48</v>
      </c>
      <c r="B58" s="1291" t="s">
        <v>50</v>
      </c>
      <c r="C58" s="1292">
        <v>10</v>
      </c>
      <c r="D58" s="1292">
        <v>966055</v>
      </c>
      <c r="E58" s="1292">
        <v>27</v>
      </c>
      <c r="F58" s="1292">
        <v>4537775</v>
      </c>
    </row>
    <row r="59" spans="1:6">
      <c r="A59" s="1291" t="s">
        <v>48</v>
      </c>
      <c r="B59" s="1291" t="s">
        <v>51</v>
      </c>
      <c r="C59" s="1292">
        <v>47</v>
      </c>
      <c r="D59" s="1292">
        <v>1793515</v>
      </c>
      <c r="E59" s="1292">
        <v>146</v>
      </c>
      <c r="F59" s="1292">
        <v>4589530</v>
      </c>
    </row>
    <row r="60" spans="1:6">
      <c r="A60" s="1291" t="s">
        <v>48</v>
      </c>
      <c r="B60" s="1291" t="s">
        <v>52</v>
      </c>
      <c r="C60" s="1292">
        <v>15</v>
      </c>
      <c r="D60" s="1292">
        <v>514770</v>
      </c>
      <c r="E60" s="1292">
        <v>44</v>
      </c>
      <c r="F60" s="1292">
        <v>877083</v>
      </c>
    </row>
    <row r="61" spans="1:6">
      <c r="A61" s="1291" t="s">
        <v>48</v>
      </c>
      <c r="B61" s="1291" t="s">
        <v>53</v>
      </c>
      <c r="C61" s="1292">
        <v>81</v>
      </c>
      <c r="D61" s="1292">
        <v>4081606</v>
      </c>
      <c r="E61" s="1292">
        <v>286</v>
      </c>
      <c r="F61" s="1292">
        <v>2692424</v>
      </c>
    </row>
    <row r="62" spans="1:6">
      <c r="A62" s="1291" t="s">
        <v>48</v>
      </c>
      <c r="B62" s="1291" t="s">
        <v>54</v>
      </c>
      <c r="C62" s="1292">
        <v>5</v>
      </c>
      <c r="D62" s="1292">
        <v>125662</v>
      </c>
      <c r="E62" s="1292">
        <v>8</v>
      </c>
      <c r="F62" s="1292">
        <v>55462</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6383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15</v>
      </c>
      <c r="F68" s="1295">
        <v>102821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47241951</v>
      </c>
      <c r="E73" s="449"/>
      <c r="F73" s="330"/>
    </row>
    <row r="74" spans="1:6">
      <c r="A74" s="1291" t="s">
        <v>63</v>
      </c>
      <c r="B74" s="1291" t="s">
        <v>664</v>
      </c>
      <c r="C74" s="1305" t="s">
        <v>666</v>
      </c>
      <c r="D74" s="1306">
        <v>5583600.9391337065</v>
      </c>
      <c r="E74" s="449"/>
      <c r="F74" s="330"/>
    </row>
    <row r="75" spans="1:6">
      <c r="A75" s="1291" t="s">
        <v>64</v>
      </c>
      <c r="B75" s="1291" t="s">
        <v>663</v>
      </c>
      <c r="C75" s="1305" t="s">
        <v>667</v>
      </c>
      <c r="D75" s="1306">
        <v>22997242</v>
      </c>
      <c r="E75" s="449"/>
      <c r="F75" s="330"/>
    </row>
    <row r="76" spans="1:6">
      <c r="A76" s="1291" t="s">
        <v>64</v>
      </c>
      <c r="B76" s="1291" t="s">
        <v>664</v>
      </c>
      <c r="C76" s="1305" t="s">
        <v>668</v>
      </c>
      <c r="D76" s="1306">
        <v>1328361.9391337063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1017790.1217325875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3711.5882579782906</v>
      </c>
      <c r="C91" s="330"/>
      <c r="D91" s="330"/>
      <c r="E91" s="330"/>
      <c r="F91" s="330"/>
    </row>
    <row r="92" spans="1:6">
      <c r="A92" s="1286" t="s">
        <v>68</v>
      </c>
      <c r="B92" s="1287">
        <v>1452.8261711459738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508</v>
      </c>
      <c r="C97" s="330"/>
      <c r="D97" s="330"/>
      <c r="E97" s="330"/>
      <c r="F97" s="330"/>
    </row>
    <row r="98" spans="1:6">
      <c r="A98" s="1291" t="s">
        <v>71</v>
      </c>
      <c r="B98" s="1292">
        <v>0</v>
      </c>
      <c r="C98" s="330"/>
      <c r="D98" s="330"/>
      <c r="E98" s="330"/>
      <c r="F98" s="330"/>
    </row>
    <row r="99" spans="1:6">
      <c r="A99" s="1291" t="s">
        <v>72</v>
      </c>
      <c r="B99" s="1292">
        <v>84</v>
      </c>
      <c r="C99" s="330"/>
      <c r="D99" s="330"/>
      <c r="E99" s="330"/>
      <c r="F99" s="330"/>
    </row>
    <row r="100" spans="1:6">
      <c r="A100" s="1291" t="s">
        <v>73</v>
      </c>
      <c r="B100" s="1292">
        <v>438</v>
      </c>
      <c r="C100" s="330"/>
      <c r="D100" s="330"/>
      <c r="E100" s="330"/>
      <c r="F100" s="330"/>
    </row>
    <row r="101" spans="1:6">
      <c r="A101" s="1291" t="s">
        <v>74</v>
      </c>
      <c r="B101" s="1292">
        <v>54</v>
      </c>
      <c r="C101" s="330"/>
      <c r="D101" s="330"/>
      <c r="E101" s="330"/>
      <c r="F101" s="330"/>
    </row>
    <row r="102" spans="1:6">
      <c r="A102" s="1291" t="s">
        <v>75</v>
      </c>
      <c r="B102" s="1292">
        <v>49</v>
      </c>
      <c r="C102" s="330"/>
      <c r="D102" s="330"/>
      <c r="E102" s="330"/>
      <c r="F102" s="330"/>
    </row>
    <row r="103" spans="1:6">
      <c r="A103" s="1291" t="s">
        <v>76</v>
      </c>
      <c r="B103" s="1292">
        <v>114</v>
      </c>
      <c r="C103" s="330"/>
      <c r="D103" s="330"/>
      <c r="E103" s="330"/>
      <c r="F103" s="330"/>
    </row>
    <row r="104" spans="1:6">
      <c r="A104" s="1291" t="s">
        <v>77</v>
      </c>
      <c r="B104" s="1292">
        <v>3638</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35</v>
      </c>
      <c r="C123" s="1292">
        <v>35</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155</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19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44309.083125098499</v>
      </c>
      <c r="C3" s="43" t="s">
        <v>169</v>
      </c>
      <c r="D3" s="43"/>
      <c r="E3" s="154"/>
      <c r="F3" s="43"/>
      <c r="G3" s="43"/>
      <c r="H3" s="43"/>
      <c r="I3" s="43"/>
      <c r="J3" s="43"/>
      <c r="K3" s="96"/>
    </row>
    <row r="4" spans="1:11">
      <c r="A4" s="358" t="s">
        <v>170</v>
      </c>
      <c r="B4" s="49">
        <f>IF(ISERROR('SEAP template'!B78+'SEAP template'!C78),0,'SEAP template'!B78+'SEAP template'!C78)</f>
        <v>5978.9144291242646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0.19117902435250347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882.25900000000001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0.19117902435250347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168.66941484621537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22666.006000000001</v>
      </c>
      <c r="C5" s="17">
        <f>IF(ISERROR('Eigen informatie GS &amp; warmtenet'!B57),0,'Eigen informatie GS &amp; warmtenet'!B57)</f>
        <v>0</v>
      </c>
      <c r="D5" s="30">
        <f>(SUM(HH_hh_gas_kWh,HH_rest_gas_kWh)/1000)*0.902</f>
        <v>30984.662434000002</v>
      </c>
      <c r="E5" s="17">
        <f>B46*B57</f>
        <v>14691.017848692733</v>
      </c>
      <c r="F5" s="17">
        <f>B51*B62</f>
        <v>46532.476281567848</v>
      </c>
      <c r="G5" s="18"/>
      <c r="H5" s="17"/>
      <c r="I5" s="17"/>
      <c r="J5" s="17">
        <f>B50*B61+C50*C61</f>
        <v>0</v>
      </c>
      <c r="K5" s="17"/>
      <c r="L5" s="17"/>
      <c r="M5" s="17"/>
      <c r="N5" s="17">
        <f>B48*B59+C48*C59</f>
        <v>7547.2443176566458</v>
      </c>
      <c r="O5" s="17">
        <f>B69*B70*B71</f>
        <v>298.59666666666669</v>
      </c>
      <c r="P5" s="17">
        <f>B77*B78*B79/1000-B77*B78*B79/1000/B80</f>
        <v>1048.6666666666667</v>
      </c>
    </row>
    <row r="6" spans="1:16">
      <c r="A6" s="16" t="s">
        <v>623</v>
      </c>
      <c r="B6" s="762">
        <f>kWh_PV_kleiner_dan_10kW</f>
        <v>3711.5882579782906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26377.594257978293</v>
      </c>
      <c r="C8" s="21">
        <f>C5</f>
        <v>0</v>
      </c>
      <c r="D8" s="21">
        <f>D5</f>
        <v>30984.662434000002</v>
      </c>
      <c r="E8" s="21">
        <f>E5</f>
        <v>14691.017848692733</v>
      </c>
      <c r="F8" s="21">
        <f>F5</f>
        <v>46532.476281567848</v>
      </c>
      <c r="G8" s="21"/>
      <c r="H8" s="21"/>
      <c r="I8" s="21"/>
      <c r="J8" s="21">
        <f>J5</f>
        <v>0</v>
      </c>
      <c r="K8" s="21"/>
      <c r="L8" s="21">
        <f>L5</f>
        <v>0</v>
      </c>
      <c r="M8" s="21">
        <f>M5</f>
        <v>0</v>
      </c>
      <c r="N8" s="21">
        <f>N5</f>
        <v>7547.2443176566458</v>
      </c>
      <c r="O8" s="21">
        <f>O5</f>
        <v>298.59666666666669</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0.19117902435250347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5042.8427350064876</v>
      </c>
      <c r="C12" s="23">
        <f ca="1">C10*C8</f>
        <v>0</v>
      </c>
      <c r="D12" s="23">
        <f>D8*D10</f>
        <v>6258.9018116680008</v>
      </c>
      <c r="E12" s="23">
        <f>E10*E8</f>
        <v>3334.8610516532503</v>
      </c>
      <c r="F12" s="23">
        <f>F10*F8</f>
        <v>12424.171167178616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508</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14.583333333333334</v>
      </c>
      <c r="D20" s="229"/>
      <c r="E20" s="15"/>
    </row>
    <row r="21" spans="1:7">
      <c r="A21" s="171" t="s">
        <v>73</v>
      </c>
      <c r="B21" s="37">
        <f>aantalw2001_elektriciteit</f>
        <v>438</v>
      </c>
      <c r="C21" s="167">
        <f>IF(ISERROR(B21/SUM($B$20,$B$21,$B$22)*100),0,B21/SUM($B$20,$B$21,$B$22)*100)</f>
        <v>76.041666666666657</v>
      </c>
      <c r="D21" s="229"/>
      <c r="E21" s="15"/>
    </row>
    <row r="22" spans="1:7">
      <c r="A22" s="171" t="s">
        <v>74</v>
      </c>
      <c r="B22" s="37">
        <f>aantalw2001_hout</f>
        <v>54</v>
      </c>
      <c r="C22" s="167">
        <f>IF(ISERROR(B22/SUM($B$20,$B$21,$B$22)*100),0,B22/SUM($B$20,$B$21,$B$22)*100)</f>
        <v>9.375</v>
      </c>
      <c r="D22" s="229"/>
      <c r="E22" s="15"/>
    </row>
    <row r="23" spans="1:7">
      <c r="A23" s="171" t="s">
        <v>75</v>
      </c>
      <c r="B23" s="37">
        <f>aantalw2001_niet_gespec</f>
        <v>49</v>
      </c>
      <c r="C23" s="166" t="s">
        <v>110</v>
      </c>
      <c r="D23" s="228"/>
      <c r="E23" s="15"/>
    </row>
    <row r="24" spans="1:7">
      <c r="A24" s="171" t="s">
        <v>76</v>
      </c>
      <c r="B24" s="37">
        <f>aantalw2001_steenkool</f>
        <v>114</v>
      </c>
      <c r="C24" s="166" t="s">
        <v>110</v>
      </c>
      <c r="D24" s="229"/>
      <c r="E24" s="15"/>
    </row>
    <row r="25" spans="1:7">
      <c r="A25" s="171" t="s">
        <v>77</v>
      </c>
      <c r="B25" s="37">
        <f>aantalw2001_stookolie</f>
        <v>3638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5586</v>
      </c>
      <c r="C28" s="36"/>
      <c r="D28" s="228"/>
    </row>
    <row r="29" spans="1:7" s="15" customFormat="1">
      <c r="A29" s="230" t="s">
        <v>696</v>
      </c>
      <c r="B29" s="37">
        <f>SUM(HH_hh_gas_aantal,HH_rest_gas_aantal)</f>
        <v>2014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2014</v>
      </c>
      <c r="C32" s="167">
        <f>IF(ISERROR(B32/SUM($B$32,$B$34,$B$35,$B$36,$B$38,$B$39)*100),0,B32/SUM($B$32,$B$34,$B$35,$B$36,$B$38,$B$39)*100)</f>
        <v>36.412945217862955</v>
      </c>
      <c r="D32" s="233"/>
      <c r="G32" s="15"/>
    </row>
    <row r="33" spans="1:7">
      <c r="A33" s="171" t="s">
        <v>71</v>
      </c>
      <c r="B33" s="34" t="s">
        <v>110</v>
      </c>
      <c r="C33" s="167"/>
      <c r="D33" s="233"/>
      <c r="G33" s="15"/>
    </row>
    <row r="34" spans="1:7">
      <c r="A34" s="171" t="s">
        <v>72</v>
      </c>
      <c r="B34" s="33">
        <f>IF((($B$28-$B$32-$B$39-$B$77-$B$38)*C20/100)&lt;0,0,($B$28-$B$32-$B$39-$B$77-$B$38)*C20/100)</f>
        <v>180.01666666666668</v>
      </c>
      <c r="C34" s="167">
        <f>IF(ISERROR(B34/SUM($B$32,$B$34,$B$35,$B$36,$B$38,$B$39)*100),0,B34/SUM($B$32,$B$34,$B$35,$B$36,$B$38,$B$39)*100)</f>
        <v>3.2546857108419216</v>
      </c>
      <c r="D34" s="233"/>
      <c r="G34" s="15"/>
    </row>
    <row r="35" spans="1:7">
      <c r="A35" s="171" t="s">
        <v>73</v>
      </c>
      <c r="B35" s="33">
        <f>IF((($B$28-$B$32-$B$39-$B$77-$B$38)*C21/100)&lt;0,0,($B$28-$B$32-$B$39-$B$77-$B$38)*C21/100)</f>
        <v>938.6583333333333</v>
      </c>
      <c r="C35" s="167">
        <f>IF(ISERROR(B35/SUM($B$32,$B$34,$B$35,$B$36,$B$38,$B$39)*100),0,B35/SUM($B$32,$B$34,$B$35,$B$36,$B$38,$B$39)*100)</f>
        <v>16.970861206532874</v>
      </c>
      <c r="D35" s="233"/>
      <c r="G35" s="15"/>
    </row>
    <row r="36" spans="1:7">
      <c r="A36" s="171" t="s">
        <v>74</v>
      </c>
      <c r="B36" s="33">
        <f>IF((($B$28-$B$32-$B$39-$B$77-$B$38)*C22/100)&lt;0,0,($B$28-$B$32-$B$39-$B$77-$B$38)*C22/100)</f>
        <v>115.72499999999999</v>
      </c>
      <c r="C36" s="167">
        <f>IF(ISERROR(B36/SUM($B$32,$B$34,$B$35,$B$36,$B$38,$B$39)*100),0,B36/SUM($B$32,$B$34,$B$35,$B$36,$B$38,$B$39)*100)</f>
        <v>2.0922979569698064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2282.6</v>
      </c>
      <c r="C39" s="167">
        <f>IF(ISERROR(B39/SUM($B$32,$B$34,$B$35,$B$36,$B$38,$B$39)*100),0,B39/SUM($B$32,$B$34,$B$35,$B$36,$B$38,$B$39)*100)</f>
        <v>41.269209907792444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2014</v>
      </c>
      <c r="C44" s="34" t="s">
        <v>110</v>
      </c>
      <c r="D44" s="174"/>
    </row>
    <row r="45" spans="1:7">
      <c r="A45" s="171" t="s">
        <v>71</v>
      </c>
      <c r="B45" s="33" t="str">
        <f t="shared" si="0"/>
        <v>-</v>
      </c>
      <c r="C45" s="34" t="s">
        <v>110</v>
      </c>
      <c r="D45" s="174"/>
    </row>
    <row r="46" spans="1:7">
      <c r="A46" s="171" t="s">
        <v>72</v>
      </c>
      <c r="B46" s="33">
        <f t="shared" si="0"/>
        <v>180.01666666666668</v>
      </c>
      <c r="C46" s="34" t="s">
        <v>110</v>
      </c>
      <c r="D46" s="174"/>
    </row>
    <row r="47" spans="1:7">
      <c r="A47" s="171" t="s">
        <v>73</v>
      </c>
      <c r="B47" s="33">
        <f t="shared" si="0"/>
        <v>938.6583333333333</v>
      </c>
      <c r="C47" s="34" t="s">
        <v>110</v>
      </c>
      <c r="D47" s="174"/>
    </row>
    <row r="48" spans="1:7">
      <c r="A48" s="171" t="s">
        <v>74</v>
      </c>
      <c r="B48" s="33">
        <f t="shared" si="0"/>
        <v>115.72499999999999</v>
      </c>
      <c r="C48" s="33">
        <f>B48*10</f>
        <v>1157.25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2282.6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13346.32</v>
      </c>
      <c r="C5" s="17">
        <f>IF(ISERROR('Eigen informatie GS &amp; warmtenet'!B58),0,'Eigen informatie GS &amp; warmtenet'!B58)</f>
        <v>0</v>
      </c>
      <c r="D5" s="30">
        <f>SUM(D6:D12)</f>
        <v>7083.2274040000011</v>
      </c>
      <c r="E5" s="17">
        <f>SUM(E6:E12)</f>
        <v>210.6977849858161</v>
      </c>
      <c r="F5" s="17">
        <f>SUM(F6:F12)</f>
        <v>3065.9330207764792</v>
      </c>
      <c r="G5" s="18"/>
      <c r="H5" s="17"/>
      <c r="I5" s="17"/>
      <c r="J5" s="17">
        <f>SUM(J6:J12)</f>
        <v>0</v>
      </c>
      <c r="K5" s="17"/>
      <c r="L5" s="17"/>
      <c r="M5" s="17"/>
      <c r="N5" s="17">
        <f>SUM(N6:N12)</f>
        <v>529.90936274293517</v>
      </c>
      <c r="O5" s="17">
        <f>B38*B39*B40</f>
        <v>4.6900000000000004</v>
      </c>
      <c r="P5" s="17">
        <f>B46*B47*B48/1000-B46*B47*B48/1000/B49</f>
        <v>38.133333333333333</v>
      </c>
      <c r="R5" s="32"/>
    </row>
    <row r="6" spans="1:18">
      <c r="A6" s="32" t="s">
        <v>53</v>
      </c>
      <c r="B6" s="37">
        <f>B26</f>
        <v>2692.424</v>
      </c>
      <c r="C6" s="33"/>
      <c r="D6" s="37">
        <f>IF(ISERROR(TER_kantoor_gas_kWh/1000),0,TER_kantoor_gas_kWh/1000)*0.902</f>
        <v>3681.6086120000004</v>
      </c>
      <c r="E6" s="33">
        <f>$C$26*'E Balans VL '!I12/100/3.6*1000000</f>
        <v>35.247146745449761</v>
      </c>
      <c r="F6" s="33">
        <f>$C$26*('E Balans VL '!L12+'E Balans VL '!N12)/100/3.6*1000000</f>
        <v>686.54029752968961</v>
      </c>
      <c r="G6" s="34"/>
      <c r="H6" s="33"/>
      <c r="I6" s="33"/>
      <c r="J6" s="33">
        <f>$C$26*('E Balans VL '!D12+'E Balans VL '!E12)/100/3.6*1000000</f>
        <v>0</v>
      </c>
      <c r="K6" s="33"/>
      <c r="L6" s="33"/>
      <c r="M6" s="33"/>
      <c r="N6" s="33">
        <f>$C$26*'E Balans VL '!Y12/100/3.6*1000000</f>
        <v>2.7014905936062061</v>
      </c>
      <c r="O6" s="33"/>
      <c r="P6" s="33"/>
      <c r="R6" s="32"/>
    </row>
    <row r="7" spans="1:18">
      <c r="A7" s="32" t="s">
        <v>52</v>
      </c>
      <c r="B7" s="37">
        <f t="shared" ref="B7:B12" si="0">B27</f>
        <v>877.08299999999997</v>
      </c>
      <c r="C7" s="33"/>
      <c r="D7" s="37">
        <f>IF(ISERROR(TER_horeca_gas_kWh/1000),0,TER_horeca_gas_kWh/1000)*0.902</f>
        <v>464.32254</v>
      </c>
      <c r="E7" s="33">
        <f>$C$27*'E Balans VL '!I9/100/3.6*1000000</f>
        <v>29.02611218308251</v>
      </c>
      <c r="F7" s="33">
        <f>$C$27*('E Balans VL '!L9+'E Balans VL '!N9)/100/3.6*1000000</f>
        <v>377.14232861078477</v>
      </c>
      <c r="G7" s="34"/>
      <c r="H7" s="33"/>
      <c r="I7" s="33"/>
      <c r="J7" s="33">
        <f>$C$27*('E Balans VL '!D9+'E Balans VL '!E9)/100/3.6*1000000</f>
        <v>0</v>
      </c>
      <c r="K7" s="33"/>
      <c r="L7" s="33"/>
      <c r="M7" s="33"/>
      <c r="N7" s="33">
        <f>$C$27*'E Balans VL '!Y9/100/3.6*1000000</f>
        <v>0.21112661474289038</v>
      </c>
      <c r="O7" s="33"/>
      <c r="P7" s="33"/>
      <c r="R7" s="32"/>
    </row>
    <row r="8" spans="1:18">
      <c r="A8" s="6" t="s">
        <v>51</v>
      </c>
      <c r="B8" s="37">
        <f t="shared" si="0"/>
        <v>4589.53</v>
      </c>
      <c r="C8" s="33"/>
      <c r="D8" s="37">
        <f>IF(ISERROR(TER_handel_gas_kWh/1000),0,TER_handel_gas_kWh/1000)*0.902</f>
        <v>1617.75053</v>
      </c>
      <c r="E8" s="33">
        <f>$C$28*'E Balans VL '!I13/100/3.6*1000000</f>
        <v>144.85257939309901</v>
      </c>
      <c r="F8" s="33">
        <f>$C$28*('E Balans VL '!L13+'E Balans VL '!N13)/100/3.6*1000000</f>
        <v>900.08764960576013</v>
      </c>
      <c r="G8" s="34"/>
      <c r="H8" s="33"/>
      <c r="I8" s="33"/>
      <c r="J8" s="33">
        <f>$C$28*('E Balans VL '!D13+'E Balans VL '!E13)/100/3.6*1000000</f>
        <v>0</v>
      </c>
      <c r="K8" s="33"/>
      <c r="L8" s="33"/>
      <c r="M8" s="33"/>
      <c r="N8" s="33">
        <f>$C$28*'E Balans VL '!Y13/100/3.6*1000000</f>
        <v>5.4468810636893981</v>
      </c>
      <c r="O8" s="33"/>
      <c r="P8" s="33"/>
      <c r="R8" s="32"/>
    </row>
    <row r="9" spans="1:18">
      <c r="A9" s="32" t="s">
        <v>50</v>
      </c>
      <c r="B9" s="37">
        <f t="shared" si="0"/>
        <v>4537.7749999999996</v>
      </c>
      <c r="C9" s="33"/>
      <c r="D9" s="37">
        <f>IF(ISERROR(TER_gezond_gas_kWh/1000),0,TER_gezond_gas_kWh/1000)*0.902</f>
        <v>871.38161000000002</v>
      </c>
      <c r="E9" s="33">
        <f>$C$29*'E Balans VL '!I10/100/3.6*1000000</f>
        <v>0.5809679496621587</v>
      </c>
      <c r="F9" s="33">
        <f>$C$29*('E Balans VL '!L10+'E Balans VL '!N10)/100/3.6*1000000</f>
        <v>945.40872808041615</v>
      </c>
      <c r="G9" s="34"/>
      <c r="H9" s="33"/>
      <c r="I9" s="33"/>
      <c r="J9" s="33">
        <f>$C$29*('E Balans VL '!D10+'E Balans VL '!E10)/100/3.6*1000000</f>
        <v>0</v>
      </c>
      <c r="K9" s="33"/>
      <c r="L9" s="33"/>
      <c r="M9" s="33"/>
      <c r="N9" s="33">
        <f>$C$29*'E Balans VL '!Y10/100/3.6*1000000</f>
        <v>53.29831220943742</v>
      </c>
      <c r="O9" s="33"/>
      <c r="P9" s="33"/>
      <c r="R9" s="32"/>
    </row>
    <row r="10" spans="1:18">
      <c r="A10" s="32" t="s">
        <v>49</v>
      </c>
      <c r="B10" s="37">
        <f t="shared" si="0"/>
        <v>594.04600000000005</v>
      </c>
      <c r="C10" s="33"/>
      <c r="D10" s="37">
        <f>IF(ISERROR(TER_ander_gas_kWh/1000),0,TER_ander_gas_kWh/1000)*0.902</f>
        <v>334.81698800000004</v>
      </c>
      <c r="E10" s="33">
        <f>$C$30*'E Balans VL '!I14/100/3.6*1000000</f>
        <v>0.89330548482315819</v>
      </c>
      <c r="F10" s="33">
        <f>$C$30*('E Balans VL '!L14+'E Balans VL '!N14)/100/3.6*1000000</f>
        <v>131.14620796659798</v>
      </c>
      <c r="G10" s="34"/>
      <c r="H10" s="33"/>
      <c r="I10" s="33"/>
      <c r="J10" s="33">
        <f>$C$30*('E Balans VL '!D14+'E Balans VL '!E14)/100/3.6*1000000</f>
        <v>0</v>
      </c>
      <c r="K10" s="33"/>
      <c r="L10" s="33"/>
      <c r="M10" s="33"/>
      <c r="N10" s="33">
        <f>$C$30*'E Balans VL '!Y14/100/3.6*1000000</f>
        <v>468.14822578848748</v>
      </c>
      <c r="O10" s="33"/>
      <c r="P10" s="33"/>
      <c r="R10" s="32"/>
    </row>
    <row r="11" spans="1:18">
      <c r="A11" s="32" t="s">
        <v>54</v>
      </c>
      <c r="B11" s="37">
        <f t="shared" si="0"/>
        <v>55.462000000000003</v>
      </c>
      <c r="C11" s="33"/>
      <c r="D11" s="37">
        <f>IF(ISERROR(TER_onderwijs_gas_kWh/1000),0,TER_onderwijs_gas_kWh/1000)*0.902</f>
        <v>113.34712400000001</v>
      </c>
      <c r="E11" s="33">
        <f>$C$31*'E Balans VL '!I11/100/3.6*1000000</f>
        <v>9.7673229699534597E-2</v>
      </c>
      <c r="F11" s="33">
        <f>$C$31*('E Balans VL '!L11+'E Balans VL '!N11)/100/3.6*1000000</f>
        <v>25.60780898323015</v>
      </c>
      <c r="G11" s="34"/>
      <c r="H11" s="33"/>
      <c r="I11" s="33"/>
      <c r="J11" s="33">
        <f>$C$31*('E Balans VL '!D11+'E Balans VL '!E11)/100/3.6*1000000</f>
        <v>0</v>
      </c>
      <c r="K11" s="33"/>
      <c r="L11" s="33"/>
      <c r="M11" s="33"/>
      <c r="N11" s="33">
        <f>$C$31*'E Balans VL '!Y11/100/3.6*1000000</f>
        <v>0.10332647297172488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814.5</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-2327.1428571428573</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14160.82</v>
      </c>
      <c r="C16" s="21">
        <f t="shared" ca="1" si="1"/>
        <v>0</v>
      </c>
      <c r="D16" s="21">
        <f t="shared" ca="1" si="1"/>
        <v>7083.2274040000011</v>
      </c>
      <c r="E16" s="21">
        <f t="shared" si="1"/>
        <v>210.6977849858161</v>
      </c>
      <c r="F16" s="21">
        <f t="shared" ca="1" si="1"/>
        <v>3065.9330207764792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0.19117902435250347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2707.2517516314183</v>
      </c>
      <c r="C20" s="23">
        <f t="shared" ref="C20:P20" ca="1" si="2">C16*C18</f>
        <v>0</v>
      </c>
      <c r="D20" s="23">
        <f t="shared" ca="1" si="2"/>
        <v>1430.8119356080003</v>
      </c>
      <c r="E20" s="23">
        <f t="shared" si="2"/>
        <v>47.828397191780255</v>
      </c>
      <c r="F20" s="23">
        <f t="shared" ca="1" si="2"/>
        <v>818.60411654732002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2692.424</v>
      </c>
      <c r="C26" s="39">
        <f>IF(ISERROR(B26*3.6/1000000/'E Balans VL '!Z12*100),0,B26*3.6/1000000/'E Balans VL '!Z12*100)</f>
        <v>5.7673813742757228E-2</v>
      </c>
      <c r="D26" s="237" t="s">
        <v>659</v>
      </c>
      <c r="F26" s="6"/>
    </row>
    <row r="27" spans="1:18">
      <c r="A27" s="231" t="s">
        <v>52</v>
      </c>
      <c r="B27" s="33">
        <f>IF(ISERROR(TER_horeca_ele_kWh/1000),0,TER_horeca_ele_kWh/1000)</f>
        <v>877.08299999999997</v>
      </c>
      <c r="C27" s="39">
        <f>IF(ISERROR(B27*3.6/1000000/'E Balans VL '!Z9*100),0,B27*3.6/1000000/'E Balans VL '!Z9*100)</f>
        <v>7.0382862040610672E-2</v>
      </c>
      <c r="D27" s="237" t="s">
        <v>659</v>
      </c>
      <c r="F27" s="6"/>
    </row>
    <row r="28" spans="1:18">
      <c r="A28" s="171" t="s">
        <v>51</v>
      </c>
      <c r="B28" s="33">
        <f>IF(ISERROR(TER_handel_ele_kWh/1000),0,TER_handel_ele_kWh/1000)</f>
        <v>4589.53</v>
      </c>
      <c r="C28" s="39">
        <f>IF(ISERROR(B28*3.6/1000000/'E Balans VL '!Z13*100),0,B28*3.6/1000000/'E Balans VL '!Z13*100)</f>
        <v>0.13536481050591875</v>
      </c>
      <c r="D28" s="237" t="s">
        <v>659</v>
      </c>
      <c r="F28" s="6"/>
    </row>
    <row r="29" spans="1:18">
      <c r="A29" s="231" t="s">
        <v>50</v>
      </c>
      <c r="B29" s="33">
        <f>IF(ISERROR(TER_gezond_ele_kWh/1000),0,TER_gezond_ele_kWh/1000)</f>
        <v>4537.7749999999996</v>
      </c>
      <c r="C29" s="39">
        <f>IF(ISERROR(B29*3.6/1000000/'E Balans VL '!Z10*100),0,B29*3.6/1000000/'E Balans VL '!Z10*100)</f>
        <v>0.48451270768995086</v>
      </c>
      <c r="D29" s="237" t="s">
        <v>659</v>
      </c>
      <c r="F29" s="6"/>
    </row>
    <row r="30" spans="1:18">
      <c r="A30" s="231" t="s">
        <v>49</v>
      </c>
      <c r="B30" s="33">
        <f>IF(ISERROR(TER_ander_ele_kWh/1000),0,TER_ander_ele_kWh/1000)</f>
        <v>594.04600000000005</v>
      </c>
      <c r="C30" s="39">
        <f>IF(ISERROR(B30*3.6/1000000/'E Balans VL '!Z14*100),0,B30*3.6/1000000/'E Balans VL '!Z14*100)</f>
        <v>4.4870627104547658E-2</v>
      </c>
      <c r="D30" s="237" t="s">
        <v>659</v>
      </c>
      <c r="F30" s="6"/>
    </row>
    <row r="31" spans="1:18">
      <c r="A31" s="231" t="s">
        <v>54</v>
      </c>
      <c r="B31" s="33">
        <f>IF(ISERROR(TER_onderwijs_ele_kWh/1000),0,TER_onderwijs_ele_kWh/1000)</f>
        <v>55.462000000000003</v>
      </c>
      <c r="C31" s="39">
        <f>IF(ISERROR(B31*3.6/1000000/'E Balans VL '!Z11*100),0,B31*3.6/1000000/'E Balans VL '!Z11*100)</f>
        <v>1.119962926459344E-2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1447.058</v>
      </c>
      <c r="C5" s="17">
        <f>IF(ISERROR('Eigen informatie GS &amp; warmtenet'!B59),0,'Eigen informatie GS &amp; warmtenet'!B59)</f>
        <v>0</v>
      </c>
      <c r="D5" s="30">
        <f>SUM(D6:D15)</f>
        <v>597.58311800000001</v>
      </c>
      <c r="E5" s="17">
        <f>SUM(E6:E15)</f>
        <v>162.40226371215405</v>
      </c>
      <c r="F5" s="17">
        <f>SUM(F6:F15)</f>
        <v>642.77694185093117</v>
      </c>
      <c r="G5" s="18"/>
      <c r="H5" s="17"/>
      <c r="I5" s="17"/>
      <c r="J5" s="17">
        <f>SUM(J6:J15)</f>
        <v>7.6245603726004338</v>
      </c>
      <c r="K5" s="17"/>
      <c r="L5" s="17"/>
      <c r="M5" s="17"/>
      <c r="N5" s="17">
        <f>SUM(N6:N15)</f>
        <v>191.93662823098572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30.771999999999998</v>
      </c>
      <c r="C8" s="33"/>
      <c r="D8" s="37">
        <f>IF( ISERROR(IND_metaal_Gas_kWH/1000),0,IND_metaal_Gas_kWH/1000)*0.902</f>
        <v>0</v>
      </c>
      <c r="E8" s="33">
        <f>C30*'E Balans VL '!I18/100/3.6*1000000</f>
        <v>1.1072696516104947</v>
      </c>
      <c r="F8" s="33">
        <f>C30*'E Balans VL '!L18/100/3.6*1000000+C30*'E Balans VL '!N18/100/3.6*1000000</f>
        <v>13.437134879083148</v>
      </c>
      <c r="G8" s="34"/>
      <c r="H8" s="33"/>
      <c r="I8" s="33"/>
      <c r="J8" s="40">
        <f>C30*'E Balans VL '!D18/100/3.6*1000000+C30*'E Balans VL '!E18/100/3.6*1000000</f>
        <v>0</v>
      </c>
      <c r="K8" s="33"/>
      <c r="L8" s="33"/>
      <c r="M8" s="33"/>
      <c r="N8" s="33">
        <f>C30*'E Balans VL '!Y18/100/3.6*1000000</f>
        <v>1.5422717282101952</v>
      </c>
      <c r="O8" s="33"/>
      <c r="P8" s="33"/>
      <c r="R8" s="32"/>
    </row>
    <row r="9" spans="1:18">
      <c r="A9" s="6" t="s">
        <v>32</v>
      </c>
      <c r="B9" s="37">
        <f t="shared" si="0"/>
        <v>562.87</v>
      </c>
      <c r="C9" s="33"/>
      <c r="D9" s="37">
        <f>IF( ISERROR(IND_andere_gas_kWh/1000),0,IND_andere_gas_kWh/1000)*0.902</f>
        <v>447.77535</v>
      </c>
      <c r="E9" s="33">
        <f>C31*'E Balans VL '!I19/100/3.6*1000000</f>
        <v>143.63168870954777</v>
      </c>
      <c r="F9" s="33">
        <f>C31*'E Balans VL '!L19/100/3.6*1000000+C31*'E Balans VL '!N19/100/3.6*1000000</f>
        <v>484.58876304604695</v>
      </c>
      <c r="G9" s="34"/>
      <c r="H9" s="33"/>
      <c r="I9" s="33"/>
      <c r="J9" s="40">
        <f>C31*'E Balans VL '!D19/100/3.6*1000000+C31*'E Balans VL '!E19/100/3.6*1000000</f>
        <v>0</v>
      </c>
      <c r="K9" s="33"/>
      <c r="L9" s="33"/>
      <c r="M9" s="33"/>
      <c r="N9" s="33">
        <f>C31*'E Balans VL '!Y19/100/3.6*1000000</f>
        <v>44.40385645494613</v>
      </c>
      <c r="O9" s="33"/>
      <c r="P9" s="33"/>
      <c r="R9" s="32"/>
    </row>
    <row r="10" spans="1:18">
      <c r="A10" s="6" t="s">
        <v>40</v>
      </c>
      <c r="B10" s="37">
        <f t="shared" si="0"/>
        <v>320.05099999999999</v>
      </c>
      <c r="C10" s="33"/>
      <c r="D10" s="37">
        <f>IF( ISERROR(IND_voed_gas_kWh/1000),0,IND_voed_gas_kWh/1000)*0.902</f>
        <v>31.066684000000002</v>
      </c>
      <c r="E10" s="33">
        <f>C32*'E Balans VL '!I20/100/3.6*1000000</f>
        <v>8.136135886036497</v>
      </c>
      <c r="F10" s="33">
        <f>C32*'E Balans VL '!L20/100/3.6*1000000+C32*'E Balans VL '!N20/100/3.6*1000000</f>
        <v>72.422736920160006</v>
      </c>
      <c r="G10" s="34"/>
      <c r="H10" s="33"/>
      <c r="I10" s="33"/>
      <c r="J10" s="40">
        <f>C32*'E Balans VL '!D20/100/3.6*1000000+C32*'E Balans VL '!E20/100/3.6*1000000</f>
        <v>0</v>
      </c>
      <c r="K10" s="33"/>
      <c r="L10" s="33"/>
      <c r="M10" s="33"/>
      <c r="N10" s="33">
        <f>C32*'E Balans VL '!Y20/100/3.6*1000000</f>
        <v>120.0278003235872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426.90100000000001</v>
      </c>
      <c r="C12" s="33"/>
      <c r="D12" s="37">
        <f>IF( ISERROR(IND_min_gas_kWh/1000),0,IND_min_gas_kWh/1000)*0.902</f>
        <v>0</v>
      </c>
      <c r="E12" s="33">
        <f>C34*'E Balans VL '!I22/100/3.6*1000000</f>
        <v>9.0705763412302076</v>
      </c>
      <c r="F12" s="33">
        <f>C34*'E Balans VL '!L22/100/3.6*1000000+C34*'E Balans VL '!N22/100/3.6*1000000</f>
        <v>69.652536242421093</v>
      </c>
      <c r="G12" s="34"/>
      <c r="H12" s="33"/>
      <c r="I12" s="33"/>
      <c r="J12" s="40">
        <f>C34*'E Balans VL '!D22/100/3.6*1000000+C34*'E Balans VL '!E22/100/3.6*1000000</f>
        <v>0.49737950361987232</v>
      </c>
      <c r="K12" s="33"/>
      <c r="L12" s="33"/>
      <c r="M12" s="33"/>
      <c r="N12" s="33">
        <f>C34*'E Balans VL '!Y22/100/3.6*1000000</f>
        <v>0</v>
      </c>
      <c r="O12" s="33"/>
      <c r="P12" s="33"/>
      <c r="R12" s="32"/>
    </row>
    <row r="13" spans="1:18">
      <c r="A13" s="6" t="s">
        <v>38</v>
      </c>
      <c r="B13" s="37">
        <f t="shared" si="0"/>
        <v>106.464</v>
      </c>
      <c r="C13" s="33"/>
      <c r="D13" s="37">
        <f>IF( ISERROR(IND_papier_gas_kWh/1000),0,IND_papier_gas_kWh/1000)*0.902</f>
        <v>0</v>
      </c>
      <c r="E13" s="33">
        <f>C35*'E Balans VL '!I23/100/3.6*1000000</f>
        <v>0.45659312372908978</v>
      </c>
      <c r="F13" s="33">
        <f>C35*'E Balans VL '!L23/100/3.6*1000000+C35*'E Balans VL '!N23/100/3.6*1000000</f>
        <v>2.6757707632199699</v>
      </c>
      <c r="G13" s="34"/>
      <c r="H13" s="33"/>
      <c r="I13" s="33"/>
      <c r="J13" s="40">
        <f>C35*'E Balans VL '!D23/100/3.6*1000000+C35*'E Balans VL '!E23/100/3.6*1000000</f>
        <v>7.1271808689805614</v>
      </c>
      <c r="K13" s="33"/>
      <c r="L13" s="33"/>
      <c r="M13" s="33"/>
      <c r="N13" s="33">
        <f>C35*'E Balans VL '!Y23/100/3.6*1000000</f>
        <v>25.962699724242199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118.741084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1447.058</v>
      </c>
      <c r="C18" s="21">
        <f>C5+C16</f>
        <v>0</v>
      </c>
      <c r="D18" s="21">
        <f>MAX((D5+D16),0)</f>
        <v>597.58311800000001</v>
      </c>
      <c r="E18" s="21">
        <f>MAX((E5+E16),0)</f>
        <v>162.40226371215405</v>
      </c>
      <c r="F18" s="21">
        <f>MAX((F5+F16),0)</f>
        <v>642.77694185093117</v>
      </c>
      <c r="G18" s="21"/>
      <c r="H18" s="21"/>
      <c r="I18" s="21"/>
      <c r="J18" s="21">
        <f>MAX((J5+J16),0)</f>
        <v>7.6245603726004338</v>
      </c>
      <c r="K18" s="21"/>
      <c r="L18" s="21">
        <f>MAX((L5+L16),0)</f>
        <v>0</v>
      </c>
      <c r="M18" s="21"/>
      <c r="N18" s="21">
        <f>MAX((N5+N16),0)</f>
        <v>191.93662823098572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0.19117902435250347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276.64713662148495</v>
      </c>
      <c r="C22" s="23">
        <f ca="1">C18*C20</f>
        <v>0</v>
      </c>
      <c r="D22" s="23">
        <f>D18*D20</f>
        <v>120.71178983600001</v>
      </c>
      <c r="E22" s="23">
        <f>E18*E20</f>
        <v>36.865313862658972</v>
      </c>
      <c r="F22" s="23">
        <f>F18*F20</f>
        <v>171.62144347419863</v>
      </c>
      <c r="G22" s="23"/>
      <c r="H22" s="23"/>
      <c r="I22" s="23"/>
      <c r="J22" s="23">
        <f>J18*J20</f>
        <v>2.6990943719005536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30.771999999999998</v>
      </c>
      <c r="C30" s="39">
        <f>IF(ISERROR(B30*3.6/1000000/'E Balans VL '!Z18*100),0,B30*3.6/1000000/'E Balans VL '!Z18*100)</f>
        <v>6.5199270657076555E-3</v>
      </c>
      <c r="D30" s="237" t="s">
        <v>659</v>
      </c>
    </row>
    <row r="31" spans="1:18">
      <c r="A31" s="6" t="s">
        <v>32</v>
      </c>
      <c r="B31" s="37">
        <f>IF( ISERROR(IND_ander_ele_kWh/1000),0,IND_ander_ele_kWh/1000)</f>
        <v>562.87</v>
      </c>
      <c r="C31" s="39">
        <f>IF(ISERROR(B31*3.6/1000000/'E Balans VL '!Z19*100),0,B31*3.6/1000000/'E Balans VL '!Z19*100)</f>
        <v>2.3692476389285216E-2</v>
      </c>
      <c r="D31" s="237" t="s">
        <v>659</v>
      </c>
    </row>
    <row r="32" spans="1:18">
      <c r="A32" s="171" t="s">
        <v>40</v>
      </c>
      <c r="B32" s="37">
        <f>IF( ISERROR(IND_voed_ele_kWh/1000),0,IND_voed_ele_kWh/1000)</f>
        <v>320.05099999999999</v>
      </c>
      <c r="C32" s="39">
        <f>IF(ISERROR(B32*3.6/1000000/'E Balans VL '!Z20*100),0,B32*3.6/1000000/'E Balans VL '!Z20*100)</f>
        <v>5.3468140678015856E-2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426.90100000000001</v>
      </c>
      <c r="C34" s="39">
        <f>IF(ISERROR(B34*3.6/1000000/'E Balans VL '!Z22*100),0,B34*3.6/1000000/'E Balans VL '!Z22*100)</f>
        <v>5.4112004020293342E-2</v>
      </c>
      <c r="D34" s="237" t="s">
        <v>659</v>
      </c>
    </row>
    <row r="35" spans="1:5">
      <c r="A35" s="171" t="s">
        <v>38</v>
      </c>
      <c r="B35" s="37">
        <f>IF( ISERROR(IND_papier_ele_kWh/1000),0,IND_papier_ele_kWh/1000)</f>
        <v>106.464</v>
      </c>
      <c r="C35" s="39">
        <f>IF(ISERROR(B35*3.6/1000000/'E Balans VL '!Z22*100),0,B35*3.6/1000000/'E Balans VL '!Z22*100)</f>
        <v>1.3494886158656242E-2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802.99099999999999</v>
      </c>
      <c r="C5" s="17">
        <f>'Eigen informatie GS &amp; warmtenet'!B60</f>
        <v>0</v>
      </c>
      <c r="D5" s="30">
        <f>IF(ISERROR(SUM(LB_lb_gas_kWh,LB_rest_gas_kWh)/1000),0,SUM(LB_lb_gas_kWh,LB_rest_gas_kWh)/1000)*0.902</f>
        <v>118.75551599999999</v>
      </c>
      <c r="E5" s="17">
        <f>B17*'E Balans VL '!I25/3.6*1000000/100</f>
        <v>20.706054761015206</v>
      </c>
      <c r="F5" s="17">
        <f>B17*('E Balans VL '!L25/3.6*1000000+'E Balans VL '!N25/3.6*1000000)/100</f>
        <v>2935.0850272074267</v>
      </c>
      <c r="G5" s="18"/>
      <c r="H5" s="17"/>
      <c r="I5" s="17"/>
      <c r="J5" s="17">
        <f>('E Balans VL '!D25+'E Balans VL '!E25)/3.6*1000000*landbouw!B17/100</f>
        <v>115.60116464544943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802.99099999999999</v>
      </c>
      <c r="C8" s="21">
        <f>C5+C6</f>
        <v>0</v>
      </c>
      <c r="D8" s="21">
        <f>MAX((D5+D6),0)</f>
        <v>118.75551599999999</v>
      </c>
      <c r="E8" s="21">
        <f>MAX((E5+E6),0)</f>
        <v>20.706054761015206</v>
      </c>
      <c r="F8" s="21">
        <f>MAX((F5+F6),0)</f>
        <v>2935.0850272074267</v>
      </c>
      <c r="G8" s="21"/>
      <c r="H8" s="21"/>
      <c r="I8" s="21"/>
      <c r="J8" s="21">
        <f>MAX((J5+J6),0)</f>
        <v>115.60116464544943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0.19117902435250347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153.51503594384113</v>
      </c>
      <c r="C12" s="23">
        <f ca="1">C8*C10</f>
        <v>0</v>
      </c>
      <c r="D12" s="23">
        <f>D8*D10</f>
        <v>23.988614232</v>
      </c>
      <c r="E12" s="23">
        <f>E8*E10</f>
        <v>4.7002744307504516</v>
      </c>
      <c r="F12" s="23">
        <f>F8*F10</f>
        <v>783.66770226438302</v>
      </c>
      <c r="G12" s="23"/>
      <c r="H12" s="23"/>
      <c r="I12" s="23"/>
      <c r="J12" s="23">
        <f>J8*J10</f>
        <v>40.922812284489098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0.11322704989311914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182.41010853432419</v>
      </c>
      <c r="C26" s="247">
        <f>B26*'GWP N2O_CH4'!B5</f>
        <v>3830.612279220808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38.229351827028864</v>
      </c>
      <c r="C27" s="247">
        <f>B27*'GWP N2O_CH4'!B5</f>
        <v>802.81638836760612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2.669326273440904</v>
      </c>
      <c r="C28" s="247">
        <f>B28*'GWP N2O_CH4'!B4</f>
        <v>827.49114476668024</v>
      </c>
      <c r="D28" s="50"/>
    </row>
    <row r="29" spans="1:4">
      <c r="A29" s="41" t="s">
        <v>276</v>
      </c>
      <c r="B29" s="247">
        <f>B34*'ha_N2O bodem landbouw'!B4</f>
        <v>15.326799482429374</v>
      </c>
      <c r="C29" s="247">
        <f>B29*'GWP N2O_CH4'!B4</f>
        <v>4751.3078395531056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3.4493627660585327E-3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5.2026721632765052E-5</v>
      </c>
      <c r="C5" s="437" t="s">
        <v>210</v>
      </c>
      <c r="D5" s="422">
        <f>SUM(D6:D11)</f>
        <v>1.1527357866772862E-4</v>
      </c>
      <c r="E5" s="422">
        <f>SUM(E6:E11)</f>
        <v>5.0876553441540082E-4</v>
      </c>
      <c r="F5" s="435" t="s">
        <v>210</v>
      </c>
      <c r="G5" s="422">
        <f>SUM(G6:G11)</f>
        <v>0.20566044972777373</v>
      </c>
      <c r="H5" s="422">
        <f>SUM(H6:H11)</f>
        <v>3.9075145237613323E-2</v>
      </c>
      <c r="I5" s="437" t="s">
        <v>210</v>
      </c>
      <c r="J5" s="437" t="s">
        <v>210</v>
      </c>
      <c r="K5" s="437" t="s">
        <v>210</v>
      </c>
      <c r="L5" s="437" t="s">
        <v>210</v>
      </c>
      <c r="M5" s="422">
        <f>SUM(M6:M11)</f>
        <v>7.6411457538136107E-3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3.4992483955015351E-5</v>
      </c>
      <c r="C6" s="423"/>
      <c r="D6" s="865">
        <f>vkm_GW_PW*SUMIFS(TableVerdeelsleutelVkm[CNG],TableVerdeelsleutelVkm[Voertuigtype],"Lichte voertuigen")*SUMIFS(TableECFTransport[EnergieConsumptieFactor (PJ per km)],TableECFTransport[Index],CONCATENATE($A6,"_CNG_CNG"))</f>
        <v>6.308013450388592E-5</v>
      </c>
      <c r="E6" s="865">
        <f>vkm_GW_PW*SUMIFS(TableVerdeelsleutelVkm[LPG],TableVerdeelsleutelVkm[Voertuigtype],"Lichte voertuigen")*SUMIFS(TableECFTransport[EnergieConsumptieFactor (PJ per km)],TableECFTransport[Index],CONCATENATE($A6,"_LPG_LPG"))</f>
        <v>2.8495985745999037E-4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7.7850644107173073E-2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2.1658867869953836E-2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3.0983072419571854E-3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5.3891979109588976E-2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9.7247080421977326E-7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1.695444683792629E-3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1.7034237677749701E-5</v>
      </c>
      <c r="C8" s="423"/>
      <c r="D8" s="425">
        <f>vkm_NGW_PW*SUMIFS(TableVerdeelsleutelVkm[CNG],TableVerdeelsleutelVkm[Voertuigtype],"Lichte voertuigen")*SUMIFS(TableECFTransport[EnergieConsumptieFactor (PJ per km)],TableECFTransport[Index],CONCATENATE($A8,"_CNG_CNG"))</f>
        <v>5.2193444163842702E-5</v>
      </c>
      <c r="E8" s="425">
        <f>vkm_NGW_PW*SUMIFS(TableVerdeelsleutelVkm[LPG],TableVerdeelsleutelVkm[Voertuigtype],"Lichte voertuigen")*SUMIFS(TableECFTransport[EnergieConsumptieFactor (PJ per km)],TableECFTransport[Index],CONCATENATE($A8,"_LPG_LPG"))</f>
        <v>2.2380567695541045E-4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5.7411231005625521E-2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1.7414937202655106E-2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2.3280933150295917E-3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1.6506595505386169E-2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3.6769420015574175E-7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5.1930051303420495E-4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14.451867120212516</v>
      </c>
      <c r="C14" s="21"/>
      <c r="D14" s="21">
        <f t="shared" ref="D14:M14" si="0">((D5)*10^9/3600)+D12</f>
        <v>32.020438518813506</v>
      </c>
      <c r="E14" s="21">
        <f t="shared" si="0"/>
        <v>141.32375955983355</v>
      </c>
      <c r="F14" s="21"/>
      <c r="G14" s="21">
        <f t="shared" si="0"/>
        <v>57127.902702159365</v>
      </c>
      <c r="H14" s="21">
        <f t="shared" si="0"/>
        <v>10854.207010448145</v>
      </c>
      <c r="I14" s="21"/>
      <c r="J14" s="21"/>
      <c r="K14" s="21"/>
      <c r="L14" s="21"/>
      <c r="M14" s="21">
        <f t="shared" si="0"/>
        <v>2122.5404871704472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0.19117902435250347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2.7628938561142529</v>
      </c>
      <c r="C18" s="23"/>
      <c r="D18" s="23">
        <f t="shared" ref="D18:M18" si="1">D14*D16</f>
        <v>6.4681285808003288</v>
      </c>
      <c r="E18" s="23">
        <f t="shared" si="1"/>
        <v>32.080493420082213</v>
      </c>
      <c r="F18" s="23"/>
      <c r="G18" s="23">
        <f t="shared" si="1"/>
        <v>15253.150021476551</v>
      </c>
      <c r="H18" s="23">
        <f t="shared" si="1"/>
        <v>2702.697545601588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1.3098072485162562E-2</v>
      </c>
      <c r="H50" s="319">
        <f t="shared" si="2"/>
        <v>0</v>
      </c>
      <c r="I50" s="319">
        <f t="shared" si="2"/>
        <v>0</v>
      </c>
      <c r="J50" s="319">
        <f t="shared" si="2"/>
        <v>0</v>
      </c>
      <c r="K50" s="319">
        <f t="shared" si="2"/>
        <v>0</v>
      </c>
      <c r="L50" s="319">
        <f t="shared" si="2"/>
        <v>0</v>
      </c>
      <c r="M50" s="319">
        <f t="shared" si="2"/>
        <v>4.0576004030344528E-4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1.3098072485162562E-2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4.0576004030344528E-4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3638.3534681007118</v>
      </c>
      <c r="H54" s="21">
        <f t="shared" si="3"/>
        <v>0</v>
      </c>
      <c r="I54" s="21">
        <f t="shared" si="3"/>
        <v>0</v>
      </c>
      <c r="J54" s="21">
        <f t="shared" si="3"/>
        <v>0</v>
      </c>
      <c r="K54" s="21">
        <f t="shared" si="3"/>
        <v>0</v>
      </c>
      <c r="L54" s="21">
        <f t="shared" si="3"/>
        <v>0</v>
      </c>
      <c r="M54" s="21">
        <f t="shared" si="3"/>
        <v>112.71112230651258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0.19117902435250347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971.44037598289015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5164.4144291242646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814.5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5978.9144291242646</v>
      </c>
      <c r="C10" s="557">
        <f t="shared" ref="C10:L10" si="0">SUM(C8:C9)</f>
        <v>0</v>
      </c>
      <c r="D10" s="557">
        <f t="shared" si="0"/>
        <v>0</v>
      </c>
      <c r="E10" s="557">
        <f t="shared" si="0"/>
        <v>0</v>
      </c>
      <c r="F10" s="557">
        <f t="shared" si="0"/>
        <v>0</v>
      </c>
      <c r="G10" s="557">
        <f t="shared" si="0"/>
        <v>0</v>
      </c>
      <c r="H10" s="557">
        <f t="shared" si="0"/>
        <v>0</v>
      </c>
      <c r="I10" s="557">
        <f t="shared" si="0"/>
        <v>0</v>
      </c>
      <c r="J10" s="557">
        <f t="shared" si="0"/>
        <v>2327.1428571428573</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24066</v>
      </c>
      <c r="C35" s="770">
        <v>3210</v>
      </c>
      <c r="D35" s="629" t="s">
        <v>896</v>
      </c>
      <c r="E35" s="629" t="s">
        <v>897</v>
      </c>
      <c r="F35" s="629" t="s">
        <v>898</v>
      </c>
      <c r="G35" s="629" t="s">
        <v>899</v>
      </c>
      <c r="H35" s="629" t="s">
        <v>900</v>
      </c>
      <c r="I35" s="629" t="s">
        <v>901</v>
      </c>
      <c r="J35" s="769">
        <v>34344</v>
      </c>
      <c r="K35" s="769">
        <v>37803</v>
      </c>
      <c r="L35" s="629" t="s">
        <v>902</v>
      </c>
      <c r="M35" s="629">
        <v>181</v>
      </c>
      <c r="N35" s="629">
        <v>814.5</v>
      </c>
      <c r="O35" s="629">
        <v>0</v>
      </c>
      <c r="P35" s="629">
        <v>0</v>
      </c>
      <c r="Q35" s="629">
        <v>0</v>
      </c>
      <c r="R35" s="629">
        <v>2327.1428571428573</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181</v>
      </c>
      <c r="N36" s="584">
        <f>SUM(N35:N35)</f>
        <v>814.5</v>
      </c>
      <c r="O36" s="584">
        <f>SUM(O35:O35)</f>
        <v>0</v>
      </c>
      <c r="P36" s="584">
        <f>SUM(P35:P35)</f>
        <v>0</v>
      </c>
      <c r="Q36" s="584">
        <f>SUM(Q35:Q35)</f>
        <v>0</v>
      </c>
      <c r="R36" s="584">
        <f>SUM(R35:R35)</f>
        <v>2327.1428571428573</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181</v>
      </c>
      <c r="N38" s="584">
        <f>SUMIF($Z$35:$Z$36,"tertiair",N35:N36)</f>
        <v>814.5</v>
      </c>
      <c r="O38" s="584">
        <f>SUMIF($Z$35:$Z$36,"tertiair",O35:O36)</f>
        <v>0</v>
      </c>
      <c r="P38" s="584">
        <f>SUMIF($Z$35:$Z$36,"tertiair",P35:P36)</f>
        <v>0</v>
      </c>
      <c r="Q38" s="584">
        <f>SUMIF($Z$35:$Z$36,"tertiair",Q35:Q36)</f>
        <v>0</v>
      </c>
      <c r="R38" s="584">
        <f>SUMIF($Z$35:$Z$36,"tertiair",R35:R36)</f>
        <v>2327.1428571428573</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2020-06-20T15:54:14Z</dcterms:modified>
</cp:coreProperties>
</file>