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6" i="18"/>
  <c r="D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8" i="18" s="1"/>
  <c r="D49" i="18"/>
  <c r="I50" i="18"/>
  <c r="H17" i="18" s="1"/>
  <c r="H20" i="18" s="1"/>
  <c r="C50" i="18"/>
  <c r="G50" i="18"/>
  <c r="I17" i="18" s="1"/>
  <c r="B50" i="18"/>
  <c r="C17" i="18" s="1"/>
  <c r="D87" i="14" s="1"/>
  <c r="D17" i="59" s="1"/>
  <c r="D20" i="59" s="1"/>
  <c r="F50" i="18"/>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76" i="14"/>
  <c r="D8" i="59" s="1"/>
  <c r="D10" i="59" s="1"/>
  <c r="C10" i="18"/>
  <c r="J17" i="18"/>
  <c r="J8" i="18"/>
  <c r="F87" i="14"/>
  <c r="E20" i="18"/>
  <c r="E1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N63" i="14"/>
  <c r="O15" i="48"/>
  <c r="J5" i="48"/>
  <c r="J23" i="48" s="1"/>
  <c r="K10"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J33" i="48"/>
  <c r="J15" i="48"/>
  <c r="E8" i="48"/>
  <c r="E26" i="48" s="1"/>
  <c r="F13" i="14"/>
  <c r="F16" i="14" s="1"/>
  <c r="F27" i="14" s="1"/>
  <c r="J22" i="16"/>
  <c r="K43" i="14" s="1"/>
  <c r="K46" i="14" s="1"/>
  <c r="K61" i="14" s="1"/>
  <c r="J8" i="48"/>
  <c r="J26" i="48" s="1"/>
  <c r="K13" i="14"/>
  <c r="K16" i="14" s="1"/>
  <c r="K27" i="14" s="1"/>
  <c r="E22" i="16"/>
  <c r="F43" i="14" s="1"/>
  <c r="F46" i="14" s="1"/>
  <c r="F61" i="14" s="1"/>
  <c r="F63" i="14" s="1"/>
  <c r="G33" i="48"/>
  <c r="N8" i="48"/>
  <c r="N26" i="48" s="1"/>
  <c r="O13" i="14"/>
  <c r="N22" i="16"/>
  <c r="O43" i="14" s="1"/>
  <c r="G13" i="14"/>
  <c r="F8" i="48"/>
  <c r="E15" i="48" l="1"/>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<sst xmlns="http://schemas.openxmlformats.org/spreadsheetml/2006/main" count="2432" uniqueCount="912">
  <si>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</si>
  <si>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</si>
  <si>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</si>
  <si>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</si>
  <si>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</si>
  <si>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</si>
  <si>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</si>
  <si>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</si>
  <si>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</si>
  <si>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</si>
  <si>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</si>
  <si>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</si>
  <si>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</si>
  <si>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</si>
  <si>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</si>
  <si>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</si>
  <si>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</si>
  <si>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</si>
  <si>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</si>
  <si>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</si>
  <si>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</si>
  <si>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</si>
  <si>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</si>
  <si>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</si>
  <si>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</si>
  <si>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</si>
  <si>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</si>
  <si>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</si>
  <si>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</si>
  <si>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</si>
  <si>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</si>
  <si>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</si>
  <si>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</si>
  <si>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</si>
  <si>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</si>
  <si>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</si>
  <si>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</si>
  <si>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</si>
  <si>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</si>
  <si>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</si>
  <si>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</si>
  <si>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</si>
  <si>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</si>
  <si>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</si>
  <si>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</si>
  <si>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</si>
  <si>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</si>
  <si>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</si>
  <si>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</si>
  <si>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</si>
  <si>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</si>
  <si>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</si>
  <si>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</si>
  <si>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</si>
  <si>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</si>
  <si>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</si>
  <si>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</si>
  <si>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</si>
  <si>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</si>
  <si>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</si>
  <si>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</si>
  <si>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</si>
  <si>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</si>
  <si>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</si>
  <si>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</si>
  <si>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</si>
  <si>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</si>
  <si>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</si>
  <si>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</si>
  <si>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</si>
  <si>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</si>
  <si>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</si>
  <si>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</si>
  <si>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</si>
  <si>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</si>
  <si>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</si>
  <si>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</si>
  <si>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</si>
  <si>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</si>
  <si>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</si>
  <si>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</si>
  <si>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</si>
  <si>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</si>
  <si>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</si>
  <si>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</si>
  <si>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</si>
  <si>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</si>
  <si>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</si>
  <si>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</si>
  <si>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</si>
  <si>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</si>
  <si>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</si>
  <si>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</si>
  <si>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</si>
  <si>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</si>
  <si>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</si>
  <si>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</si>
  <si>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</si>
  <si>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</si>
  <si>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</si>
  <si>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</si>
  <si>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</si>
  <si>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</si>
  <si>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</si>
  <si>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</si>
  <si>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</si>
  <si>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</si>
  <si>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</si>
  <si>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</si>
  <si>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</si>
  <si>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</si>
  <si>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</si>
  <si>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</si>
  <si>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</si>
  <si>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</si>
  <si>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</si>
  <si>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</si>
  <si>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</si>
  <si>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</si>
  <si>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</si>
  <si>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</si>
  <si>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</si>
  <si>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</si>
  <si>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</si>
  <si>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</si>
  <si>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</si>
  <si>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</si>
  <si>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</si>
  <si>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</si>
  <si>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</si>
  <si>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</si>
  <si>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</si>
  <si>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</si>
  <si>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</si>
  <si>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</si>
  <si>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</si>
  <si>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</si>
  <si>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</si>
  <si>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</si>
  <si>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</si>
  <si>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</si>
  <si>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</si>
  <si>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</si>
  <si>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</si>
  <si>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</si>
  <si>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</si>
  <si>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</si>
  <si>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</si>
  <si>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</si>
  <si>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</si>
  <si>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</si>
  <si>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</si>
  <si>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</si>
  <si>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</si>
  <si>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</si>
  <si>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</si>
  <si>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</si>
  <si>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</si>
  <si>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</si>
  <si>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</si>
  <si>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</si>
  <si>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</si>
  <si>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</si>
  <si>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</si>
  <si>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</si>
  <si>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</si>
  <si>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</si>
  <si>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</si>
  <si>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</si>
  <si>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</si>
  <si>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</si>
  <si>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</si>
  <si>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</si>
  <si>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</si>
  <si>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</si>
  <si>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</si>
  <si>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</si>
  <si>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</si>
  <si>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</si>
  <si>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</si>
  <si>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</si>
  <si>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</si>
  <si>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</si>
  <si>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</si>
  <si>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</si>
  <si>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</si>
  <si>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</si>
  <si>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</si>
  <si>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</si>
  <si>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</si>
  <si>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</si>
  <si>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</si>
  <si>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</si>
  <si>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</si>
  <si>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</si>
  <si>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</si>
  <si>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</si>
  <si>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</si>
  <si>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</si>
  <si>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</si>
  <si>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</si>
  <si>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</si>
  <si>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</si>
  <si>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</si>
  <si>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</si>
  <si>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</si>
  <si>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</si>
  <si>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</si>
  <si>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</si>
  <si>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</si>
  <si>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</si>
  <si>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</si>
  <si>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</si>
  <si>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</si>
  <si>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</si>
  <si>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</si>
  <si>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</si>
  <si>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</si>
  <si>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</si>
  <si>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</si>
  <si>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</si>
  <si>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</si>
  <si>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</si>
  <si>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</si>
  <si>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</si>
  <si>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</si>
  <si>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</si>
  <si>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</si>
  <si>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</si>
  <si>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</si>
  <si>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</si>
  <si>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</si>
  <si>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</si>
  <si>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</si>
  <si>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</si>
  <si>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</si>
  <si>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</si>
  <si>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</si>
  <si>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</si>
  <si>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</si>
  <si>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</si>
  <si>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</si>
  <si>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</si>
  <si>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</si>
  <si>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</si>
  <si>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</si>
  <si>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</si>
  <si>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</si>
  <si>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</si>
  <si>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</si>
  <si>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</si>
  <si>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</si>
  <si>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</si>
  <si>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</si>
  <si>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</si>
  <si>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</si>
  <si>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</si>
  <si>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</si>
  <si>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</si>
  <si>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</si>
  <si>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</si>
  <si>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</si>
  <si>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</si>
  <si>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</si>
  <si>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</si>
  <si>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</si>
  <si>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</si>
  <si>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</si>
  <si>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</si>
  <si>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</si>
  <si>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</si>
  <si>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</si>
  <si>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</si>
  <si>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</si>
  <si>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</si>
  <si>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</si>
  <si>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</si>
  <si>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</si>
  <si>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</si>
  <si>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</si>
  <si>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</si>
  <si>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</si>
  <si>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</si>
  <si>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</si>
  <si>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</si>
  <si>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</si>
  <si>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</si>
  <si>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</si>
  <si>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</si>
  <si>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</si>
  <si>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</si>
  <si>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</si>
  <si>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</si>
  <si>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</si>
  <si>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</si>
  <si>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</si>
  <si>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</si>
  <si>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</si>
  <si>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</si>
  <si>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</si>
  <si>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</si>
  <si>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</si>
  <si>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</si>
  <si>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</si>
  <si>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</si>
  <si>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</si>
  <si>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</si>
  <si>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</si>
  <si>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</si>
  <si>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</si>
  <si>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</si>
  <si>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</si>
  <si>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</si>
  <si>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</si>
  <si>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</si>
  <si>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</si>
  <si>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</si>
  <si>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</si>
  <si>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</si>
  <si>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</si>
  <si>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</si>
  <si>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</si>
  <si>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</si>
  <si>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</si>
  <si>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</si>
  <si>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</si>
  <si>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</si>
  <si>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</si>
  <si>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</si>
  <si>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</si>
  <si>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</si>
  <si>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</si>
  <si>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</si>
  <si>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</si>
  <si>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</si>
  <si>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</si>
  <si>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</si>
  <si>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</si>
  <si>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</si>
  <si>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</si>
  <si>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</si>
  <si>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</si>
  <si>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</si>
  <si>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</si>
  <si>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</si>
  <si>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</si>
  <si>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</si>
  <si>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</si>
  <si>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</si>
  <si>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</si>
  <si>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</si>
  <si>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</si>
  <si>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</si>
  <si>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</si>
  <si>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</si>
  <si>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</si>
  <si>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</si>
  <si>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</si>
  <si>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</si>
  <si>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</si>
  <si>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</si>
  <si>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</si>
  <si>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</si>
  <si>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</si>
  <si>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</si>
  <si>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</si>
  <si>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</si>
  <si>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</si>
  <si>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</si>
  <si>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</si>
  <si>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</si>
  <si>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</si>
  <si>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</si>
  <si>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</si>
  <si>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</si>
  <si>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</si>
  <si>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</si>
  <si>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</si>
  <si>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</si>
  <si>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</si>
  <si>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</si>
  <si>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</si>
  <si>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</si>
  <si>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</si>
  <si>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</si>
  <si>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</si>
  <si>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</si>
  <si>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</si>
  <si>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</si>
  <si>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</si>
  <si>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</si>
  <si>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</si>
  <si>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</si>
  <si>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</si>
  <si>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</si>
  <si>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</si>
  <si>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</si>
  <si>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</si>
  <si>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</si>
  <si>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</si>
  <si>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</si>
  <si>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</si>
  <si>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</si>
  <si>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</si>
  <si>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</si>
  <si>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</si>
  <si>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</si>
  <si>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</si>
  <si>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</si>
  <si>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</si>
  <si>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</si>
  <si>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</si>
  <si>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</si>
  <si>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</si>
  <si>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</si>
  <si>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</si>
  <si>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</si>
  <si>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</si>
  <si>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</si>
  <si>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</si>
  <si>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</si>
  <si>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</si>
  <si>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</si>
  <si>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</si>
  <si>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</si>
  <si>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</si>
  <si>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</si>
  <si>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</si>
  <si>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</si>
  <si>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</si>
  <si>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</si>
  <si>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</si>
  <si>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</si>
  <si>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</si>
  <si>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</si>
  <si>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</si>
  <si>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</si>
  <si>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</si>
  <si>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</si>
  <si>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</si>
  <si>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</si>
  <si>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</si>
  <si>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</si>
  <si>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</si>
  <si>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</si>
  <si>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</si>
  <si>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</si>
  <si>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</si>
  <si>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</si>
  <si>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</si>
  <si>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</si>
  <si>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</si>
  <si>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</si>
  <si>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</si>
  <si>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</si>
  <si>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</si>
  <si>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</si>
  <si>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</si>
  <si>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</si>
  <si>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</si>
  <si>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</si>
  <si>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</si>
  <si>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</si>
  <si>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</si>
  <si>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</si>
  <si>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</si>
  <si>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</si>
  <si>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</si>
  <si>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</si>
  <si>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</si>
  <si>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</si>
  <si>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</si>
  <si>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</si>
  <si>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</si>
  <si>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</si>
  <si>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</si>
  <si>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</si>
  <si>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</si>
  <si>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</si>
  <si>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</si>
  <si>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</si>
  <si>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</si>
  <si>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</si>
  <si>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</si>
  <si>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</si>
  <si>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</si>
  <si>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</si>
  <si>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</si>
  <si>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</si>
  <si>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</si>
  <si>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</si>
  <si>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</si>
  <si>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</si>
  <si>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</si>
  <si>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</si>
  <si>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</si>
  <si>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</si>
  <si>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</si>
  <si>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</si>
  <si>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</si>
  <si>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</si>
  <si>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</si>
  <si>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</si>
  <si>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</si>
  <si>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</si>
  <si>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</si>
  <si>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</si>
  <si>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</si>
  <si>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</si>
  <si>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</si>
  <si>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</si>
  <si>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</si>
  <si>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</si>
  <si>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</si>
  <si>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</si>
  <si>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</si>
  <si>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</si>
  <si>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</si>
  <si>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</si>
  <si>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</si>
  <si>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</si>
  <si>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</si>
  <si>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</si>
  <si>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</si>
  <si>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</si>
  <si>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</si>
  <si>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</si>
  <si>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</si>
  <si>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</si>
  <si>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</si>
  <si>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</si>
  <si>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</si>
  <si>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</si>
  <si>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</si>
  <si>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</si>
  <si>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</si>
  <si>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</si>
  <si>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</si>
  <si>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</si>
  <si>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</si>
  <si>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</si>
  <si>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</si>
  <si>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</si>
  <si>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</si>
  <si>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</si>
  <si>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</si>
  <si>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</si>
  <si>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</si>
  <si>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</si>
  <si>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</si>
  <si>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</si>
  <si>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</si>
  <si>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</si>
  <si>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</si>
  <si>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</si>
  <si>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</si>
  <si>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</si>
  <si>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</si>
  <si>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</si>
  <si>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</si>
  <si>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</si>
  <si>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</si>
  <si>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</si>
  <si>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</si>
  <si>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</si>
  <si>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</si>
  <si>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</si>
  <si>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</si>
  <si>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</si>
  <si>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</si>
  <si>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</si>
  <si>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</si>
  <si>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</si>
  <si>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</si>
  <si>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</si>
  <si>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</si>
  <si>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</si>
  <si>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</si>
  <si>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</si>
  <si>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</si>
  <si>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</si>
  <si>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</si>
  <si>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</si>
  <si>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</si>
  <si>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</si>
  <si>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</si>
  <si>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</si>
  <si>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</si>
  <si>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</si>
  <si>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</si>
  <si>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</si>
  <si>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</si>
  <si>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</si>
  <si>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</si>
  <si>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</si>
  <si>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</si>
  <si>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</si>
  <si>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</si>
  <si>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</si>
  <si>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</si>
  <si>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</si>
  <si>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</si>
  <si>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</si>
  <si>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</si>
  <si>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</si>
  <si>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</si>
  <si>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</si>
  <si>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</si>
  <si>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</si>
  <si>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</si>
  <si>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</si>
  <si>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</si>
  <si>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</si>
  <si>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</si>
  <si>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</si>
  <si>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</si>
  <si>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</si>
  <si>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</si>
  <si>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</si>
  <si>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</si>
  <si>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</si>
  <si>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</si>
  <si>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</si>
  <si>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</si>
  <si>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</si>
  <si>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</si>
  <si>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</si>
  <si>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</si>
  <si>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</si>
  <si>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</si>
  <si>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</si>
  <si>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</si>
  <si>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</si>
  <si>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</si>
  <si>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</si>
  <si>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</si>
  <si>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</si>
  <si>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</si>
  <si>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</si>
  <si>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</si>
  <si>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</si>
  <si>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</si>
  <si>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</si>
  <si>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</si>
  <si>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</si>
  <si>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</si>
  <si>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</si>
  <si>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</si>
  <si>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</si>
  <si>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</si>
  <si>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</si>
  <si>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</si>
  <si>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</si>
  <si>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</si>
  <si>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</si>
  <si>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</si>
  <si>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</si>
  <si>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</si>
  <si>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</si>
  <si>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</si>
  <si>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</si>
  <si>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</si>
  <si>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</si>
  <si>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</si>
  <si>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</si>
  <si>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</si>
  <si>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</si>
  <si>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</si>
  <si>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</si>
  <si>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</si>
  <si>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</si>
  <si>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</si>
  <si>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</si>
  <si>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</si>
  <si>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</si>
  <si>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</si>
  <si>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</si>
  <si>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</si>
  <si>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</si>
  <si>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</si>
  <si>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</si>
  <si>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</si>
  <si>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</si>
  <si>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</si>
  <si>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</si>
  <si>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</si>
  <si>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</si>
  <si>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</si>
  <si>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</si>
  <si>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</si>
  <si>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</si>
  <si>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</si>
  <si>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</si>
  <si>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</si>
  <si>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</si>
  <si>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</si>
  <si>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</si>
  <si>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</si>
  <si>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</si>
  <si>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</si>
  <si>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</si>
  <si>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</si>
  <si>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</si>
  <si>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</si>
  <si>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</si>
  <si>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</si>
  <si>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</si>
  <si>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</si>
  <si>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</si>
  <si>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</si>
  <si>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</si>
  <si>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</si>
  <si>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</si>
  <si>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</si>
  <si>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</si>
  <si>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</si>
  <si>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</si>
  <si>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</si>
  <si>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</si>
  <si>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</si>
  <si>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</si>
  <si>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</si>
  <si>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</si>
  <si>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</si>
  <si>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</si>
  <si>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</si>
  <si>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</si>
  <si>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</si>
  <si>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</si>
  <si>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</si>
  <si>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</si>
  <si>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</si>
  <si>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</si>
  <si>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</si>
  <si>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</si>
  <si>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</si>
  <si>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</si>
  <si>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</si>
  <si>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</si>
  <si>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</si>
  <si>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</si>
  <si>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</si>
  <si>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</si>
  <si>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</si>
  <si>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</si>
  <si>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</si>
  <si>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</si>
  <si>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</si>
  <si>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</si>
  <si>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</si>
  <si>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</si>
  <si>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</si>
  <si>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</si>
  <si>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</si>
  <si>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</si>
  <si>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</si>
  <si>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</si>
  <si>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</si>
  <si>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</si>
  <si>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</si>
  <si>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</si>
  <si>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</si>
  <si>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</si>
  <si>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</si>
  <si>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</si>
  <si>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</si>
  <si>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</si>
  <si>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</si>
  <si>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</si>
  <si>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</si>
  <si>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</si>
  <si>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</si>
  <si>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</si>
  <si>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</si>
  <si>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</si>
  <si>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</si>
  <si>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</si>
  <si>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</si>
  <si>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</si>
  <si>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</si>
  <si>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</si>
  <si>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</si>
  <si>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</si>
  <si>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</si>
  <si>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</si>
  <si>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</si>
  <si>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</si>
  <si>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</si>
  <si>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</si>
  <si>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</si>
  <si>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</si>
  <si>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</si>
  <si>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</si>
  <si>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</si>
  <si>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</si>
  <si>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</si>
  <si>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</si>
  <si>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</si>
  <si>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</si>
  <si>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</si>
  <si>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</si>
  <si>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</si>
  <si>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</si>
  <si>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</si>
  <si>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</si>
  <si>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</si>
  <si>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</si>
  <si>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</si>
  <si>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</si>
  <si>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</si>
  <si>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</si>
  <si>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</si>
  <si>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</si>
  <si>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</si>
  <si>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</si>
  <si>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</si>
  <si>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</si>
  <si>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</si>
  <si>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</si>
  <si>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</si>
  <si>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</si>
  <si>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</si>
  <si>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</si>
  <si>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</si>
  <si>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</si>
  <si>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</si>
  <si>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</si>
  <si>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</si>
  <si>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</si>
  <si>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</si>
  <si>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</si>
  <si>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</si>
  <si>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</si>
  <si>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</si>
  <si>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</si>
  <si>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</si>
  <si>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</si>
  <si>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</si>
  <si>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</si>
  <si>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</si>
  <si>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</si>
  <si>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</si>
  <si>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</si>
  <si>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</si>
  <si>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</si>
  <si>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</si>
  <si>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</si>
  <si>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</si>
  <si>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</si>
  <si>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</si>
  <si>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</si>
  <si>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</si>
  <si>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</si>
  <si>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</si>
  <si>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</si>
  <si>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</si>
  <si>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</si>
  <si>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</si>
  <si>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</si>
  <si>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</si>
  <si>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</si>
  <si>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</si>
  <si>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</si>
  <si>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</si>
  <si>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</si>
  <si>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</si>
  <si>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</si>
  <si>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</si>
  <si>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</si>
  <si>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</si>
  <si>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</si>
  <si>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</si>
  <si>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</si>
  <si>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</si>
  <si>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</si>
  <si>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</si>
  <si>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</si>
  <si>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</si>
  <si>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</si>
  <si>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</si>
  <si>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</si>
  <si>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</si>
  <si>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</si>
  <si>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</si>
  <si>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</si>
  <si>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</si>
  <si>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</si>
  <si>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</si>
  <si>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</si>
  <si>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</si>
  <si>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24062</t>
  </si>
  <si>
    <t>LEUVEN</t>
  </si>
  <si>
    <t>Paarden&amp;pony's 200 - 600 kg</t>
  </si>
  <si>
    <t>Paarden&amp;pony's &lt; 200 kg</t>
  </si>
  <si>
    <t>Fluvius</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</si>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</sst>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713714.65165915177</c:v>
                </c:pt>
                <c:pt idx="1">
                  <c:v>1125084.6223856919</c:v>
                </c:pt>
                <c:pt idx="2">
                  <c:v>5450.1369999999997</c:v>
                </c:pt>
                <c:pt idx="3">
                  <c:v>9180.792122872439</c:v>
                </c:pt>
                <c:pt idx="4">
                  <c:v>284219.83495212806</c:v>
                </c:pt>
                <c:pt idx="5">
                  <c:v>592036.94959654496</c:v>
                </c:pt>
                <c:pt idx="6">
                  <c:v>24582.665727714208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713714.65165915177</c:v>
                </c:pt>
                <c:pt idx="1">
                  <c:v>1125084.6223856919</c:v>
                </c:pt>
                <c:pt idx="2">
                  <c:v>5450.1369999999997</c:v>
                </c:pt>
                <c:pt idx="3">
                  <c:v>9180.792122872439</c:v>
                </c:pt>
                <c:pt idx="4">
                  <c:v>284219.83495212806</c:v>
                </c:pt>
                <c:pt idx="5">
                  <c:v>592036.94959654496</c:v>
                </c:pt>
                <c:pt idx="6">
                  <c:v>24582.665727714208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149823.11697108299</c:v>
                </c:pt>
                <c:pt idx="2">
                  <c:v>240611.5123239005</c:v>
                </c:pt>
                <c:pt idx="3">
                  <c:v>1182.0175714319807</c:v>
                </c:pt>
                <c:pt idx="4">
                  <c:v>2283.7961649822437</c:v>
                </c:pt>
                <c:pt idx="5">
                  <c:v>59203.472724695603</c:v>
                </c:pt>
                <c:pt idx="6">
                  <c:v>151439.82398976688</c:v>
                </c:pt>
                <c:pt idx="7">
                  <c:v>6366.3510615795249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149823.11697108299</c:v>
                </c:pt>
                <c:pt idx="2">
                  <c:v>240611.5123239005</c:v>
                </c:pt>
                <c:pt idx="3">
                  <c:v>1182.0175714319807</c:v>
                </c:pt>
                <c:pt idx="4">
                  <c:v>2283.7961649822437</c:v>
                </c:pt>
                <c:pt idx="5">
                  <c:v>59203.472724695603</c:v>
                </c:pt>
                <c:pt idx="6">
                  <c:v>151439.82398976688</c:v>
                </c:pt>
                <c:pt idx="7">
                  <c:v>6366.3510615795249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24062</v>
      </c>
      <c r="B6" s="390"/>
      <c r="C6" s="391"/>
    </row>
    <row r="7" spans="1:7" s="388" customFormat="1" ht="15.75" customHeight="1">
      <c r="A7" s="392" t="str">
        <f>txtMunicipality</f>
        <v>LEUVEN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462807.18750123336</v>
      </c>
      <c r="D10" s="978">
        <f ca="1">tertiair!C16</f>
        <v>61.443211068211077</v>
      </c>
      <c r="E10" s="978">
        <f ca="1">tertiair!D16</f>
        <v>482969.7339289785</v>
      </c>
      <c r="F10" s="978">
        <f>tertiair!E16</f>
        <v>11001.065819829573</v>
      </c>
      <c r="G10" s="978">
        <f ca="1">tertiair!F16</f>
        <v>154864.7257499072</v>
      </c>
      <c r="H10" s="978">
        <f>tertiair!G16</f>
        <v>0</v>
      </c>
      <c r="I10" s="978">
        <f>tertiair!H16</f>
        <v>0</v>
      </c>
      <c r="J10" s="978">
        <f>tertiair!I16</f>
        <v>0</v>
      </c>
      <c r="K10" s="978">
        <f>tertiair!J16</f>
        <v>0</v>
      </c>
      <c r="L10" s="978">
        <f>tertiair!K16</f>
        <v>0</v>
      </c>
      <c r="M10" s="978">
        <f ca="1">tertiair!L16</f>
        <v>0</v>
      </c>
      <c r="N10" s="978">
        <f>tertiair!M16</f>
        <v>0</v>
      </c>
      <c r="O10" s="978">
        <f ca="1">tertiair!N16</f>
        <v>18455.829841341878</v>
      </c>
      <c r="P10" s="978">
        <f>tertiair!O16</f>
        <v>12.506666666666668</v>
      </c>
      <c r="Q10" s="979">
        <f>tertiair!P16</f>
        <v>362.26666666666665</v>
      </c>
      <c r="R10" s="674">
        <f ca="1">SUM(C10:Q10)</f>
        <v>1130534.759385692</v>
      </c>
      <c r="S10" s="67"/>
    </row>
    <row r="11" spans="1:19" s="447" customFormat="1">
      <c r="A11" s="783" t="s">
        <v>224</v>
      </c>
      <c r="B11" s="788"/>
      <c r="C11" s="978">
        <f>huishoudens!B8</f>
        <v>143953.02691618324</v>
      </c>
      <c r="D11" s="978">
        <f>huishoudens!C8</f>
        <v>0</v>
      </c>
      <c r="E11" s="978">
        <f>huishoudens!D8</f>
        <v>384405.39151611633</v>
      </c>
      <c r="F11" s="978">
        <f>huishoudens!E8</f>
        <v>59598.875681440681</v>
      </c>
      <c r="G11" s="978">
        <f>huishoudens!F8</f>
        <v>102711.4818614963</v>
      </c>
      <c r="H11" s="978">
        <f>huishoudens!G8</f>
        <v>0</v>
      </c>
      <c r="I11" s="978">
        <f>huishoudens!H8</f>
        <v>0</v>
      </c>
      <c r="J11" s="978">
        <f>huishoudens!I8</f>
        <v>0</v>
      </c>
      <c r="K11" s="978">
        <f>huishoudens!J8</f>
        <v>0</v>
      </c>
      <c r="L11" s="978">
        <f>huishoudens!K8</f>
        <v>0</v>
      </c>
      <c r="M11" s="978">
        <f>huishoudens!L8</f>
        <v>0</v>
      </c>
      <c r="N11" s="978">
        <f>huishoudens!M8</f>
        <v>0</v>
      </c>
      <c r="O11" s="978">
        <f>huishoudens!N8</f>
        <v>20181.252350581824</v>
      </c>
      <c r="P11" s="978">
        <f>huishoudens!O8</f>
        <v>786.35666666666668</v>
      </c>
      <c r="Q11" s="979">
        <f>huishoudens!P8</f>
        <v>2078.2666666666664</v>
      </c>
      <c r="R11" s="674">
        <f>SUM(C11:Q11)</f>
        <v>713714.65165915177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108937.70702449301</v>
      </c>
      <c r="D13" s="978">
        <f>industrie!C18</f>
        <v>0</v>
      </c>
      <c r="E13" s="978">
        <f>industrie!D18</f>
        <v>102644.12245342771</v>
      </c>
      <c r="F13" s="978">
        <f>industrie!E18</f>
        <v>11614.266717315522</v>
      </c>
      <c r="G13" s="978">
        <f>industrie!F18</f>
        <v>45176.627519323243</v>
      </c>
      <c r="H13" s="978">
        <f>industrie!G18</f>
        <v>0</v>
      </c>
      <c r="I13" s="978">
        <f>industrie!H18</f>
        <v>0</v>
      </c>
      <c r="J13" s="978">
        <f>industrie!I18</f>
        <v>0</v>
      </c>
      <c r="K13" s="978">
        <f>industrie!J18</f>
        <v>408.23367954454733</v>
      </c>
      <c r="L13" s="978">
        <f>industrie!K18</f>
        <v>0</v>
      </c>
      <c r="M13" s="978">
        <f>industrie!L18</f>
        <v>0</v>
      </c>
      <c r="N13" s="978">
        <f>industrie!M18</f>
        <v>0</v>
      </c>
      <c r="O13" s="978">
        <f>industrie!N18</f>
        <v>15438.877558024011</v>
      </c>
      <c r="P13" s="978">
        <f>industrie!O18</f>
        <v>0</v>
      </c>
      <c r="Q13" s="979">
        <f>industrie!P18</f>
        <v>0</v>
      </c>
      <c r="R13" s="674">
        <f>SUM(C13:Q13)</f>
        <v>284219.83495212806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715697.92144190962</v>
      </c>
      <c r="D16" s="706">
        <f t="shared" ref="D16:R16" ca="1" si="0">SUM(D9:D15)</f>
        <v>61.443211068211077</v>
      </c>
      <c r="E16" s="706">
        <f t="shared" ca="1" si="0"/>
        <v>970019.24789852265</v>
      </c>
      <c r="F16" s="706">
        <f t="shared" si="0"/>
        <v>82214.208218585773</v>
      </c>
      <c r="G16" s="706">
        <f t="shared" ca="1" si="0"/>
        <v>302752.83513072674</v>
      </c>
      <c r="H16" s="706">
        <f t="shared" si="0"/>
        <v>0</v>
      </c>
      <c r="I16" s="706">
        <f t="shared" si="0"/>
        <v>0</v>
      </c>
      <c r="J16" s="706">
        <f t="shared" si="0"/>
        <v>0</v>
      </c>
      <c r="K16" s="706">
        <f t="shared" si="0"/>
        <v>408.23367954454733</v>
      </c>
      <c r="L16" s="706">
        <f t="shared" si="0"/>
        <v>0</v>
      </c>
      <c r="M16" s="706">
        <f t="shared" ca="1" si="0"/>
        <v>0</v>
      </c>
      <c r="N16" s="706">
        <f t="shared" si="0"/>
        <v>0</v>
      </c>
      <c r="O16" s="706">
        <f t="shared" ca="1" si="0"/>
        <v>54075.959749947717</v>
      </c>
      <c r="P16" s="706">
        <f t="shared" si="0"/>
        <v>798.86333333333334</v>
      </c>
      <c r="Q16" s="706">
        <f t="shared" si="0"/>
        <v>2440.5333333333328</v>
      </c>
      <c r="R16" s="706">
        <f t="shared" ca="1" si="0"/>
        <v>2128469.2459969716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23844.011466589978</v>
      </c>
      <c r="I19" s="978">
        <f>transport!H54</f>
        <v>0</v>
      </c>
      <c r="J19" s="978">
        <f>transport!I54</f>
        <v>0</v>
      </c>
      <c r="K19" s="978">
        <f>transport!J54</f>
        <v>0</v>
      </c>
      <c r="L19" s="978">
        <f>transport!K54</f>
        <v>0</v>
      </c>
      <c r="M19" s="978">
        <f>transport!L54</f>
        <v>0</v>
      </c>
      <c r="N19" s="978">
        <f>transport!M54</f>
        <v>738.65426112423029</v>
      </c>
      <c r="O19" s="978">
        <f>transport!N54</f>
        <v>0</v>
      </c>
      <c r="P19" s="978">
        <f>transport!O54</f>
        <v>0</v>
      </c>
      <c r="Q19" s="979">
        <f>transport!P54</f>
        <v>0</v>
      </c>
      <c r="R19" s="674">
        <f>SUM(C19:Q19)</f>
        <v>24582.665727714208</v>
      </c>
      <c r="S19" s="67"/>
    </row>
    <row r="20" spans="1:19" s="447" customFormat="1">
      <c r="A20" s="783" t="s">
        <v>306</v>
      </c>
      <c r="B20" s="788"/>
      <c r="C20" s="978">
        <f>transport!B14</f>
        <v>140.32928418437479</v>
      </c>
      <c r="D20" s="978">
        <f>transport!C14</f>
        <v>0</v>
      </c>
      <c r="E20" s="978">
        <f>transport!D14</f>
        <v>284.30985430438778</v>
      </c>
      <c r="F20" s="978">
        <f>transport!E14</f>
        <v>1423.7083487778864</v>
      </c>
      <c r="G20" s="978">
        <f>transport!F14</f>
        <v>0</v>
      </c>
      <c r="H20" s="978">
        <f>transport!G14</f>
        <v>473245.90980850923</v>
      </c>
      <c r="I20" s="978">
        <f>transport!H14</f>
        <v>99084.81638399775</v>
      </c>
      <c r="J20" s="978">
        <f>transport!I14</f>
        <v>0</v>
      </c>
      <c r="K20" s="978">
        <f>transport!J14</f>
        <v>0</v>
      </c>
      <c r="L20" s="978">
        <f>transport!K14</f>
        <v>0</v>
      </c>
      <c r="M20" s="978">
        <f>transport!L14</f>
        <v>0</v>
      </c>
      <c r="N20" s="978">
        <f>transport!M14</f>
        <v>17857.87591677134</v>
      </c>
      <c r="O20" s="978">
        <f>transport!N14</f>
        <v>0</v>
      </c>
      <c r="P20" s="978">
        <f>transport!O14</f>
        <v>0</v>
      </c>
      <c r="Q20" s="979">
        <f>transport!P14</f>
        <v>0</v>
      </c>
      <c r="R20" s="674">
        <f>SUM(C20:Q20)</f>
        <v>592036.94959654496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140.32928418437479</v>
      </c>
      <c r="D22" s="786">
        <f t="shared" ref="D22:R22" si="1">SUM(D18:D21)</f>
        <v>0</v>
      </c>
      <c r="E22" s="786">
        <f t="shared" si="1"/>
        <v>284.30985430438778</v>
      </c>
      <c r="F22" s="786">
        <f t="shared" si="1"/>
        <v>1423.7083487778864</v>
      </c>
      <c r="G22" s="786">
        <f t="shared" si="1"/>
        <v>0</v>
      </c>
      <c r="H22" s="786">
        <f t="shared" si="1"/>
        <v>497089.92127509922</v>
      </c>
      <c r="I22" s="786">
        <f t="shared" si="1"/>
        <v>99084.81638399775</v>
      </c>
      <c r="J22" s="786">
        <f t="shared" si="1"/>
        <v>0</v>
      </c>
      <c r="K22" s="786">
        <f t="shared" si="1"/>
        <v>0</v>
      </c>
      <c r="L22" s="786">
        <f t="shared" si="1"/>
        <v>0</v>
      </c>
      <c r="M22" s="786">
        <f t="shared" si="1"/>
        <v>0</v>
      </c>
      <c r="N22" s="786">
        <f t="shared" si="1"/>
        <v>18596.530177895569</v>
      </c>
      <c r="O22" s="786">
        <f t="shared" si="1"/>
        <v>0</v>
      </c>
      <c r="P22" s="786">
        <f t="shared" si="1"/>
        <v>0</v>
      </c>
      <c r="Q22" s="786">
        <f t="shared" si="1"/>
        <v>0</v>
      </c>
      <c r="R22" s="786">
        <f t="shared" si="1"/>
        <v>616619.61532425915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1561.0442388200001</v>
      </c>
      <c r="D24" s="978">
        <f>+landbouw!C8</f>
        <v>0</v>
      </c>
      <c r="E24" s="978">
        <f>+landbouw!D8</f>
        <v>1648.84762273814</v>
      </c>
      <c r="F24" s="978">
        <f>+landbouw!E8</f>
        <v>40.253337202252858</v>
      </c>
      <c r="G24" s="978">
        <f>+landbouw!F8</f>
        <v>5705.9139793210579</v>
      </c>
      <c r="H24" s="978">
        <f>+landbouw!G8</f>
        <v>0</v>
      </c>
      <c r="I24" s="978">
        <f>+landbouw!H8</f>
        <v>0</v>
      </c>
      <c r="J24" s="978">
        <f>+landbouw!I8</f>
        <v>0</v>
      </c>
      <c r="K24" s="978">
        <f>+landbouw!J8</f>
        <v>224.73294479098905</v>
      </c>
      <c r="L24" s="978">
        <f>+landbouw!K8</f>
        <v>0</v>
      </c>
      <c r="M24" s="978">
        <f>+landbouw!L8</f>
        <v>0</v>
      </c>
      <c r="N24" s="978">
        <f>+landbouw!M8</f>
        <v>0</v>
      </c>
      <c r="O24" s="978">
        <f>+landbouw!N8</f>
        <v>0</v>
      </c>
      <c r="P24" s="978">
        <f>+landbouw!O8</f>
        <v>0</v>
      </c>
      <c r="Q24" s="979">
        <f>+landbouw!P8</f>
        <v>0</v>
      </c>
      <c r="R24" s="674">
        <f>SUM(C24:Q24)</f>
        <v>9180.792122872439</v>
      </c>
      <c r="S24" s="67"/>
    </row>
    <row r="25" spans="1:19" s="447" customFormat="1" ht="15" thickBot="1">
      <c r="A25" s="805" t="s">
        <v>834</v>
      </c>
      <c r="B25" s="981"/>
      <c r="C25" s="982">
        <f>IF(Onbekend_ele_kWh="---",0,Onbekend_ele_kWh)/1000+IF(REST_rest_ele_kWh="---",0,REST_rest_ele_kWh)/1000</f>
        <v>10736.428586</v>
      </c>
      <c r="D25" s="982"/>
      <c r="E25" s="982">
        <f>IF(onbekend_gas_kWh="---",0,onbekend_gas_kWh)/1000+IF(REST_rest_gas_kWh="---",0,REST_rest_gas_kWh)/1000</f>
        <v>34658.249220999998</v>
      </c>
      <c r="F25" s="982"/>
      <c r="G25" s="982"/>
      <c r="H25" s="982"/>
      <c r="I25" s="982"/>
      <c r="J25" s="982"/>
      <c r="K25" s="982"/>
      <c r="L25" s="982"/>
      <c r="M25" s="982"/>
      <c r="N25" s="982"/>
      <c r="O25" s="982"/>
      <c r="P25" s="982"/>
      <c r="Q25" s="983"/>
      <c r="R25" s="674">
        <f>SUM(C25:Q25)</f>
        <v>45394.677807</v>
      </c>
      <c r="S25" s="67"/>
    </row>
    <row r="26" spans="1:19" s="447" customFormat="1" ht="15.75" thickBot="1">
      <c r="A26" s="679" t="s">
        <v>835</v>
      </c>
      <c r="B26" s="791"/>
      <c r="C26" s="786">
        <f>SUM(C24:C25)</f>
        <v>12297.472824820001</v>
      </c>
      <c r="D26" s="786">
        <f t="shared" ref="D26:R26" si="2">SUM(D24:D25)</f>
        <v>0</v>
      </c>
      <c r="E26" s="786">
        <f t="shared" si="2"/>
        <v>36307.096843738138</v>
      </c>
      <c r="F26" s="786">
        <f t="shared" si="2"/>
        <v>40.253337202252858</v>
      </c>
      <c r="G26" s="786">
        <f t="shared" si="2"/>
        <v>5705.9139793210579</v>
      </c>
      <c r="H26" s="786">
        <f t="shared" si="2"/>
        <v>0</v>
      </c>
      <c r="I26" s="786">
        <f t="shared" si="2"/>
        <v>0</v>
      </c>
      <c r="J26" s="786">
        <f t="shared" si="2"/>
        <v>0</v>
      </c>
      <c r="K26" s="786">
        <f t="shared" si="2"/>
        <v>224.73294479098905</v>
      </c>
      <c r="L26" s="786">
        <f t="shared" si="2"/>
        <v>0</v>
      </c>
      <c r="M26" s="786">
        <f t="shared" si="2"/>
        <v>0</v>
      </c>
      <c r="N26" s="786">
        <f t="shared" si="2"/>
        <v>0</v>
      </c>
      <c r="O26" s="786">
        <f t="shared" si="2"/>
        <v>0</v>
      </c>
      <c r="P26" s="786">
        <f t="shared" si="2"/>
        <v>0</v>
      </c>
      <c r="Q26" s="786">
        <f t="shared" si="2"/>
        <v>0</v>
      </c>
      <c r="R26" s="786">
        <f t="shared" si="2"/>
        <v>54575.469929872437</v>
      </c>
      <c r="S26" s="67"/>
    </row>
    <row r="27" spans="1:19" s="447" customFormat="1" ht="17.25" thickTop="1" thickBot="1">
      <c r="A27" s="680" t="s">
        <v>115</v>
      </c>
      <c r="B27" s="779"/>
      <c r="C27" s="681">
        <f ca="1">C22+C16+C26</f>
        <v>728135.72355091397</v>
      </c>
      <c r="D27" s="681">
        <f t="shared" ref="D27:R27" ca="1" si="3">D22+D16+D26</f>
        <v>61.443211068211077</v>
      </c>
      <c r="E27" s="681">
        <f t="shared" ca="1" si="3"/>
        <v>1006610.6545965652</v>
      </c>
      <c r="F27" s="681">
        <f t="shared" si="3"/>
        <v>83678.169904565919</v>
      </c>
      <c r="G27" s="681">
        <f t="shared" ca="1" si="3"/>
        <v>308458.74911004782</v>
      </c>
      <c r="H27" s="681">
        <f t="shared" si="3"/>
        <v>497089.92127509922</v>
      </c>
      <c r="I27" s="681">
        <f t="shared" si="3"/>
        <v>99084.81638399775</v>
      </c>
      <c r="J27" s="681">
        <f t="shared" si="3"/>
        <v>0</v>
      </c>
      <c r="K27" s="681">
        <f t="shared" si="3"/>
        <v>632.96662433553638</v>
      </c>
      <c r="L27" s="681">
        <f t="shared" si="3"/>
        <v>0</v>
      </c>
      <c r="M27" s="681">
        <f t="shared" ca="1" si="3"/>
        <v>0</v>
      </c>
      <c r="N27" s="681">
        <f t="shared" si="3"/>
        <v>18596.530177895569</v>
      </c>
      <c r="O27" s="681">
        <f t="shared" ca="1" si="3"/>
        <v>54075.959749947717</v>
      </c>
      <c r="P27" s="681">
        <f t="shared" si="3"/>
        <v>798.86333333333334</v>
      </c>
      <c r="Q27" s="681">
        <f t="shared" si="3"/>
        <v>2440.5333333333328</v>
      </c>
      <c r="R27" s="681">
        <f t="shared" ca="1" si="3"/>
        <v>2799664.3312511034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100372.93150823058</v>
      </c>
      <c r="D40" s="978">
        <f ca="1">tertiair!C20</f>
        <v>14.588417121695903</v>
      </c>
      <c r="E40" s="978">
        <f ca="1">tertiair!D20</f>
        <v>97559.886253653662</v>
      </c>
      <c r="F40" s="978">
        <f>tertiair!E20</f>
        <v>2497.2419411013134</v>
      </c>
      <c r="G40" s="978">
        <f ca="1">tertiair!F20</f>
        <v>41348.881775225222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241793.52989533247</v>
      </c>
    </row>
    <row r="41" spans="1:18">
      <c r="A41" s="796" t="s">
        <v>224</v>
      </c>
      <c r="B41" s="803"/>
      <c r="C41" s="978">
        <f ca="1">huishoudens!B12</f>
        <v>31220.317448120935</v>
      </c>
      <c r="D41" s="978">
        <f ca="1">huishoudens!C12</f>
        <v>0</v>
      </c>
      <c r="E41" s="978">
        <f>huishoudens!D12</f>
        <v>77649.889086255498</v>
      </c>
      <c r="F41" s="978">
        <f>huishoudens!E12</f>
        <v>13528.944779687035</v>
      </c>
      <c r="G41" s="978">
        <f>huishoudens!F12</f>
        <v>27423.965657019515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149823.11697108299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23626.247174054501</v>
      </c>
      <c r="D43" s="978">
        <f ca="1">industrie!C22</f>
        <v>0</v>
      </c>
      <c r="E43" s="978">
        <f>industrie!D22</f>
        <v>20734.1127355924</v>
      </c>
      <c r="F43" s="978">
        <f>industrie!E22</f>
        <v>2636.4385448306239</v>
      </c>
      <c r="G43" s="978">
        <f>industrie!F22</f>
        <v>12062.159547659307</v>
      </c>
      <c r="H43" s="978">
        <f>industrie!G22</f>
        <v>0</v>
      </c>
      <c r="I43" s="978">
        <f>industrie!H22</f>
        <v>0</v>
      </c>
      <c r="J43" s="978">
        <f>industrie!I22</f>
        <v>0</v>
      </c>
      <c r="K43" s="978">
        <f>industrie!J22</f>
        <v>144.51472255876973</v>
      </c>
      <c r="L43" s="978">
        <f>industrie!K22</f>
        <v>0</v>
      </c>
      <c r="M43" s="978">
        <f>industrie!L22</f>
        <v>0</v>
      </c>
      <c r="N43" s="978">
        <f>industrie!M22</f>
        <v>0</v>
      </c>
      <c r="O43" s="978">
        <f>industrie!N22</f>
        <v>0</v>
      </c>
      <c r="P43" s="978">
        <f>industrie!O22</f>
        <v>0</v>
      </c>
      <c r="Q43" s="748">
        <f>industrie!P22</f>
        <v>0</v>
      </c>
      <c r="R43" s="823">
        <f t="shared" ca="1" si="4"/>
        <v>59203.472724695603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155219.49613040601</v>
      </c>
      <c r="D46" s="706">
        <f t="shared" ref="D46:Q46" ca="1" si="5">SUM(D39:D45)</f>
        <v>14.588417121695903</v>
      </c>
      <c r="E46" s="706">
        <f t="shared" ca="1" si="5"/>
        <v>195943.88807550157</v>
      </c>
      <c r="F46" s="706">
        <f t="shared" si="5"/>
        <v>18662.625265618972</v>
      </c>
      <c r="G46" s="706">
        <f t="shared" ca="1" si="5"/>
        <v>80835.00697990405</v>
      </c>
      <c r="H46" s="706">
        <f t="shared" si="5"/>
        <v>0</v>
      </c>
      <c r="I46" s="706">
        <f t="shared" si="5"/>
        <v>0</v>
      </c>
      <c r="J46" s="706">
        <f t="shared" si="5"/>
        <v>0</v>
      </c>
      <c r="K46" s="706">
        <f t="shared" si="5"/>
        <v>144.51472255876973</v>
      </c>
      <c r="L46" s="706">
        <f t="shared" si="5"/>
        <v>0</v>
      </c>
      <c r="M46" s="706">
        <f t="shared" ca="1" si="5"/>
        <v>0</v>
      </c>
      <c r="N46" s="706">
        <f t="shared" si="5"/>
        <v>0</v>
      </c>
      <c r="O46" s="706">
        <f t="shared" ca="1" si="5"/>
        <v>0</v>
      </c>
      <c r="P46" s="706">
        <f t="shared" si="5"/>
        <v>0</v>
      </c>
      <c r="Q46" s="706">
        <f t="shared" si="5"/>
        <v>0</v>
      </c>
      <c r="R46" s="706">
        <f ca="1">SUM(R39:R45)</f>
        <v>450820.11959111108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6366.3510615795249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6366.3510615795249</v>
      </c>
    </row>
    <row r="50" spans="1:18">
      <c r="A50" s="799" t="s">
        <v>306</v>
      </c>
      <c r="B50" s="809"/>
      <c r="C50" s="677">
        <f ca="1">transport!B18</f>
        <v>30.434405537402633</v>
      </c>
      <c r="D50" s="677">
        <f>transport!C18</f>
        <v>0</v>
      </c>
      <c r="E50" s="677">
        <f>transport!D18</f>
        <v>57.430590569486334</v>
      </c>
      <c r="F50" s="677">
        <f>transport!E18</f>
        <v>323.18179517258022</v>
      </c>
      <c r="G50" s="677">
        <f>transport!F18</f>
        <v>0</v>
      </c>
      <c r="H50" s="677">
        <f>transport!G18</f>
        <v>126356.65791887198</v>
      </c>
      <c r="I50" s="677">
        <f>transport!H18</f>
        <v>24672.119279615439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151439.82398976688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30.434405537402633</v>
      </c>
      <c r="D52" s="706">
        <f t="shared" ref="D52:Q52" ca="1" si="6">SUM(D48:D51)</f>
        <v>0</v>
      </c>
      <c r="E52" s="706">
        <f t="shared" si="6"/>
        <v>57.430590569486334</v>
      </c>
      <c r="F52" s="706">
        <f t="shared" si="6"/>
        <v>323.18179517258022</v>
      </c>
      <c r="G52" s="706">
        <f t="shared" si="6"/>
        <v>0</v>
      </c>
      <c r="H52" s="706">
        <f t="shared" si="6"/>
        <v>132723.0089804515</v>
      </c>
      <c r="I52" s="706">
        <f t="shared" si="6"/>
        <v>24672.119279615439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157806.17505134642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338.5569427094955</v>
      </c>
      <c r="D54" s="677">
        <f ca="1">+landbouw!C12</f>
        <v>0</v>
      </c>
      <c r="E54" s="677">
        <f>+landbouw!D12</f>
        <v>333.0672197931043</v>
      </c>
      <c r="F54" s="677">
        <f>+landbouw!E12</f>
        <v>9.1375075449113989</v>
      </c>
      <c r="G54" s="677">
        <f>+landbouw!F12</f>
        <v>1523.4790324787225</v>
      </c>
      <c r="H54" s="677">
        <f>+landbouw!G12</f>
        <v>0</v>
      </c>
      <c r="I54" s="677">
        <f>+landbouw!H12</f>
        <v>0</v>
      </c>
      <c r="J54" s="677">
        <f>+landbouw!I12</f>
        <v>0</v>
      </c>
      <c r="K54" s="677">
        <f>+landbouw!J12</f>
        <v>79.555462456010119</v>
      </c>
      <c r="L54" s="677">
        <f>+landbouw!K12</f>
        <v>0</v>
      </c>
      <c r="M54" s="677">
        <f>+landbouw!L12</f>
        <v>0</v>
      </c>
      <c r="N54" s="677">
        <f>+landbouw!M12</f>
        <v>0</v>
      </c>
      <c r="O54" s="677">
        <f>+landbouw!N12</f>
        <v>0</v>
      </c>
      <c r="P54" s="677">
        <f>+landbouw!O12</f>
        <v>0</v>
      </c>
      <c r="Q54" s="678">
        <f>+landbouw!P12</f>
        <v>0</v>
      </c>
      <c r="R54" s="705">
        <f ca="1">SUM(C54:Q54)</f>
        <v>2283.7961649822437</v>
      </c>
    </row>
    <row r="55" spans="1:18" ht="15" thickBot="1">
      <c r="A55" s="799" t="s">
        <v>834</v>
      </c>
      <c r="B55" s="809"/>
      <c r="C55" s="677">
        <f ca="1">C25*'EF ele_warmte'!B12</f>
        <v>2328.5005942193043</v>
      </c>
      <c r="D55" s="677"/>
      <c r="E55" s="677">
        <f>E25*EF_CO2_aardgas</f>
        <v>7000.9663426420002</v>
      </c>
      <c r="F55" s="677"/>
      <c r="G55" s="677"/>
      <c r="H55" s="677"/>
      <c r="I55" s="677"/>
      <c r="J55" s="677"/>
      <c r="K55" s="677"/>
      <c r="L55" s="677"/>
      <c r="M55" s="677"/>
      <c r="N55" s="677"/>
      <c r="O55" s="677"/>
      <c r="P55" s="677"/>
      <c r="Q55" s="678"/>
      <c r="R55" s="705">
        <f ca="1">SUM(C55:Q55)</f>
        <v>9329.4669368613049</v>
      </c>
    </row>
    <row r="56" spans="1:18" ht="15.75" thickBot="1">
      <c r="A56" s="797" t="s">
        <v>835</v>
      </c>
      <c r="B56" s="810"/>
      <c r="C56" s="706">
        <f ca="1">SUM(C54:C55)</f>
        <v>2667.0575369287999</v>
      </c>
      <c r="D56" s="706">
        <f t="shared" ref="D56:Q56" ca="1" si="7">SUM(D54:D55)</f>
        <v>0</v>
      </c>
      <c r="E56" s="706">
        <f t="shared" si="7"/>
        <v>7334.0335624351046</v>
      </c>
      <c r="F56" s="706">
        <f t="shared" si="7"/>
        <v>9.1375075449113989</v>
      </c>
      <c r="G56" s="706">
        <f t="shared" si="7"/>
        <v>1523.4790324787225</v>
      </c>
      <c r="H56" s="706">
        <f t="shared" si="7"/>
        <v>0</v>
      </c>
      <c r="I56" s="706">
        <f t="shared" si="7"/>
        <v>0</v>
      </c>
      <c r="J56" s="706">
        <f t="shared" si="7"/>
        <v>0</v>
      </c>
      <c r="K56" s="706">
        <f t="shared" si="7"/>
        <v>79.555462456010119</v>
      </c>
      <c r="L56" s="706">
        <f t="shared" si="7"/>
        <v>0</v>
      </c>
      <c r="M56" s="706">
        <f t="shared" si="7"/>
        <v>0</v>
      </c>
      <c r="N56" s="706">
        <f t="shared" si="7"/>
        <v>0</v>
      </c>
      <c r="O56" s="706">
        <f t="shared" si="7"/>
        <v>0</v>
      </c>
      <c r="P56" s="706">
        <f t="shared" si="7"/>
        <v>0</v>
      </c>
      <c r="Q56" s="707">
        <f t="shared" si="7"/>
        <v>0</v>
      </c>
      <c r="R56" s="708">
        <f ca="1">SUM(R54:R55)</f>
        <v>11613.26310184355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157916.98807287222</v>
      </c>
      <c r="D61" s="714">
        <f t="shared" ref="D61:Q61" ca="1" si="8">D46+D52+D56</f>
        <v>14.588417121695903</v>
      </c>
      <c r="E61" s="714">
        <f t="shared" ca="1" si="8"/>
        <v>203335.35222850615</v>
      </c>
      <c r="F61" s="714">
        <f t="shared" si="8"/>
        <v>18994.944568336461</v>
      </c>
      <c r="G61" s="714">
        <f t="shared" ca="1" si="8"/>
        <v>82358.486012382768</v>
      </c>
      <c r="H61" s="714">
        <f t="shared" si="8"/>
        <v>132723.0089804515</v>
      </c>
      <c r="I61" s="714">
        <f t="shared" si="8"/>
        <v>24672.119279615439</v>
      </c>
      <c r="J61" s="714">
        <f t="shared" si="8"/>
        <v>0</v>
      </c>
      <c r="K61" s="714">
        <f t="shared" si="8"/>
        <v>224.07018501477984</v>
      </c>
      <c r="L61" s="714">
        <f t="shared" si="8"/>
        <v>0</v>
      </c>
      <c r="M61" s="714">
        <f t="shared" ca="1" si="8"/>
        <v>0</v>
      </c>
      <c r="N61" s="714">
        <f t="shared" si="8"/>
        <v>0</v>
      </c>
      <c r="O61" s="714">
        <f t="shared" ca="1" si="8"/>
        <v>0</v>
      </c>
      <c r="P61" s="714">
        <f t="shared" si="8"/>
        <v>0</v>
      </c>
      <c r="Q61" s="714">
        <f t="shared" si="8"/>
        <v>0</v>
      </c>
      <c r="R61" s="714">
        <f ca="1">R46+R52+R56</f>
        <v>620239.55774430104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0.21687850625259161</v>
      </c>
      <c r="D63" s="755">
        <f t="shared" ca="1" si="9"/>
        <v>0.23742927604321648</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12178.413699820223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43.00833333333334</v>
      </c>
      <c r="D76" s="999">
        <f>'lokale energieproductie'!C8</f>
        <v>50.551670530488465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10.211437447158671</v>
      </c>
      <c r="R76" s="826">
        <v>0</v>
      </c>
    </row>
    <row r="77" spans="1:18" ht="30.75" thickBot="1">
      <c r="A77" s="727" t="s">
        <v>352</v>
      </c>
      <c r="B77" s="724">
        <f>'lokale energieproductie'!B9*IFERROR(SUM(I77:O77)/SUM(D77:O77),0)</f>
        <v>1404</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4011.4285714285716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13582.413699820223</v>
      </c>
      <c r="C78" s="729">
        <f>SUM(C72:C77)</f>
        <v>43.00833333333334</v>
      </c>
      <c r="D78" s="730">
        <f t="shared" ref="D78:H78" si="10">SUM(D76:D77)</f>
        <v>50.551670530488465</v>
      </c>
      <c r="E78" s="730">
        <f t="shared" si="10"/>
        <v>0</v>
      </c>
      <c r="F78" s="730">
        <f t="shared" si="10"/>
        <v>0</v>
      </c>
      <c r="G78" s="730">
        <f t="shared" si="10"/>
        <v>0</v>
      </c>
      <c r="H78" s="730">
        <f t="shared" si="10"/>
        <v>0</v>
      </c>
      <c r="I78" s="730">
        <f>SUM(I76:I77)</f>
        <v>0</v>
      </c>
      <c r="J78" s="730">
        <f>SUM(J76:J77)</f>
        <v>4011.4285714285716</v>
      </c>
      <c r="K78" s="730">
        <f t="shared" ref="K78:L78" si="11">SUM(K76:K77)</f>
        <v>0</v>
      </c>
      <c r="L78" s="730">
        <f t="shared" si="11"/>
        <v>0</v>
      </c>
      <c r="M78" s="730">
        <f>SUM(M76:M77)</f>
        <v>0</v>
      </c>
      <c r="N78" s="730">
        <f>SUM(N76:N77)</f>
        <v>0</v>
      </c>
      <c r="O78" s="834">
        <f>SUM(O76:O77)</f>
        <v>0</v>
      </c>
      <c r="P78" s="731">
        <v>0</v>
      </c>
      <c r="Q78" s="731">
        <f>SUM(Q76:Q77)</f>
        <v>10.211437447158671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61.443211068211077</v>
      </c>
      <c r="D87" s="751">
        <f>'lokale energieproductie'!C17</f>
        <v>72.219886741068819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14.588417121695903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61.443211068211077</v>
      </c>
      <c r="D90" s="729">
        <f t="shared" ref="D90:H90" si="12">SUM(D87:D89)</f>
        <v>72.219886741068819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14.588417121695903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143953.02691618324</v>
      </c>
      <c r="C4" s="451">
        <f>huishoudens!C8</f>
        <v>0</v>
      </c>
      <c r="D4" s="451">
        <f>huishoudens!D8</f>
        <v>384405.39151611633</v>
      </c>
      <c r="E4" s="451">
        <f>huishoudens!E8</f>
        <v>59598.875681440681</v>
      </c>
      <c r="F4" s="451">
        <f>huishoudens!F8</f>
        <v>102711.4818614963</v>
      </c>
      <c r="G4" s="451">
        <f>huishoudens!G8</f>
        <v>0</v>
      </c>
      <c r="H4" s="451">
        <f>huishoudens!H8</f>
        <v>0</v>
      </c>
      <c r="I4" s="451">
        <f>huishoudens!I8</f>
        <v>0</v>
      </c>
      <c r="J4" s="451">
        <f>huishoudens!J8</f>
        <v>0</v>
      </c>
      <c r="K4" s="451">
        <f>huishoudens!K8</f>
        <v>0</v>
      </c>
      <c r="L4" s="451">
        <f>huishoudens!L8</f>
        <v>0</v>
      </c>
      <c r="M4" s="451">
        <f>huishoudens!M8</f>
        <v>0</v>
      </c>
      <c r="N4" s="451">
        <f>huishoudens!N8</f>
        <v>20181.252350581824</v>
      </c>
      <c r="O4" s="451">
        <f>huishoudens!O8</f>
        <v>786.35666666666668</v>
      </c>
      <c r="P4" s="452">
        <f>huishoudens!P8</f>
        <v>2078.2666666666664</v>
      </c>
      <c r="Q4" s="453">
        <f>SUM(B4:P4)</f>
        <v>713714.65165915177</v>
      </c>
    </row>
    <row r="5" spans="1:17">
      <c r="A5" s="450" t="s">
        <v>155</v>
      </c>
      <c r="B5" s="451">
        <f ca="1">tertiair!B16</f>
        <v>457357.05050123337</v>
      </c>
      <c r="C5" s="451">
        <f ca="1">tertiair!C16</f>
        <v>61.443211068211077</v>
      </c>
      <c r="D5" s="451">
        <f ca="1">tertiair!D16</f>
        <v>482969.7339289785</v>
      </c>
      <c r="E5" s="451">
        <f>tertiair!E16</f>
        <v>11001.065819829573</v>
      </c>
      <c r="F5" s="451">
        <f ca="1">tertiair!F16</f>
        <v>154864.7257499072</v>
      </c>
      <c r="G5" s="451">
        <f>tertiair!G16</f>
        <v>0</v>
      </c>
      <c r="H5" s="451">
        <f>tertiair!H16</f>
        <v>0</v>
      </c>
      <c r="I5" s="451">
        <f>tertiair!I16</f>
        <v>0</v>
      </c>
      <c r="J5" s="451">
        <f>tertiair!J16</f>
        <v>0</v>
      </c>
      <c r="K5" s="451">
        <f>tertiair!K16</f>
        <v>0</v>
      </c>
      <c r="L5" s="451">
        <f ca="1">tertiair!L16</f>
        <v>0</v>
      </c>
      <c r="M5" s="451">
        <f>tertiair!M16</f>
        <v>0</v>
      </c>
      <c r="N5" s="451">
        <f ca="1">tertiair!N16</f>
        <v>18455.829841341878</v>
      </c>
      <c r="O5" s="451">
        <f>tertiair!O16</f>
        <v>12.506666666666668</v>
      </c>
      <c r="P5" s="452">
        <f>tertiair!P16</f>
        <v>362.26666666666665</v>
      </c>
      <c r="Q5" s="450">
        <f t="shared" ref="Q5:Q14" ca="1" si="0">SUM(B5:P5)</f>
        <v>1125084.6223856919</v>
      </c>
    </row>
    <row r="6" spans="1:17">
      <c r="A6" s="450" t="s">
        <v>193</v>
      </c>
      <c r="B6" s="451">
        <f>'openbare verlichting'!B8</f>
        <v>5450.1369999999997</v>
      </c>
      <c r="C6" s="451"/>
      <c r="D6" s="451"/>
      <c r="E6" s="451"/>
      <c r="F6" s="451"/>
      <c r="G6" s="451"/>
      <c r="H6" s="451"/>
      <c r="I6" s="451"/>
      <c r="J6" s="451"/>
      <c r="K6" s="451"/>
      <c r="L6" s="451"/>
      <c r="M6" s="451"/>
      <c r="N6" s="451"/>
      <c r="O6" s="451"/>
      <c r="P6" s="452"/>
      <c r="Q6" s="450">
        <f t="shared" si="0"/>
        <v>5450.1369999999997</v>
      </c>
    </row>
    <row r="7" spans="1:17">
      <c r="A7" s="450" t="s">
        <v>111</v>
      </c>
      <c r="B7" s="451">
        <f>landbouw!B8</f>
        <v>1561.0442388200001</v>
      </c>
      <c r="C7" s="451">
        <f>landbouw!C8</f>
        <v>0</v>
      </c>
      <c r="D7" s="451">
        <f>landbouw!D8</f>
        <v>1648.84762273814</v>
      </c>
      <c r="E7" s="451">
        <f>landbouw!E8</f>
        <v>40.253337202252858</v>
      </c>
      <c r="F7" s="451">
        <f>landbouw!F8</f>
        <v>5705.9139793210579</v>
      </c>
      <c r="G7" s="451">
        <f>landbouw!G8</f>
        <v>0</v>
      </c>
      <c r="H7" s="451">
        <f>landbouw!H8</f>
        <v>0</v>
      </c>
      <c r="I7" s="451">
        <f>landbouw!I8</f>
        <v>0</v>
      </c>
      <c r="J7" s="451">
        <f>landbouw!J8</f>
        <v>224.73294479098905</v>
      </c>
      <c r="K7" s="451">
        <f>landbouw!K8</f>
        <v>0</v>
      </c>
      <c r="L7" s="451">
        <f>landbouw!L8</f>
        <v>0</v>
      </c>
      <c r="M7" s="451">
        <f>landbouw!M8</f>
        <v>0</v>
      </c>
      <c r="N7" s="451">
        <f>landbouw!N8</f>
        <v>0</v>
      </c>
      <c r="O7" s="451">
        <f>landbouw!O8</f>
        <v>0</v>
      </c>
      <c r="P7" s="452">
        <f>landbouw!P8</f>
        <v>0</v>
      </c>
      <c r="Q7" s="450">
        <f t="shared" si="0"/>
        <v>9180.792122872439</v>
      </c>
    </row>
    <row r="8" spans="1:17">
      <c r="A8" s="450" t="s">
        <v>637</v>
      </c>
      <c r="B8" s="451">
        <f>industrie!B18</f>
        <v>108937.70702449301</v>
      </c>
      <c r="C8" s="451">
        <f>industrie!C18</f>
        <v>0</v>
      </c>
      <c r="D8" s="451">
        <f>industrie!D18</f>
        <v>102644.12245342771</v>
      </c>
      <c r="E8" s="451">
        <f>industrie!E18</f>
        <v>11614.266717315522</v>
      </c>
      <c r="F8" s="451">
        <f>industrie!F18</f>
        <v>45176.627519323243</v>
      </c>
      <c r="G8" s="451">
        <f>industrie!G18</f>
        <v>0</v>
      </c>
      <c r="H8" s="451">
        <f>industrie!H18</f>
        <v>0</v>
      </c>
      <c r="I8" s="451">
        <f>industrie!I18</f>
        <v>0</v>
      </c>
      <c r="J8" s="451">
        <f>industrie!J18</f>
        <v>408.23367954454733</v>
      </c>
      <c r="K8" s="451">
        <f>industrie!K18</f>
        <v>0</v>
      </c>
      <c r="L8" s="451">
        <f>industrie!L18</f>
        <v>0</v>
      </c>
      <c r="M8" s="451">
        <f>industrie!M18</f>
        <v>0</v>
      </c>
      <c r="N8" s="451">
        <f>industrie!N18</f>
        <v>15438.877558024011</v>
      </c>
      <c r="O8" s="451">
        <f>industrie!O18</f>
        <v>0</v>
      </c>
      <c r="P8" s="452">
        <f>industrie!P18</f>
        <v>0</v>
      </c>
      <c r="Q8" s="450">
        <f t="shared" si="0"/>
        <v>284219.83495212806</v>
      </c>
    </row>
    <row r="9" spans="1:17" s="456" customFormat="1">
      <c r="A9" s="454" t="s">
        <v>563</v>
      </c>
      <c r="B9" s="455">
        <f>transport!B14</f>
        <v>140.32928418437479</v>
      </c>
      <c r="C9" s="455">
        <f>transport!C14</f>
        <v>0</v>
      </c>
      <c r="D9" s="455">
        <f>transport!D14</f>
        <v>284.30985430438778</v>
      </c>
      <c r="E9" s="455">
        <f>transport!E14</f>
        <v>1423.7083487778864</v>
      </c>
      <c r="F9" s="455">
        <f>transport!F14</f>
        <v>0</v>
      </c>
      <c r="G9" s="455">
        <f>transport!G14</f>
        <v>473245.90980850923</v>
      </c>
      <c r="H9" s="455">
        <f>transport!H14</f>
        <v>99084.81638399775</v>
      </c>
      <c r="I9" s="455">
        <f>transport!I14</f>
        <v>0</v>
      </c>
      <c r="J9" s="455">
        <f>transport!J14</f>
        <v>0</v>
      </c>
      <c r="K9" s="455">
        <f>transport!K14</f>
        <v>0</v>
      </c>
      <c r="L9" s="455">
        <f>transport!L14</f>
        <v>0</v>
      </c>
      <c r="M9" s="455">
        <f>transport!M14</f>
        <v>17857.87591677134</v>
      </c>
      <c r="N9" s="455">
        <f>transport!N14</f>
        <v>0</v>
      </c>
      <c r="O9" s="455">
        <f>transport!O14</f>
        <v>0</v>
      </c>
      <c r="P9" s="455">
        <f>transport!P14</f>
        <v>0</v>
      </c>
      <c r="Q9" s="454">
        <f>SUM(B9:P9)</f>
        <v>592036.94959654496</v>
      </c>
    </row>
    <row r="10" spans="1:17">
      <c r="A10" s="450" t="s">
        <v>553</v>
      </c>
      <c r="B10" s="451">
        <f>transport!B54</f>
        <v>0</v>
      </c>
      <c r="C10" s="451">
        <f>transport!C54</f>
        <v>0</v>
      </c>
      <c r="D10" s="451">
        <f>transport!D54</f>
        <v>0</v>
      </c>
      <c r="E10" s="451">
        <f>transport!E54</f>
        <v>0</v>
      </c>
      <c r="F10" s="451">
        <f>transport!F54</f>
        <v>0</v>
      </c>
      <c r="G10" s="451">
        <f>transport!G54</f>
        <v>23844.011466589978</v>
      </c>
      <c r="H10" s="451">
        <f>transport!H54</f>
        <v>0</v>
      </c>
      <c r="I10" s="451">
        <f>transport!I54</f>
        <v>0</v>
      </c>
      <c r="J10" s="451">
        <f>transport!J54</f>
        <v>0</v>
      </c>
      <c r="K10" s="451">
        <f>transport!K54</f>
        <v>0</v>
      </c>
      <c r="L10" s="451">
        <f>transport!L54</f>
        <v>0</v>
      </c>
      <c r="M10" s="451">
        <f>transport!M54</f>
        <v>738.65426112423029</v>
      </c>
      <c r="N10" s="451">
        <f>transport!N54</f>
        <v>0</v>
      </c>
      <c r="O10" s="451">
        <f>transport!O54</f>
        <v>0</v>
      </c>
      <c r="P10" s="452">
        <f>transport!P54</f>
        <v>0</v>
      </c>
      <c r="Q10" s="450">
        <f t="shared" si="0"/>
        <v>24582.665727714208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10736.428586</v>
      </c>
      <c r="C14" s="458"/>
      <c r="D14" s="458">
        <f>'SEAP template'!E25</f>
        <v>34658.249220999998</v>
      </c>
      <c r="E14" s="458"/>
      <c r="F14" s="458"/>
      <c r="G14" s="458"/>
      <c r="H14" s="458"/>
      <c r="I14" s="458"/>
      <c r="J14" s="458"/>
      <c r="K14" s="458"/>
      <c r="L14" s="458"/>
      <c r="M14" s="458"/>
      <c r="N14" s="458"/>
      <c r="O14" s="458"/>
      <c r="P14" s="459"/>
      <c r="Q14" s="450">
        <f t="shared" si="0"/>
        <v>45394.677807</v>
      </c>
    </row>
    <row r="15" spans="1:17" s="460" customFormat="1">
      <c r="A15" s="1004" t="s">
        <v>557</v>
      </c>
      <c r="B15" s="944">
        <f ca="1">SUM(B4:B14)</f>
        <v>728135.72355091397</v>
      </c>
      <c r="C15" s="944">
        <f t="shared" ref="C15:Q15" ca="1" si="1">SUM(C4:C14)</f>
        <v>61.443211068211077</v>
      </c>
      <c r="D15" s="944">
        <f t="shared" ca="1" si="1"/>
        <v>1006610.6545965652</v>
      </c>
      <c r="E15" s="944">
        <f t="shared" si="1"/>
        <v>83678.169904565919</v>
      </c>
      <c r="F15" s="944">
        <f t="shared" ca="1" si="1"/>
        <v>308458.74911004782</v>
      </c>
      <c r="G15" s="944">
        <f t="shared" si="1"/>
        <v>497089.92127509922</v>
      </c>
      <c r="H15" s="944">
        <f t="shared" si="1"/>
        <v>99084.81638399775</v>
      </c>
      <c r="I15" s="944">
        <f t="shared" si="1"/>
        <v>0</v>
      </c>
      <c r="J15" s="944">
        <f t="shared" si="1"/>
        <v>632.96662433553638</v>
      </c>
      <c r="K15" s="944">
        <f t="shared" si="1"/>
        <v>0</v>
      </c>
      <c r="L15" s="944">
        <f t="shared" ca="1" si="1"/>
        <v>0</v>
      </c>
      <c r="M15" s="944">
        <f t="shared" si="1"/>
        <v>18596.530177895569</v>
      </c>
      <c r="N15" s="944">
        <f t="shared" ca="1" si="1"/>
        <v>54075.959749947717</v>
      </c>
      <c r="O15" s="944">
        <f t="shared" si="1"/>
        <v>798.86333333333334</v>
      </c>
      <c r="P15" s="944">
        <f t="shared" si="1"/>
        <v>2440.5333333333328</v>
      </c>
      <c r="Q15" s="944">
        <f t="shared" ca="1" si="1"/>
        <v>2799664.331251103</v>
      </c>
    </row>
    <row r="17" spans="1:17">
      <c r="A17" s="461" t="s">
        <v>558</v>
      </c>
      <c r="B17" s="760">
        <f ca="1">huishoudens!B10</f>
        <v>0.21687850625259161</v>
      </c>
      <c r="C17" s="760">
        <f ca="1">huishoudens!C10</f>
        <v>0.23742927604321648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31220.317448120935</v>
      </c>
      <c r="C22" s="451">
        <f t="shared" ref="C22:C32" ca="1" si="3">C4*$C$17</f>
        <v>0</v>
      </c>
      <c r="D22" s="451">
        <f t="shared" ref="D22:D32" si="4">D4*$D$17</f>
        <v>77649.889086255498</v>
      </c>
      <c r="E22" s="451">
        <f t="shared" ref="E22:E32" si="5">E4*$E$17</f>
        <v>13528.944779687035</v>
      </c>
      <c r="F22" s="451">
        <f t="shared" ref="F22:F32" si="6">F4*$F$17</f>
        <v>27423.965657019515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149823.11697108299</v>
      </c>
    </row>
    <row r="23" spans="1:17">
      <c r="A23" s="450" t="s">
        <v>155</v>
      </c>
      <c r="B23" s="451">
        <f t="shared" ca="1" si="2"/>
        <v>99190.913936798606</v>
      </c>
      <c r="C23" s="451">
        <f t="shared" ca="1" si="3"/>
        <v>14.588417121695903</v>
      </c>
      <c r="D23" s="451">
        <f t="shared" ca="1" si="4"/>
        <v>97559.886253653662</v>
      </c>
      <c r="E23" s="451">
        <f t="shared" si="5"/>
        <v>2497.2419411013134</v>
      </c>
      <c r="F23" s="451">
        <f t="shared" ca="1" si="6"/>
        <v>41348.881775225222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240611.5123239005</v>
      </c>
    </row>
    <row r="24" spans="1:17">
      <c r="A24" s="450" t="s">
        <v>193</v>
      </c>
      <c r="B24" s="451">
        <f t="shared" ca="1" si="2"/>
        <v>1182.0175714319807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1182.0175714319807</v>
      </c>
    </row>
    <row r="25" spans="1:17">
      <c r="A25" s="450" t="s">
        <v>111</v>
      </c>
      <c r="B25" s="451">
        <f t="shared" ca="1" si="2"/>
        <v>338.5569427094955</v>
      </c>
      <c r="C25" s="451">
        <f t="shared" ca="1" si="3"/>
        <v>0</v>
      </c>
      <c r="D25" s="451">
        <f t="shared" si="4"/>
        <v>333.0672197931043</v>
      </c>
      <c r="E25" s="451">
        <f t="shared" si="5"/>
        <v>9.1375075449113989</v>
      </c>
      <c r="F25" s="451">
        <f t="shared" si="6"/>
        <v>1523.4790324787225</v>
      </c>
      <c r="G25" s="451">
        <f t="shared" si="7"/>
        <v>0</v>
      </c>
      <c r="H25" s="451">
        <f t="shared" si="8"/>
        <v>0</v>
      </c>
      <c r="I25" s="451">
        <f t="shared" si="9"/>
        <v>0</v>
      </c>
      <c r="J25" s="451">
        <f t="shared" si="10"/>
        <v>79.555462456010119</v>
      </c>
      <c r="K25" s="451">
        <f t="shared" si="11"/>
        <v>0</v>
      </c>
      <c r="L25" s="451">
        <f t="shared" si="12"/>
        <v>0</v>
      </c>
      <c r="M25" s="451">
        <f t="shared" si="13"/>
        <v>0</v>
      </c>
      <c r="N25" s="451">
        <f t="shared" si="14"/>
        <v>0</v>
      </c>
      <c r="O25" s="451">
        <f t="shared" si="15"/>
        <v>0</v>
      </c>
      <c r="P25" s="452">
        <f t="shared" si="16"/>
        <v>0</v>
      </c>
      <c r="Q25" s="450">
        <f t="shared" ca="1" si="17"/>
        <v>2283.7961649822437</v>
      </c>
    </row>
    <row r="26" spans="1:17">
      <c r="A26" s="450" t="s">
        <v>637</v>
      </c>
      <c r="B26" s="451">
        <f t="shared" ca="1" si="2"/>
        <v>23626.247174054501</v>
      </c>
      <c r="C26" s="451">
        <f t="shared" ca="1" si="3"/>
        <v>0</v>
      </c>
      <c r="D26" s="451">
        <f t="shared" si="4"/>
        <v>20734.1127355924</v>
      </c>
      <c r="E26" s="451">
        <f t="shared" si="5"/>
        <v>2636.4385448306239</v>
      </c>
      <c r="F26" s="451">
        <f t="shared" si="6"/>
        <v>12062.159547659307</v>
      </c>
      <c r="G26" s="451">
        <f t="shared" si="7"/>
        <v>0</v>
      </c>
      <c r="H26" s="451">
        <f t="shared" si="8"/>
        <v>0</v>
      </c>
      <c r="I26" s="451">
        <f t="shared" si="9"/>
        <v>0</v>
      </c>
      <c r="J26" s="451">
        <f t="shared" si="10"/>
        <v>144.51472255876973</v>
      </c>
      <c r="K26" s="451">
        <f t="shared" si="11"/>
        <v>0</v>
      </c>
      <c r="L26" s="451">
        <f t="shared" si="12"/>
        <v>0</v>
      </c>
      <c r="M26" s="451">
        <f t="shared" si="13"/>
        <v>0</v>
      </c>
      <c r="N26" s="451">
        <f t="shared" si="14"/>
        <v>0</v>
      </c>
      <c r="O26" s="451">
        <f t="shared" si="15"/>
        <v>0</v>
      </c>
      <c r="P26" s="452">
        <f t="shared" si="16"/>
        <v>0</v>
      </c>
      <c r="Q26" s="450">
        <f t="shared" ca="1" si="17"/>
        <v>59203.472724695603</v>
      </c>
    </row>
    <row r="27" spans="1:17" s="456" customFormat="1">
      <c r="A27" s="454" t="s">
        <v>563</v>
      </c>
      <c r="B27" s="754">
        <f t="shared" ca="1" si="2"/>
        <v>30.434405537402633</v>
      </c>
      <c r="C27" s="455">
        <f t="shared" ca="1" si="3"/>
        <v>0</v>
      </c>
      <c r="D27" s="455">
        <f t="shared" si="4"/>
        <v>57.430590569486334</v>
      </c>
      <c r="E27" s="455">
        <f t="shared" si="5"/>
        <v>323.18179517258022</v>
      </c>
      <c r="F27" s="455">
        <f t="shared" si="6"/>
        <v>0</v>
      </c>
      <c r="G27" s="455">
        <f t="shared" si="7"/>
        <v>126356.65791887198</v>
      </c>
      <c r="H27" s="455">
        <f t="shared" si="8"/>
        <v>24672.119279615439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151439.82398976688</v>
      </c>
    </row>
    <row r="28" spans="1:17">
      <c r="A28" s="450" t="s">
        <v>553</v>
      </c>
      <c r="B28" s="451">
        <f t="shared" ca="1" si="2"/>
        <v>0</v>
      </c>
      <c r="C28" s="451">
        <f t="shared" ca="1" si="3"/>
        <v>0</v>
      </c>
      <c r="D28" s="451">
        <f t="shared" si="4"/>
        <v>0</v>
      </c>
      <c r="E28" s="451">
        <f t="shared" si="5"/>
        <v>0</v>
      </c>
      <c r="F28" s="451">
        <f t="shared" si="6"/>
        <v>0</v>
      </c>
      <c r="G28" s="451">
        <f t="shared" si="7"/>
        <v>6366.3510615795249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6366.3510615795249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2328.5005942193043</v>
      </c>
      <c r="C32" s="451">
        <f t="shared" ca="1" si="3"/>
        <v>0</v>
      </c>
      <c r="D32" s="451">
        <f t="shared" si="4"/>
        <v>7000.9663426420002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9329.4669368613049</v>
      </c>
    </row>
    <row r="33" spans="1:17" s="460" customFormat="1">
      <c r="A33" s="1004" t="s">
        <v>557</v>
      </c>
      <c r="B33" s="944">
        <f ca="1">SUM(B22:B32)</f>
        <v>157916.98807287225</v>
      </c>
      <c r="C33" s="944">
        <f t="shared" ref="C33:Q33" ca="1" si="18">SUM(C22:C32)</f>
        <v>14.588417121695903</v>
      </c>
      <c r="D33" s="944">
        <f t="shared" ca="1" si="18"/>
        <v>203335.35222850615</v>
      </c>
      <c r="E33" s="944">
        <f t="shared" si="18"/>
        <v>18994.944568336465</v>
      </c>
      <c r="F33" s="944">
        <f t="shared" ca="1" si="18"/>
        <v>82358.486012382768</v>
      </c>
      <c r="G33" s="944">
        <f t="shared" si="18"/>
        <v>132723.0089804515</v>
      </c>
      <c r="H33" s="944">
        <f t="shared" si="18"/>
        <v>24672.119279615439</v>
      </c>
      <c r="I33" s="944">
        <f t="shared" si="18"/>
        <v>0</v>
      </c>
      <c r="J33" s="944">
        <f t="shared" si="18"/>
        <v>224.07018501477984</v>
      </c>
      <c r="K33" s="944">
        <f t="shared" si="18"/>
        <v>0</v>
      </c>
      <c r="L33" s="944">
        <f t="shared" ca="1" si="18"/>
        <v>0</v>
      </c>
      <c r="M33" s="944">
        <f t="shared" si="18"/>
        <v>0</v>
      </c>
      <c r="N33" s="944">
        <f t="shared" ca="1" si="18"/>
        <v>0</v>
      </c>
      <c r="O33" s="944">
        <f t="shared" si="18"/>
        <v>0</v>
      </c>
      <c r="P33" s="944">
        <f t="shared" si="18"/>
        <v>0</v>
      </c>
      <c r="Q33" s="944">
        <f t="shared" ca="1" si="18"/>
        <v>620239.55774430104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12178.413699820223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43.00833333333334</v>
      </c>
      <c r="D8" s="1021">
        <f>'SEAP template'!D76</f>
        <v>50.551670530488465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10.211437447158671</v>
      </c>
    </row>
    <row r="9" spans="1:16">
      <c r="A9" s="1024" t="s">
        <v>849</v>
      </c>
      <c r="B9" s="1021">
        <f>'SEAP template'!B77</f>
        <v>1404</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4011.4285714285716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13582.413699820223</v>
      </c>
      <c r="C10" s="1025">
        <f>SUM(C4:C9)</f>
        <v>43.00833333333334</v>
      </c>
      <c r="D10" s="1025">
        <f t="shared" ref="D10:H10" si="0">SUM(D8:D9)</f>
        <v>50.551670530488465</v>
      </c>
      <c r="E10" s="1025">
        <f t="shared" si="0"/>
        <v>0</v>
      </c>
      <c r="F10" s="1025">
        <f t="shared" si="0"/>
        <v>0</v>
      </c>
      <c r="G10" s="1025">
        <f t="shared" si="0"/>
        <v>0</v>
      </c>
      <c r="H10" s="1025">
        <f t="shared" si="0"/>
        <v>0</v>
      </c>
      <c r="I10" s="1025">
        <f>SUM(I8:I9)</f>
        <v>0</v>
      </c>
      <c r="J10" s="1025">
        <f>SUM(J8:J9)</f>
        <v>4011.4285714285716</v>
      </c>
      <c r="K10" s="1025">
        <f t="shared" ref="K10:L10" si="1">SUM(K8:K9)</f>
        <v>0</v>
      </c>
      <c r="L10" s="1025">
        <f t="shared" si="1"/>
        <v>0</v>
      </c>
      <c r="M10" s="1025">
        <f>SUM(M8:M9)</f>
        <v>0</v>
      </c>
      <c r="N10" s="1025">
        <f>SUM(N8:N9)</f>
        <v>0</v>
      </c>
      <c r="O10" s="1025">
        <f>SUM(O8:O9)</f>
        <v>0</v>
      </c>
      <c r="P10" s="1025">
        <f>SUM(P8:P9)</f>
        <v>10.211437447158671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0.21687850625259161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61.443211068211077</v>
      </c>
      <c r="D17" s="1022">
        <f>'SEAP template'!D87</f>
        <v>72.219886741068819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14.588417121695903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61.443211068211077</v>
      </c>
      <c r="D20" s="1025">
        <f t="shared" ref="D20:H20" si="2">SUM(D17:D19)</f>
        <v>72.219886741068819</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14.588417121695903</v>
      </c>
    </row>
    <row r="22" spans="1:16">
      <c r="A22" s="461" t="s">
        <v>857</v>
      </c>
      <c r="B22" s="760" t="s">
        <v>851</v>
      </c>
      <c r="C22" s="760">
        <f ca="1">'EF ele_warmte'!B22</f>
        <v>0.23742927604321648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0.21687850625259161</v>
      </c>
      <c r="C17" s="498">
        <f ca="1">'EF ele_warmte'!B22</f>
        <v>0.23742927604321648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0.21687850625259161</v>
      </c>
      <c r="C17" s="498">
        <f ca="1">'EF ele_warmte'!B22</f>
        <v>0.23742927604321648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0.21687850625259161</v>
      </c>
      <c r="C29" s="499">
        <f ca="1">'EF ele_warmte'!B22</f>
        <v>0.23742927604321648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48184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1072.6199999999999</v>
      </c>
      <c r="C14" s="330"/>
      <c r="D14" s="330"/>
      <c r="E14" s="330"/>
      <c r="F14" s="330"/>
    </row>
    <row r="15" spans="1:6">
      <c r="A15" s="1291" t="s">
        <v>183</v>
      </c>
      <c r="B15" s="1292">
        <v>3</v>
      </c>
      <c r="C15" s="330"/>
      <c r="D15" s="330"/>
      <c r="E15" s="330"/>
      <c r="F15" s="330"/>
    </row>
    <row r="16" spans="1:6">
      <c r="A16" s="1291" t="s">
        <v>6</v>
      </c>
      <c r="B16" s="1292">
        <v>111</v>
      </c>
      <c r="C16" s="330"/>
      <c r="D16" s="330"/>
      <c r="E16" s="330"/>
      <c r="F16" s="330"/>
    </row>
    <row r="17" spans="1:6">
      <c r="A17" s="1291" t="s">
        <v>7</v>
      </c>
      <c r="B17" s="1292">
        <v>145</v>
      </c>
      <c r="C17" s="330"/>
      <c r="D17" s="330"/>
      <c r="E17" s="330"/>
      <c r="F17" s="330"/>
    </row>
    <row r="18" spans="1:6">
      <c r="A18" s="1291" t="s">
        <v>8</v>
      </c>
      <c r="B18" s="1292">
        <v>164</v>
      </c>
      <c r="C18" s="330"/>
      <c r="D18" s="330"/>
      <c r="E18" s="330"/>
      <c r="F18" s="330"/>
    </row>
    <row r="19" spans="1:6">
      <c r="A19" s="1291" t="s">
        <v>9</v>
      </c>
      <c r="B19" s="1292">
        <v>137</v>
      </c>
      <c r="C19" s="330"/>
      <c r="D19" s="330"/>
      <c r="E19" s="330"/>
      <c r="F19" s="330"/>
    </row>
    <row r="20" spans="1:6">
      <c r="A20" s="1291" t="s">
        <v>10</v>
      </c>
      <c r="B20" s="1292">
        <v>116</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271</v>
      </c>
      <c r="C26" s="330"/>
      <c r="D26" s="330"/>
      <c r="E26" s="330"/>
      <c r="F26" s="330"/>
    </row>
    <row r="27" spans="1:6">
      <c r="A27" s="1291" t="s">
        <v>17</v>
      </c>
      <c r="B27" s="1292">
        <v>17</v>
      </c>
      <c r="C27" s="330"/>
      <c r="D27" s="330"/>
      <c r="E27" s="330"/>
      <c r="F27" s="330"/>
    </row>
    <row r="28" spans="1:6" s="43" customFormat="1">
      <c r="A28" s="1293" t="s">
        <v>18</v>
      </c>
      <c r="B28" s="1294">
        <v>0</v>
      </c>
      <c r="C28" s="336"/>
      <c r="D28" s="336"/>
      <c r="E28" s="336"/>
      <c r="F28" s="336"/>
    </row>
    <row r="29" spans="1:6">
      <c r="A29" s="1293" t="s">
        <v>892</v>
      </c>
      <c r="B29" s="1294">
        <v>79</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12</v>
      </c>
      <c r="D36" s="1292">
        <v>4009821.423</v>
      </c>
      <c r="E36" s="1292">
        <v>10</v>
      </c>
      <c r="F36" s="1292">
        <v>677198.22546999995</v>
      </c>
    </row>
    <row r="37" spans="1:6">
      <c r="A37" s="1291" t="s">
        <v>24</v>
      </c>
      <c r="B37" s="1291" t="s">
        <v>27</v>
      </c>
      <c r="C37" s="1292">
        <v>0</v>
      </c>
      <c r="D37" s="1292">
        <v>0</v>
      </c>
      <c r="E37" s="1292">
        <v>0</v>
      </c>
      <c r="F37" s="1292">
        <v>0</v>
      </c>
    </row>
    <row r="38" spans="1:6">
      <c r="A38" s="1291" t="s">
        <v>24</v>
      </c>
      <c r="B38" s="1291" t="s">
        <v>28</v>
      </c>
      <c r="C38" s="1292">
        <v>5</v>
      </c>
      <c r="D38" s="1292">
        <v>1672726.1503999999</v>
      </c>
      <c r="E38" s="1292">
        <v>9</v>
      </c>
      <c r="F38" s="1292">
        <v>233818.72326</v>
      </c>
    </row>
    <row r="39" spans="1:6">
      <c r="A39" s="1291" t="s">
        <v>29</v>
      </c>
      <c r="B39" s="1291" t="s">
        <v>30</v>
      </c>
      <c r="C39" s="1292">
        <v>29259</v>
      </c>
      <c r="D39" s="1292">
        <v>426139786.24000001</v>
      </c>
      <c r="E39" s="1292">
        <v>46194</v>
      </c>
      <c r="F39" s="1292">
        <v>135899595.71000001</v>
      </c>
    </row>
    <row r="40" spans="1:6">
      <c r="A40" s="1291" t="s">
        <v>29</v>
      </c>
      <c r="B40" s="1291" t="s">
        <v>28</v>
      </c>
      <c r="C40" s="1292">
        <v>1</v>
      </c>
      <c r="D40" s="1292">
        <v>30270.873210999998</v>
      </c>
      <c r="E40" s="1292">
        <v>1</v>
      </c>
      <c r="F40" s="1292">
        <v>8900.1143308999999</v>
      </c>
    </row>
    <row r="41" spans="1:6">
      <c r="A41" s="1291" t="s">
        <v>31</v>
      </c>
      <c r="B41" s="1291" t="s">
        <v>32</v>
      </c>
      <c r="C41" s="1292">
        <v>223</v>
      </c>
      <c r="D41" s="1292">
        <v>26763437.776999999</v>
      </c>
      <c r="E41" s="1292">
        <v>499</v>
      </c>
      <c r="F41" s="1292">
        <v>32512383.846000001</v>
      </c>
    </row>
    <row r="42" spans="1:6">
      <c r="A42" s="1291" t="s">
        <v>31</v>
      </c>
      <c r="B42" s="1291" t="s">
        <v>33</v>
      </c>
      <c r="C42" s="1292">
        <v>0</v>
      </c>
      <c r="D42" s="1292">
        <v>0</v>
      </c>
      <c r="E42" s="1292">
        <v>6</v>
      </c>
      <c r="F42" s="1292">
        <v>28948.562913999998</v>
      </c>
    </row>
    <row r="43" spans="1:6">
      <c r="A43" s="1291" t="s">
        <v>31</v>
      </c>
      <c r="B43" s="1291" t="s">
        <v>34</v>
      </c>
      <c r="C43" s="1292">
        <v>0</v>
      </c>
      <c r="D43" s="1292">
        <v>0</v>
      </c>
      <c r="E43" s="1292">
        <v>0</v>
      </c>
      <c r="F43" s="1292">
        <v>0</v>
      </c>
    </row>
    <row r="44" spans="1:6">
      <c r="A44" s="1291" t="s">
        <v>31</v>
      </c>
      <c r="B44" s="1291" t="s">
        <v>35</v>
      </c>
      <c r="C44" s="1292">
        <v>5</v>
      </c>
      <c r="D44" s="1292">
        <v>181818.3873</v>
      </c>
      <c r="E44" s="1292">
        <v>40</v>
      </c>
      <c r="F44" s="1292">
        <v>1818534.8387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29</v>
      </c>
      <c r="D47" s="1292">
        <v>1104210.2448</v>
      </c>
      <c r="E47" s="1292">
        <v>41</v>
      </c>
      <c r="F47" s="1292">
        <v>363058.73917999998</v>
      </c>
    </row>
    <row r="48" spans="1:6">
      <c r="A48" s="1291" t="s">
        <v>31</v>
      </c>
      <c r="B48" s="1291" t="s">
        <v>28</v>
      </c>
      <c r="C48" s="1292">
        <v>97</v>
      </c>
      <c r="D48" s="1292">
        <v>77715333.353</v>
      </c>
      <c r="E48" s="1292">
        <v>116</v>
      </c>
      <c r="F48" s="1292">
        <v>47357026.778999999</v>
      </c>
    </row>
    <row r="49" spans="1:6">
      <c r="A49" s="1291" t="s">
        <v>31</v>
      </c>
      <c r="B49" s="1291" t="s">
        <v>39</v>
      </c>
      <c r="C49" s="1292">
        <v>4</v>
      </c>
      <c r="D49" s="1292">
        <v>131767.03446</v>
      </c>
      <c r="E49" s="1292">
        <v>9</v>
      </c>
      <c r="F49" s="1292">
        <v>96337.542698999998</v>
      </c>
    </row>
    <row r="50" spans="1:6">
      <c r="A50" s="1291" t="s">
        <v>31</v>
      </c>
      <c r="B50" s="1291" t="s">
        <v>40</v>
      </c>
      <c r="C50" s="1292">
        <v>42</v>
      </c>
      <c r="D50" s="1292">
        <v>7899577.8302999996</v>
      </c>
      <c r="E50" s="1292">
        <v>67</v>
      </c>
      <c r="F50" s="1292">
        <v>26761416.715999998</v>
      </c>
    </row>
    <row r="51" spans="1:6">
      <c r="A51" s="1291" t="s">
        <v>41</v>
      </c>
      <c r="B51" s="1291" t="s">
        <v>42</v>
      </c>
      <c r="C51" s="1292">
        <v>18</v>
      </c>
      <c r="D51" s="1292">
        <v>761180.02576999995</v>
      </c>
      <c r="E51" s="1292">
        <v>36</v>
      </c>
      <c r="F51" s="1292">
        <v>554953.68921999994</v>
      </c>
    </row>
    <row r="52" spans="1:6">
      <c r="A52" s="1291" t="s">
        <v>41</v>
      </c>
      <c r="B52" s="1291" t="s">
        <v>28</v>
      </c>
      <c r="C52" s="1292">
        <v>21</v>
      </c>
      <c r="D52" s="1292">
        <v>1066810.6868</v>
      </c>
      <c r="E52" s="1292">
        <v>26</v>
      </c>
      <c r="F52" s="1292">
        <v>1006090.5496</v>
      </c>
    </row>
    <row r="53" spans="1:6">
      <c r="A53" s="1291" t="s">
        <v>43</v>
      </c>
      <c r="B53" s="1291" t="s">
        <v>44</v>
      </c>
      <c r="C53" s="1292">
        <v>1473</v>
      </c>
      <c r="D53" s="1292">
        <v>34658249.221000001</v>
      </c>
      <c r="E53" s="1292">
        <v>2873</v>
      </c>
      <c r="F53" s="1292">
        <v>10736428.585999999</v>
      </c>
    </row>
    <row r="54" spans="1:6">
      <c r="A54" s="1291" t="s">
        <v>45</v>
      </c>
      <c r="B54" s="1291" t="s">
        <v>46</v>
      </c>
      <c r="C54" s="1292">
        <v>0</v>
      </c>
      <c r="D54" s="1292">
        <v>0</v>
      </c>
      <c r="E54" s="1292">
        <v>1</v>
      </c>
      <c r="F54" s="1292">
        <v>5450137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289</v>
      </c>
      <c r="D57" s="1292">
        <v>20138652.975000001</v>
      </c>
      <c r="E57" s="1292">
        <v>507</v>
      </c>
      <c r="F57" s="1292">
        <v>25377867.403000001</v>
      </c>
    </row>
    <row r="58" spans="1:6">
      <c r="A58" s="1291" t="s">
        <v>48</v>
      </c>
      <c r="B58" s="1291" t="s">
        <v>50</v>
      </c>
      <c r="C58" s="1292">
        <v>295</v>
      </c>
      <c r="D58" s="1292">
        <v>21643470.541999999</v>
      </c>
      <c r="E58" s="1292">
        <v>424</v>
      </c>
      <c r="F58" s="1292">
        <v>20701888.385000002</v>
      </c>
    </row>
    <row r="59" spans="1:6">
      <c r="A59" s="1291" t="s">
        <v>48</v>
      </c>
      <c r="B59" s="1291" t="s">
        <v>51</v>
      </c>
      <c r="C59" s="1292">
        <v>617</v>
      </c>
      <c r="D59" s="1292">
        <v>27200186.675000001</v>
      </c>
      <c r="E59" s="1292">
        <v>1159</v>
      </c>
      <c r="F59" s="1292">
        <v>43868007.995999999</v>
      </c>
    </row>
    <row r="60" spans="1:6">
      <c r="A60" s="1291" t="s">
        <v>48</v>
      </c>
      <c r="B60" s="1291" t="s">
        <v>52</v>
      </c>
      <c r="C60" s="1292">
        <v>659</v>
      </c>
      <c r="D60" s="1292">
        <v>224198770.12</v>
      </c>
      <c r="E60" s="1292">
        <v>777</v>
      </c>
      <c r="F60" s="1292">
        <v>237792268.81</v>
      </c>
    </row>
    <row r="61" spans="1:6">
      <c r="A61" s="1291" t="s">
        <v>48</v>
      </c>
      <c r="B61" s="1291" t="s">
        <v>53</v>
      </c>
      <c r="C61" s="1292">
        <v>1845</v>
      </c>
      <c r="D61" s="1292">
        <v>172255633.13</v>
      </c>
      <c r="E61" s="1292">
        <v>3694</v>
      </c>
      <c r="F61" s="1292">
        <v>98911484.113000005</v>
      </c>
    </row>
    <row r="62" spans="1:6">
      <c r="A62" s="1291" t="s">
        <v>48</v>
      </c>
      <c r="B62" s="1291" t="s">
        <v>54</v>
      </c>
      <c r="C62" s="1292">
        <v>98</v>
      </c>
      <c r="D62" s="1292">
        <v>15038309.884</v>
      </c>
      <c r="E62" s="1292">
        <v>139</v>
      </c>
      <c r="F62" s="1292">
        <v>6549506.0308999997</v>
      </c>
    </row>
    <row r="63" spans="1:6">
      <c r="A63" s="1291" t="s">
        <v>48</v>
      </c>
      <c r="B63" s="1291" t="s">
        <v>28</v>
      </c>
      <c r="C63" s="1292">
        <v>398</v>
      </c>
      <c r="D63" s="1292">
        <v>55104251.049000002</v>
      </c>
      <c r="E63" s="1292">
        <v>442</v>
      </c>
      <c r="F63" s="1292">
        <v>22709019.43</v>
      </c>
    </row>
    <row r="64" spans="1:6">
      <c r="A64" s="1291" t="s">
        <v>55</v>
      </c>
      <c r="B64" s="1291" t="s">
        <v>56</v>
      </c>
      <c r="C64" s="1292">
        <v>0</v>
      </c>
      <c r="D64" s="1292">
        <v>0</v>
      </c>
      <c r="E64" s="1292">
        <v>0</v>
      </c>
      <c r="F64" s="1292">
        <v>0</v>
      </c>
    </row>
    <row r="65" spans="1:6">
      <c r="A65" s="1291" t="s">
        <v>55</v>
      </c>
      <c r="B65" s="1291" t="s">
        <v>28</v>
      </c>
      <c r="C65" s="1292">
        <v>12</v>
      </c>
      <c r="D65" s="1292">
        <v>2353811.1883999999</v>
      </c>
      <c r="E65" s="1292">
        <v>10</v>
      </c>
      <c r="F65" s="1292">
        <v>111507.22282</v>
      </c>
    </row>
    <row r="66" spans="1:6">
      <c r="A66" s="1291" t="s">
        <v>55</v>
      </c>
      <c r="B66" s="1291" t="s">
        <v>57</v>
      </c>
      <c r="C66" s="1292">
        <v>3</v>
      </c>
      <c r="D66" s="1292">
        <v>592085.05617999996</v>
      </c>
      <c r="E66" s="1292">
        <v>67</v>
      </c>
      <c r="F66" s="1292">
        <v>3474917.7889</v>
      </c>
    </row>
    <row r="67" spans="1:6">
      <c r="A67" s="1293" t="s">
        <v>55</v>
      </c>
      <c r="B67" s="1293" t="s">
        <v>58</v>
      </c>
      <c r="C67" s="1292">
        <v>0</v>
      </c>
      <c r="D67" s="1292">
        <v>0</v>
      </c>
      <c r="E67" s="1292">
        <v>0</v>
      </c>
      <c r="F67" s="1292">
        <v>0</v>
      </c>
    </row>
    <row r="68" spans="1:6">
      <c r="A68" s="1286" t="s">
        <v>55</v>
      </c>
      <c r="B68" s="1286" t="s">
        <v>59</v>
      </c>
      <c r="C68" s="1295">
        <v>11</v>
      </c>
      <c r="D68" s="1295">
        <v>563465.83383000002</v>
      </c>
      <c r="E68" s="1295">
        <v>21</v>
      </c>
      <c r="F68" s="1295">
        <v>1261233.7871999999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186097449</v>
      </c>
      <c r="E73" s="449"/>
      <c r="F73" s="330"/>
    </row>
    <row r="74" spans="1:6">
      <c r="A74" s="1291" t="s">
        <v>63</v>
      </c>
      <c r="B74" s="1291" t="s">
        <v>664</v>
      </c>
      <c r="C74" s="1305" t="s">
        <v>666</v>
      </c>
      <c r="D74" s="1306">
        <v>6259255.5448241308</v>
      </c>
      <c r="E74" s="449"/>
      <c r="F74" s="330"/>
    </row>
    <row r="75" spans="1:6">
      <c r="A75" s="1291" t="s">
        <v>64</v>
      </c>
      <c r="B75" s="1291" t="s">
        <v>663</v>
      </c>
      <c r="C75" s="1305" t="s">
        <v>667</v>
      </c>
      <c r="D75" s="1306">
        <v>117642809</v>
      </c>
      <c r="E75" s="449"/>
      <c r="F75" s="330"/>
    </row>
    <row r="76" spans="1:6">
      <c r="A76" s="1291" t="s">
        <v>64</v>
      </c>
      <c r="B76" s="1291" t="s">
        <v>664</v>
      </c>
      <c r="C76" s="1305" t="s">
        <v>668</v>
      </c>
      <c r="D76" s="1306">
        <v>690687.5448241313</v>
      </c>
      <c r="E76" s="449"/>
      <c r="F76" s="330"/>
    </row>
    <row r="77" spans="1:6">
      <c r="A77" s="1291" t="s">
        <v>65</v>
      </c>
      <c r="B77" s="1291" t="s">
        <v>663</v>
      </c>
      <c r="C77" s="1305" t="s">
        <v>669</v>
      </c>
      <c r="D77" s="1306">
        <v>378290347</v>
      </c>
      <c r="E77" s="449"/>
      <c r="F77" s="330"/>
    </row>
    <row r="78" spans="1:6">
      <c r="A78" s="1286" t="s">
        <v>65</v>
      </c>
      <c r="B78" s="1286" t="s">
        <v>664</v>
      </c>
      <c r="C78" s="1286" t="s">
        <v>670</v>
      </c>
      <c r="D78" s="1307">
        <v>36347218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6670104.9103517374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8044.531091852341</v>
      </c>
      <c r="C91" s="330"/>
      <c r="D91" s="330"/>
      <c r="E91" s="330"/>
      <c r="F91" s="330"/>
    </row>
    <row r="92" spans="1:6">
      <c r="A92" s="1286" t="s">
        <v>68</v>
      </c>
      <c r="B92" s="1287">
        <v>4133.882607967882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21126</v>
      </c>
      <c r="C97" s="330"/>
      <c r="D97" s="330"/>
      <c r="E97" s="330"/>
      <c r="F97" s="330"/>
    </row>
    <row r="98" spans="1:6">
      <c r="A98" s="1291" t="s">
        <v>71</v>
      </c>
      <c r="B98" s="1292">
        <v>27</v>
      </c>
      <c r="C98" s="330"/>
      <c r="D98" s="330"/>
      <c r="E98" s="330"/>
      <c r="F98" s="330"/>
    </row>
    <row r="99" spans="1:6">
      <c r="A99" s="1291" t="s">
        <v>72</v>
      </c>
      <c r="B99" s="1292">
        <v>177</v>
      </c>
      <c r="C99" s="330"/>
      <c r="D99" s="330"/>
      <c r="E99" s="330"/>
      <c r="F99" s="330"/>
    </row>
    <row r="100" spans="1:6">
      <c r="A100" s="1291" t="s">
        <v>73</v>
      </c>
      <c r="B100" s="1292">
        <v>3087</v>
      </c>
      <c r="C100" s="330"/>
      <c r="D100" s="330"/>
      <c r="E100" s="330"/>
      <c r="F100" s="330"/>
    </row>
    <row r="101" spans="1:6">
      <c r="A101" s="1291" t="s">
        <v>74</v>
      </c>
      <c r="B101" s="1292">
        <v>75</v>
      </c>
      <c r="C101" s="330"/>
      <c r="D101" s="330"/>
      <c r="E101" s="330"/>
      <c r="F101" s="330"/>
    </row>
    <row r="102" spans="1:6">
      <c r="A102" s="1291" t="s">
        <v>75</v>
      </c>
      <c r="B102" s="1292">
        <v>1071</v>
      </c>
      <c r="C102" s="330"/>
      <c r="D102" s="330"/>
      <c r="E102" s="330"/>
      <c r="F102" s="330"/>
    </row>
    <row r="103" spans="1:6">
      <c r="A103" s="1291" t="s">
        <v>76</v>
      </c>
      <c r="B103" s="1292">
        <v>267</v>
      </c>
      <c r="C103" s="330"/>
      <c r="D103" s="330"/>
      <c r="E103" s="330"/>
      <c r="F103" s="330"/>
    </row>
    <row r="104" spans="1:6">
      <c r="A104" s="1291" t="s">
        <v>77</v>
      </c>
      <c r="B104" s="1292">
        <v>12359</v>
      </c>
      <c r="C104" s="330"/>
      <c r="D104" s="330"/>
      <c r="E104" s="330"/>
      <c r="F104" s="330"/>
    </row>
    <row r="105" spans="1:6">
      <c r="A105" s="1286" t="s">
        <v>78</v>
      </c>
      <c r="B105" s="1295">
        <v>69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77</v>
      </c>
      <c r="C123" s="1292">
        <v>57</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444</v>
      </c>
      <c r="C129" s="330"/>
      <c r="D129" s="330"/>
      <c r="E129" s="330"/>
      <c r="F129" s="330"/>
    </row>
    <row r="130" spans="1:6">
      <c r="A130" s="1291" t="s">
        <v>294</v>
      </c>
      <c r="B130" s="1292">
        <v>8</v>
      </c>
      <c r="C130" s="330"/>
      <c r="D130" s="330"/>
      <c r="E130" s="330"/>
      <c r="F130" s="330"/>
    </row>
    <row r="131" spans="1:6">
      <c r="A131" s="1291" t="s">
        <v>295</v>
      </c>
      <c r="B131" s="1292">
        <v>18</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728135.72355091397</v>
      </c>
      <c r="C3" s="43" t="s">
        <v>169</v>
      </c>
      <c r="D3" s="43"/>
      <c r="E3" s="154"/>
      <c r="F3" s="43"/>
      <c r="G3" s="43"/>
      <c r="H3" s="43"/>
      <c r="I3" s="43"/>
      <c r="J3" s="43"/>
      <c r="K3" s="96"/>
    </row>
    <row r="4" spans="1:11">
      <c r="A4" s="358" t="s">
        <v>170</v>
      </c>
      <c r="B4" s="49">
        <f>IF(ISERROR('SEAP template'!B78+'SEAP template'!C78),0,'SEAP template'!B78+'SEAP template'!C78)</f>
        <v>13625.422033153556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10.211437447158671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0.21687850625259161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14.588417121695903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61.443211068211077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0.23742927604321648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5450.1369999999997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5450.1369999999997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0.21687850625259161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1182.0175714319807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135908.49582433089</v>
      </c>
      <c r="C5" s="17">
        <f>IF(ISERROR('Eigen informatie GS &amp; warmtenet'!B57),0,'Eigen informatie GS &amp; warmtenet'!B57)</f>
        <v>0</v>
      </c>
      <c r="D5" s="30">
        <f>(SUM(HH_hh_gas_kWh,HH_rest_gas_kWh)/1000)*0.902</f>
        <v>384405.39151611633</v>
      </c>
      <c r="E5" s="17">
        <f>B46*B57</f>
        <v>59598.875681440681</v>
      </c>
      <c r="F5" s="17">
        <f>B51*B62</f>
        <v>102711.4818614963</v>
      </c>
      <c r="G5" s="18"/>
      <c r="H5" s="17"/>
      <c r="I5" s="17"/>
      <c r="J5" s="17">
        <f>B50*B61+C50*C61</f>
        <v>0</v>
      </c>
      <c r="K5" s="17"/>
      <c r="L5" s="17"/>
      <c r="M5" s="17"/>
      <c r="N5" s="17">
        <f>B48*B59+C48*C59</f>
        <v>20181.252350581824</v>
      </c>
      <c r="O5" s="17">
        <f>B69*B70*B71</f>
        <v>786.35666666666668</v>
      </c>
      <c r="P5" s="17">
        <f>B77*B78*B79/1000-B77*B78*B79/1000/B80</f>
        <v>2078.2666666666664</v>
      </c>
    </row>
    <row r="6" spans="1:16">
      <c r="A6" s="16" t="s">
        <v>623</v>
      </c>
      <c r="B6" s="762">
        <f>kWh_PV_kleiner_dan_10kW</f>
        <v>8044.531091852341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143953.02691618324</v>
      </c>
      <c r="C8" s="21">
        <f>C5</f>
        <v>0</v>
      </c>
      <c r="D8" s="21">
        <f>D5</f>
        <v>384405.39151611633</v>
      </c>
      <c r="E8" s="21">
        <f>E5</f>
        <v>59598.875681440681</v>
      </c>
      <c r="F8" s="21">
        <f>F5</f>
        <v>102711.4818614963</v>
      </c>
      <c r="G8" s="21"/>
      <c r="H8" s="21"/>
      <c r="I8" s="21"/>
      <c r="J8" s="21">
        <f>J5</f>
        <v>0</v>
      </c>
      <c r="K8" s="21"/>
      <c r="L8" s="21">
        <f>L5</f>
        <v>0</v>
      </c>
      <c r="M8" s="21">
        <f>M5</f>
        <v>0</v>
      </c>
      <c r="N8" s="21">
        <f>N5</f>
        <v>20181.252350581824</v>
      </c>
      <c r="O8" s="21">
        <f>O5</f>
        <v>786.35666666666668</v>
      </c>
      <c r="P8" s="21">
        <f>P5</f>
        <v>2078.2666666666664</v>
      </c>
    </row>
    <row r="9" spans="1:16">
      <c r="B9" s="19"/>
      <c r="C9" s="19"/>
      <c r="D9" s="258"/>
      <c r="E9" s="19"/>
      <c r="F9" s="19"/>
      <c r="G9" s="19"/>
      <c r="H9" s="19"/>
      <c r="I9" s="19"/>
      <c r="J9" s="19"/>
      <c r="K9" s="19"/>
      <c r="L9" s="19"/>
      <c r="M9" s="19"/>
      <c r="N9" s="19"/>
      <c r="O9" s="19"/>
      <c r="P9" s="19"/>
    </row>
    <row r="10" spans="1:16">
      <c r="A10" s="24" t="s">
        <v>213</v>
      </c>
      <c r="B10" s="25">
        <f ca="1">'EF ele_warmte'!B12</f>
        <v>0.21687850625259161</v>
      </c>
      <c r="C10" s="25">
        <f ca="1">'EF ele_warmte'!B22</f>
        <v>0.23742927604321648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31220.317448120935</v>
      </c>
      <c r="C12" s="23">
        <f ca="1">C10*C8</f>
        <v>0</v>
      </c>
      <c r="D12" s="23">
        <f>D8*D10</f>
        <v>77649.889086255498</v>
      </c>
      <c r="E12" s="23">
        <f>E10*E8</f>
        <v>13528.944779687035</v>
      </c>
      <c r="F12" s="23">
        <f>F10*F8</f>
        <v>27423.965657019515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695</v>
      </c>
      <c r="B28" s="37">
        <f>aantalHuishoudens</f>
        <v>48184</v>
      </c>
      <c r="C28" s="36"/>
      <c r="D28" s="228"/>
    </row>
    <row r="29" spans="1:7" s="15" customFormat="1">
      <c r="A29" s="230" t="s">
        <v>696</v>
      </c>
      <c r="B29" s="37">
        <f>SUM(HH_hh_gas_aantal,HH_rest_gas_aantal)</f>
        <v>29260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29260</v>
      </c>
      <c r="C32" s="167">
        <f>IF(ISERROR(B32/SUM($B$32,$B$34,$B$35,$B$36,$B$38,$B$39)*100),0,B32/SUM($B$32,$B$34,$B$35,$B$36,$B$38,$B$39)*100)</f>
        <v>60.863234529381174</v>
      </c>
      <c r="D32" s="233"/>
      <c r="G32" s="15"/>
    </row>
    <row r="33" spans="1:7">
      <c r="A33" s="171" t="s">
        <v>71</v>
      </c>
      <c r="B33" s="34" t="s">
        <v>110</v>
      </c>
      <c r="C33" s="167"/>
      <c r="D33" s="233"/>
      <c r="G33" s="15"/>
    </row>
    <row r="34" spans="1:7">
      <c r="A34" s="171" t="s">
        <v>72</v>
      </c>
      <c r="B34" s="33">
        <f>IF((($B$28-$B$32-$B$39-$B$77-$B$38)*C20/100)&lt;0,0,($B$28-$B$32-$B$39-$B$77-$B$38)*C20/100)</f>
        <v>730.29595687331539</v>
      </c>
      <c r="C34" s="167">
        <f>IF(ISERROR(B34/SUM($B$32,$B$34,$B$35,$B$36,$B$38,$B$39)*100),0,B34/SUM($B$32,$B$34,$B$35,$B$36,$B$38,$B$39)*100)</f>
        <v>1.5190763533506302</v>
      </c>
      <c r="D34" s="233"/>
      <c r="G34" s="15"/>
    </row>
    <row r="35" spans="1:7">
      <c r="A35" s="171" t="s">
        <v>73</v>
      </c>
      <c r="B35" s="33">
        <f>IF((($B$28-$B$32-$B$39-$B$77-$B$38)*C21/100)&lt;0,0,($B$28-$B$32-$B$39-$B$77-$B$38)*C21/100)</f>
        <v>12736.856603773585</v>
      </c>
      <c r="C35" s="167">
        <f>IF(ISERROR(B35/SUM($B$32,$B$34,$B$35,$B$36,$B$38,$B$39)*100),0,B35/SUM($B$32,$B$34,$B$35,$B$36,$B$38,$B$39)*100)</f>
        <v>26.493721484708445</v>
      </c>
      <c r="D35" s="233"/>
      <c r="G35" s="15"/>
    </row>
    <row r="36" spans="1:7">
      <c r="A36" s="171" t="s">
        <v>74</v>
      </c>
      <c r="B36" s="33">
        <f>IF((($B$28-$B$32-$B$39-$B$77-$B$38)*C22/100)&lt;0,0,($B$28-$B$32-$B$39-$B$77-$B$38)*C22/100)</f>
        <v>309.44743935309975</v>
      </c>
      <c r="C36" s="167">
        <f>IF(ISERROR(B36/SUM($B$32,$B$34,$B$35,$B$36,$B$38,$B$39)*100),0,B36/SUM($B$32,$B$34,$B$35,$B$36,$B$38,$B$39)*100)</f>
        <v>0.64367642091128396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5038.3999999999996</v>
      </c>
      <c r="C39" s="167">
        <f>IF(ISERROR(B39/SUM($B$32,$B$34,$B$35,$B$36,$B$38,$B$39)*100),0,B39/SUM($B$32,$B$34,$B$35,$B$36,$B$38,$B$39)*100)</f>
        <v>10.480291211648465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29260</v>
      </c>
      <c r="C44" s="34" t="s">
        <v>110</v>
      </c>
      <c r="D44" s="174"/>
    </row>
    <row r="45" spans="1:7">
      <c r="A45" s="171" t="s">
        <v>71</v>
      </c>
      <c r="B45" s="33" t="str">
        <f t="shared" si="0"/>
        <v>-</v>
      </c>
      <c r="C45" s="34" t="s">
        <v>110</v>
      </c>
      <c r="D45" s="174"/>
    </row>
    <row r="46" spans="1:7">
      <c r="A46" s="171" t="s">
        <v>72</v>
      </c>
      <c r="B46" s="33">
        <f t="shared" si="0"/>
        <v>730.29595687331539</v>
      </c>
      <c r="C46" s="34" t="s">
        <v>110</v>
      </c>
      <c r="D46" s="174"/>
    </row>
    <row r="47" spans="1:7">
      <c r="A47" s="171" t="s">
        <v>73</v>
      </c>
      <c r="B47" s="33">
        <f t="shared" si="0"/>
        <v>12736.856603773585</v>
      </c>
      <c r="C47" s="34" t="s">
        <v>110</v>
      </c>
      <c r="D47" s="174"/>
    </row>
    <row r="48" spans="1:7">
      <c r="A48" s="171" t="s">
        <v>74</v>
      </c>
      <c r="B48" s="33">
        <f t="shared" si="0"/>
        <v>309.44743935309975</v>
      </c>
      <c r="C48" s="33">
        <f>B48*10</f>
        <v>3094.4743935309975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5038.3999999999996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503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455910.04216790001</v>
      </c>
      <c r="C5" s="17">
        <f>IF(ISERROR('Eigen informatie GS &amp; warmtenet'!B58),0,'Eigen informatie GS &amp; warmtenet'!B58)</f>
        <v>0</v>
      </c>
      <c r="D5" s="30">
        <f>SUM(D6:D12)</f>
        <v>483092.50548625004</v>
      </c>
      <c r="E5" s="17">
        <f>SUM(E6:E12)</f>
        <v>11001.065819829573</v>
      </c>
      <c r="F5" s="17">
        <f>SUM(F6:F12)</f>
        <v>154864.7257499072</v>
      </c>
      <c r="G5" s="18"/>
      <c r="H5" s="17"/>
      <c r="I5" s="17"/>
      <c r="J5" s="17">
        <f>SUM(J6:J12)</f>
        <v>0</v>
      </c>
      <c r="K5" s="17"/>
      <c r="L5" s="17"/>
      <c r="M5" s="17"/>
      <c r="N5" s="17">
        <f>SUM(N6:N12)</f>
        <v>22467.25841277045</v>
      </c>
      <c r="O5" s="17">
        <f>B38*B39*B40</f>
        <v>12.506666666666668</v>
      </c>
      <c r="P5" s="17">
        <f>B46*B47*B48/1000-B46*B47*B48/1000/B49</f>
        <v>362.26666666666665</v>
      </c>
      <c r="R5" s="32"/>
    </row>
    <row r="6" spans="1:18">
      <c r="A6" s="32" t="s">
        <v>53</v>
      </c>
      <c r="B6" s="37">
        <f>B26</f>
        <v>98911.484112999999</v>
      </c>
      <c r="C6" s="33"/>
      <c r="D6" s="37">
        <f>IF(ISERROR(TER_kantoor_gas_kWh/1000),0,TER_kantoor_gas_kWh/1000)*0.902</f>
        <v>155374.58108326001</v>
      </c>
      <c r="E6" s="33">
        <f>$C$26*'E Balans VL '!I12/100/3.6*1000000</f>
        <v>1294.8731683201208</v>
      </c>
      <c r="F6" s="33">
        <f>$C$26*('E Balans VL '!L12+'E Balans VL '!N12)/100/3.6*1000000</f>
        <v>25221.406335719108</v>
      </c>
      <c r="G6" s="34"/>
      <c r="H6" s="33"/>
      <c r="I6" s="33"/>
      <c r="J6" s="33">
        <f>$C$26*('E Balans VL '!D12+'E Balans VL '!E12)/100/3.6*1000000</f>
        <v>0</v>
      </c>
      <c r="K6" s="33"/>
      <c r="L6" s="33"/>
      <c r="M6" s="33"/>
      <c r="N6" s="33">
        <f>$C$26*'E Balans VL '!Y12/100/3.6*1000000</f>
        <v>99.244563237773562</v>
      </c>
      <c r="O6" s="33"/>
      <c r="P6" s="33"/>
      <c r="R6" s="32"/>
    </row>
    <row r="7" spans="1:18">
      <c r="A7" s="32" t="s">
        <v>52</v>
      </c>
      <c r="B7" s="37">
        <f t="shared" ref="B7:B12" si="0">B27</f>
        <v>237792.26881000001</v>
      </c>
      <c r="C7" s="33"/>
      <c r="D7" s="37">
        <f>IF(ISERROR(TER_horeca_gas_kWh/1000),0,TER_horeca_gas_kWh/1000)*0.902</f>
        <v>202227.29064824001</v>
      </c>
      <c r="E7" s="33">
        <f>$C$27*'E Balans VL '!I9/100/3.6*1000000</f>
        <v>7869.4776557620817</v>
      </c>
      <c r="F7" s="33">
        <f>$C$27*('E Balans VL '!L9+'E Balans VL '!N9)/100/3.6*1000000</f>
        <v>102249.76425793805</v>
      </c>
      <c r="G7" s="34"/>
      <c r="H7" s="33"/>
      <c r="I7" s="33"/>
      <c r="J7" s="33">
        <f>$C$27*('E Balans VL '!D9+'E Balans VL '!E9)/100/3.6*1000000</f>
        <v>0</v>
      </c>
      <c r="K7" s="33"/>
      <c r="L7" s="33"/>
      <c r="M7" s="33"/>
      <c r="N7" s="33">
        <f>$C$27*'E Balans VL '!Y9/100/3.6*1000000</f>
        <v>57.240052225258843</v>
      </c>
      <c r="O7" s="33"/>
      <c r="P7" s="33"/>
      <c r="R7" s="32"/>
    </row>
    <row r="8" spans="1:18">
      <c r="A8" s="6" t="s">
        <v>51</v>
      </c>
      <c r="B8" s="37">
        <f t="shared" si="0"/>
        <v>43868.007996</v>
      </c>
      <c r="C8" s="33"/>
      <c r="D8" s="37">
        <f>IF(ISERROR(TER_handel_gas_kWh/1000),0,TER_handel_gas_kWh/1000)*0.902</f>
        <v>24534.56838085</v>
      </c>
      <c r="E8" s="33">
        <f>$C$28*'E Balans VL '!I13/100/3.6*1000000</f>
        <v>1384.5413606747734</v>
      </c>
      <c r="F8" s="33">
        <f>$C$28*('E Balans VL '!L13+'E Balans VL '!N13)/100/3.6*1000000</f>
        <v>8603.2888356773656</v>
      </c>
      <c r="G8" s="34"/>
      <c r="H8" s="33"/>
      <c r="I8" s="33"/>
      <c r="J8" s="33">
        <f>$C$28*('E Balans VL '!D13+'E Balans VL '!E13)/100/3.6*1000000</f>
        <v>0</v>
      </c>
      <c r="K8" s="33"/>
      <c r="L8" s="33"/>
      <c r="M8" s="33"/>
      <c r="N8" s="33">
        <f>$C$28*'E Balans VL '!Y13/100/3.6*1000000</f>
        <v>52.062808622056629</v>
      </c>
      <c r="O8" s="33"/>
      <c r="P8" s="33"/>
      <c r="R8" s="32"/>
    </row>
    <row r="9" spans="1:18">
      <c r="A9" s="32" t="s">
        <v>50</v>
      </c>
      <c r="B9" s="37">
        <f t="shared" si="0"/>
        <v>20701.888385000002</v>
      </c>
      <c r="C9" s="33"/>
      <c r="D9" s="37">
        <f>IF(ISERROR(TER_gezond_gas_kWh/1000),0,TER_gezond_gas_kWh/1000)*0.902</f>
        <v>19522.410428883999</v>
      </c>
      <c r="E9" s="33">
        <f>$C$29*'E Balans VL '!I10/100/3.6*1000000</f>
        <v>2.6504473335871244</v>
      </c>
      <c r="F9" s="33">
        <f>$C$29*('E Balans VL '!L10+'E Balans VL '!N10)/100/3.6*1000000</f>
        <v>4313.071046256282</v>
      </c>
      <c r="G9" s="34"/>
      <c r="H9" s="33"/>
      <c r="I9" s="33"/>
      <c r="J9" s="33">
        <f>$C$29*('E Balans VL '!D10+'E Balans VL '!E10)/100/3.6*1000000</f>
        <v>0</v>
      </c>
      <c r="K9" s="33"/>
      <c r="L9" s="33"/>
      <c r="M9" s="33"/>
      <c r="N9" s="33">
        <f>$C$29*'E Balans VL '!Y10/100/3.6*1000000</f>
        <v>243.15346408066875</v>
      </c>
      <c r="O9" s="33"/>
      <c r="P9" s="33"/>
      <c r="R9" s="32"/>
    </row>
    <row r="10" spans="1:18">
      <c r="A10" s="32" t="s">
        <v>49</v>
      </c>
      <c r="B10" s="37">
        <f t="shared" si="0"/>
        <v>25377.867403</v>
      </c>
      <c r="C10" s="33"/>
      <c r="D10" s="37">
        <f>IF(ISERROR(TER_ander_gas_kWh/1000),0,TER_ander_gas_kWh/1000)*0.902</f>
        <v>18165.06498345</v>
      </c>
      <c r="E10" s="33">
        <f>$C$30*'E Balans VL '!I14/100/3.6*1000000</f>
        <v>38.162344573004013</v>
      </c>
      <c r="F10" s="33">
        <f>$C$30*('E Balans VL '!L14+'E Balans VL '!N14)/100/3.6*1000000</f>
        <v>5602.6150772542624</v>
      </c>
      <c r="G10" s="34"/>
      <c r="H10" s="33"/>
      <c r="I10" s="33"/>
      <c r="J10" s="33">
        <f>$C$30*('E Balans VL '!D14+'E Balans VL '!E14)/100/3.6*1000000</f>
        <v>0</v>
      </c>
      <c r="K10" s="33"/>
      <c r="L10" s="33"/>
      <c r="M10" s="33"/>
      <c r="N10" s="33">
        <f>$C$30*'E Balans VL '!Y14/100/3.6*1000000</f>
        <v>19999.46737964726</v>
      </c>
      <c r="O10" s="33"/>
      <c r="P10" s="33"/>
      <c r="R10" s="32"/>
    </row>
    <row r="11" spans="1:18">
      <c r="A11" s="32" t="s">
        <v>54</v>
      </c>
      <c r="B11" s="37">
        <f t="shared" si="0"/>
        <v>6549.5060309</v>
      </c>
      <c r="C11" s="33"/>
      <c r="D11" s="37">
        <f>IF(ISERROR(TER_onderwijs_gas_kWh/1000),0,TER_onderwijs_gas_kWh/1000)*0.902</f>
        <v>13564.555515368</v>
      </c>
      <c r="E11" s="33">
        <f>$C$31*'E Balans VL '!I11/100/3.6*1000000</f>
        <v>11.534228967123125</v>
      </c>
      <c r="F11" s="33">
        <f>$C$31*('E Balans VL '!L11+'E Balans VL '!N11)/100/3.6*1000000</f>
        <v>3024.0254475821466</v>
      </c>
      <c r="G11" s="34"/>
      <c r="H11" s="33"/>
      <c r="I11" s="33"/>
      <c r="J11" s="33">
        <f>$C$31*('E Balans VL '!D11+'E Balans VL '!E11)/100/3.6*1000000</f>
        <v>0</v>
      </c>
      <c r="K11" s="33"/>
      <c r="L11" s="33"/>
      <c r="M11" s="33"/>
      <c r="N11" s="33">
        <f>$C$31*'E Balans VL '!Y11/100/3.6*1000000</f>
        <v>12.201820307236266</v>
      </c>
      <c r="O11" s="33"/>
      <c r="P11" s="33"/>
      <c r="R11" s="32"/>
    </row>
    <row r="12" spans="1:18">
      <c r="A12" s="32" t="s">
        <v>259</v>
      </c>
      <c r="B12" s="37">
        <f t="shared" si="0"/>
        <v>22709.01943</v>
      </c>
      <c r="C12" s="33"/>
      <c r="D12" s="37">
        <f>IF(ISERROR(TER_rest_gas_kWh/1000),0,TER_rest_gas_kWh/1000)*0.902</f>
        <v>49704.034446198006</v>
      </c>
      <c r="E12" s="33">
        <f>$C$32*'E Balans VL '!I8/100/3.6*1000000</f>
        <v>399.82661419888353</v>
      </c>
      <c r="F12" s="33">
        <f>$C$32*('E Balans VL '!L8+'E Balans VL '!N8)/100/3.6*1000000</f>
        <v>5850.5547494799539</v>
      </c>
      <c r="G12" s="34"/>
      <c r="H12" s="33"/>
      <c r="I12" s="33"/>
      <c r="J12" s="33">
        <f>$C$32*('E Balans VL '!D8+'E Balans VL '!E8)/100/3.6*1000000</f>
        <v>0</v>
      </c>
      <c r="K12" s="33"/>
      <c r="L12" s="33"/>
      <c r="M12" s="33"/>
      <c r="N12" s="33">
        <f>$C$32*'E Balans VL '!Y8/100/3.6*1000000</f>
        <v>2003.8883246501957</v>
      </c>
      <c r="O12" s="33"/>
      <c r="P12" s="33"/>
      <c r="R12" s="32"/>
    </row>
    <row r="13" spans="1:18">
      <c r="A13" s="16" t="s">
        <v>490</v>
      </c>
      <c r="B13" s="247">
        <f ca="1">'lokale energieproductie'!N39+'lokale energieproductie'!N32</f>
        <v>1447.0083333333334</v>
      </c>
      <c r="C13" s="247">
        <f ca="1">'lokale energieproductie'!O39+'lokale energieproductie'!O32</f>
        <v>61.443211068211077</v>
      </c>
      <c r="D13" s="308">
        <f ca="1">('lokale energieproductie'!P32+'lokale energieproductie'!P39)*(-1)</f>
        <v>-122.77155727155728</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-4011.4285714285716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457357.05050123337</v>
      </c>
      <c r="C16" s="21">
        <f t="shared" ca="1" si="1"/>
        <v>61.443211068211077</v>
      </c>
      <c r="D16" s="21">
        <f t="shared" ca="1" si="1"/>
        <v>482969.7339289785</v>
      </c>
      <c r="E16" s="21">
        <f t="shared" si="1"/>
        <v>11001.065819829573</v>
      </c>
      <c r="F16" s="21">
        <f t="shared" ca="1" si="1"/>
        <v>154864.7257499072</v>
      </c>
      <c r="G16" s="21">
        <f t="shared" si="1"/>
        <v>0</v>
      </c>
      <c r="H16" s="21">
        <f t="shared" si="1"/>
        <v>0</v>
      </c>
      <c r="I16" s="21">
        <f t="shared" si="1"/>
        <v>0</v>
      </c>
      <c r="J16" s="21">
        <f t="shared" si="1"/>
        <v>0</v>
      </c>
      <c r="K16" s="21">
        <f t="shared" si="1"/>
        <v>0</v>
      </c>
      <c r="L16" s="21">
        <f t="shared" ca="1" si="1"/>
        <v>0</v>
      </c>
      <c r="M16" s="21">
        <f t="shared" si="1"/>
        <v>0</v>
      </c>
      <c r="N16" s="21">
        <f t="shared" ca="1" si="1"/>
        <v>18455.829841341878</v>
      </c>
      <c r="O16" s="21">
        <f>O5</f>
        <v>12.506666666666668</v>
      </c>
      <c r="P16" s="21">
        <f>P5</f>
        <v>362.26666666666665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0.21687850625259161</v>
      </c>
      <c r="C18" s="25">
        <f ca="1">'EF ele_warmte'!B22</f>
        <v>0.23742927604321648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99190.913936798606</v>
      </c>
      <c r="C20" s="23">
        <f t="shared" ref="C20:P20" ca="1" si="2">C16*C18</f>
        <v>14.588417121695903</v>
      </c>
      <c r="D20" s="23">
        <f t="shared" ca="1" si="2"/>
        <v>97559.886253653662</v>
      </c>
      <c r="E20" s="23">
        <f t="shared" si="2"/>
        <v>2497.2419411013134</v>
      </c>
      <c r="F20" s="23">
        <f t="shared" ca="1" si="2"/>
        <v>41348.881775225222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98911.484112999999</v>
      </c>
      <c r="C26" s="39">
        <f>IF(ISERROR(B26*3.6/1000000/'E Balans VL '!Z12*100),0,B26*3.6/1000000/'E Balans VL '!Z12*100)</f>
        <v>2.1187608310403014</v>
      </c>
      <c r="D26" s="237" t="s">
        <v>659</v>
      </c>
      <c r="F26" s="6"/>
    </row>
    <row r="27" spans="1:18">
      <c r="A27" s="231" t="s">
        <v>52</v>
      </c>
      <c r="B27" s="33">
        <f>IF(ISERROR(TER_horeca_ele_kWh/1000),0,TER_horeca_ele_kWh/1000)</f>
        <v>237792.26881000001</v>
      </c>
      <c r="C27" s="39">
        <f>IF(ISERROR(B27*3.6/1000000/'E Balans VL '!Z9*100),0,B27*3.6/1000000/'E Balans VL '!Z9*100)</f>
        <v>19.082003014512924</v>
      </c>
      <c r="D27" s="237" t="s">
        <v>659</v>
      </c>
      <c r="F27" s="6"/>
    </row>
    <row r="28" spans="1:18">
      <c r="A28" s="171" t="s">
        <v>51</v>
      </c>
      <c r="B28" s="33">
        <f>IF(ISERROR(TER_handel_ele_kWh/1000),0,TER_handel_ele_kWh/1000)</f>
        <v>43868.007996</v>
      </c>
      <c r="C28" s="39">
        <f>IF(ISERROR(B28*3.6/1000000/'E Balans VL '!Z13*100),0,B28*3.6/1000000/'E Balans VL '!Z13*100)</f>
        <v>1.2938546190243161</v>
      </c>
      <c r="D28" s="237" t="s">
        <v>659</v>
      </c>
      <c r="F28" s="6"/>
    </row>
    <row r="29" spans="1:18">
      <c r="A29" s="231" t="s">
        <v>50</v>
      </c>
      <c r="B29" s="33">
        <f>IF(ISERROR(TER_gezond_ele_kWh/1000),0,TER_gezond_ele_kWh/1000)</f>
        <v>20701.888385000002</v>
      </c>
      <c r="C29" s="39">
        <f>IF(ISERROR(B29*3.6/1000000/'E Balans VL '!Z10*100),0,B29*3.6/1000000/'E Balans VL '!Z10*100)</f>
        <v>2.2104066410766285</v>
      </c>
      <c r="D29" s="237" t="s">
        <v>659</v>
      </c>
      <c r="F29" s="6"/>
    </row>
    <row r="30" spans="1:18">
      <c r="A30" s="231" t="s">
        <v>49</v>
      </c>
      <c r="B30" s="33">
        <f>IF(ISERROR(TER_ander_ele_kWh/1000),0,TER_ander_ele_kWh/1000)</f>
        <v>25377.867403</v>
      </c>
      <c r="C30" s="39">
        <f>IF(ISERROR(B30*3.6/1000000/'E Balans VL '!Z14*100),0,B30*3.6/1000000/'E Balans VL '!Z14*100)</f>
        <v>1.9168899798141359</v>
      </c>
      <c r="D30" s="237" t="s">
        <v>659</v>
      </c>
      <c r="F30" s="6"/>
    </row>
    <row r="31" spans="1:18">
      <c r="A31" s="231" t="s">
        <v>54</v>
      </c>
      <c r="B31" s="33">
        <f>IF(ISERROR(TER_onderwijs_ele_kWh/1000),0,TER_onderwijs_ele_kWh/1000)</f>
        <v>6549.5060309</v>
      </c>
      <c r="C31" s="39">
        <f>IF(ISERROR(B31*3.6/1000000/'E Balans VL '!Z11*100),0,B31*3.6/1000000/'E Balans VL '!Z11*100)</f>
        <v>1.3225639070408362</v>
      </c>
      <c r="D31" s="237" t="s">
        <v>659</v>
      </c>
    </row>
    <row r="32" spans="1:18">
      <c r="A32" s="231" t="s">
        <v>259</v>
      </c>
      <c r="B32" s="33">
        <f>IF(ISERROR(TER_rest_ele_kWh/1000),0,TER_rest_ele_kWh/1000)</f>
        <v>22709.01943</v>
      </c>
      <c r="C32" s="39">
        <f>IF(ISERROR(B32*3.6/1000000/'E Balans VL '!Z8*100),0,B32*3.6/1000000/'E Balans VL '!Z8*100)</f>
        <v>0.18828939315613075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19</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108937.70702449301</v>
      </c>
      <c r="C5" s="17">
        <f>IF(ISERROR('Eigen informatie GS &amp; warmtenet'!B59),0,'Eigen informatie GS &amp; warmtenet'!B59)</f>
        <v>0</v>
      </c>
      <c r="D5" s="30">
        <f>SUM(D6:D15)</f>
        <v>102644.12245342771</v>
      </c>
      <c r="E5" s="17">
        <f>SUM(E6:E15)</f>
        <v>11614.266717315522</v>
      </c>
      <c r="F5" s="17">
        <f>SUM(F6:F15)</f>
        <v>45176.627519323243</v>
      </c>
      <c r="G5" s="18"/>
      <c r="H5" s="17"/>
      <c r="I5" s="17"/>
      <c r="J5" s="17">
        <f>SUM(J6:J15)</f>
        <v>408.23367954454733</v>
      </c>
      <c r="K5" s="17"/>
      <c r="L5" s="17"/>
      <c r="M5" s="17"/>
      <c r="N5" s="17">
        <f>SUM(N6:N15)</f>
        <v>15438.877558024011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1818.5348386999999</v>
      </c>
      <c r="C8" s="33"/>
      <c r="D8" s="37">
        <f>IF( ISERROR(IND_metaal_Gas_kWH/1000),0,IND_metaal_Gas_kWH/1000)*0.902</f>
        <v>164.00018534460003</v>
      </c>
      <c r="E8" s="33">
        <f>C30*'E Balans VL '!I18/100/3.6*1000000</f>
        <v>65.436384937244753</v>
      </c>
      <c r="F8" s="33">
        <f>C30*'E Balans VL '!L18/100/3.6*1000000+C30*'E Balans VL '!N18/100/3.6*1000000</f>
        <v>794.09521350330192</v>
      </c>
      <c r="G8" s="34"/>
      <c r="H8" s="33"/>
      <c r="I8" s="33"/>
      <c r="J8" s="40">
        <f>C30*'E Balans VL '!D18/100/3.6*1000000+C30*'E Balans VL '!E18/100/3.6*1000000</f>
        <v>0</v>
      </c>
      <c r="K8" s="33"/>
      <c r="L8" s="33"/>
      <c r="M8" s="33"/>
      <c r="N8" s="33">
        <f>C30*'E Balans VL '!Y18/100/3.6*1000000</f>
        <v>91.143730290273524</v>
      </c>
      <c r="O8" s="33"/>
      <c r="P8" s="33"/>
      <c r="R8" s="32"/>
    </row>
    <row r="9" spans="1:18">
      <c r="A9" s="6" t="s">
        <v>32</v>
      </c>
      <c r="B9" s="37">
        <f t="shared" si="0"/>
        <v>32512.383846000001</v>
      </c>
      <c r="C9" s="33"/>
      <c r="D9" s="37">
        <f>IF( ISERROR(IND_andere_gas_kWh/1000),0,IND_andere_gas_kWh/1000)*0.902</f>
        <v>24140.620874854001</v>
      </c>
      <c r="E9" s="33">
        <f>C31*'E Balans VL '!I19/100/3.6*1000000</f>
        <v>8296.4247442109227</v>
      </c>
      <c r="F9" s="33">
        <f>C31*'E Balans VL '!L19/100/3.6*1000000+C31*'E Balans VL '!N19/100/3.6*1000000</f>
        <v>27990.718765632242</v>
      </c>
      <c r="G9" s="34"/>
      <c r="H9" s="33"/>
      <c r="I9" s="33"/>
      <c r="J9" s="40">
        <f>C31*'E Balans VL '!D19/100/3.6*1000000+C31*'E Balans VL '!E19/100/3.6*1000000</f>
        <v>0</v>
      </c>
      <c r="K9" s="33"/>
      <c r="L9" s="33"/>
      <c r="M9" s="33"/>
      <c r="N9" s="33">
        <f>C31*'E Balans VL '!Y19/100/3.6*1000000</f>
        <v>2564.8466347573922</v>
      </c>
      <c r="O9" s="33"/>
      <c r="P9" s="33"/>
      <c r="R9" s="32"/>
    </row>
    <row r="10" spans="1:18">
      <c r="A10" s="6" t="s">
        <v>40</v>
      </c>
      <c r="B10" s="37">
        <f t="shared" si="0"/>
        <v>26761.416716</v>
      </c>
      <c r="C10" s="33"/>
      <c r="D10" s="37">
        <f>IF( ISERROR(IND_voed_gas_kWh/1000),0,IND_voed_gas_kWh/1000)*0.902</f>
        <v>7125.4192029305996</v>
      </c>
      <c r="E10" s="33">
        <f>C32*'E Balans VL '!I20/100/3.6*1000000</f>
        <v>680.31195935717949</v>
      </c>
      <c r="F10" s="33">
        <f>C32*'E Balans VL '!L20/100/3.6*1000000+C32*'E Balans VL '!N20/100/3.6*1000000</f>
        <v>6055.7068793212347</v>
      </c>
      <c r="G10" s="34"/>
      <c r="H10" s="33"/>
      <c r="I10" s="33"/>
      <c r="J10" s="40">
        <f>C32*'E Balans VL '!D20/100/3.6*1000000+C32*'E Balans VL '!E20/100/3.6*1000000</f>
        <v>0</v>
      </c>
      <c r="K10" s="33"/>
      <c r="L10" s="33"/>
      <c r="M10" s="33"/>
      <c r="N10" s="33">
        <f>C32*'E Balans VL '!Y20/100/3.6*1000000</f>
        <v>10036.256665232595</v>
      </c>
      <c r="O10" s="33"/>
      <c r="P10" s="33"/>
      <c r="R10" s="32"/>
    </row>
    <row r="11" spans="1:18">
      <c r="A11" s="6" t="s">
        <v>39</v>
      </c>
      <c r="B11" s="37">
        <f t="shared" si="0"/>
        <v>96.337542698999997</v>
      </c>
      <c r="C11" s="33"/>
      <c r="D11" s="37">
        <f>IF( ISERROR(IND_textiel_gas_kWh/1000),0,IND_textiel_gas_kWh/1000)*0.902</f>
        <v>118.85386508292</v>
      </c>
      <c r="E11" s="33">
        <f>C33*'E Balans VL '!I21/100/3.6*1000000</f>
        <v>0.26447246207531749</v>
      </c>
      <c r="F11" s="33">
        <f>C33*'E Balans VL '!L21/100/3.6*1000000+C33*'E Balans VL '!N21/100/3.6*1000000</f>
        <v>5.1074150236269471</v>
      </c>
      <c r="G11" s="34"/>
      <c r="H11" s="33"/>
      <c r="I11" s="33"/>
      <c r="J11" s="40">
        <f>C33*'E Balans VL '!D21/100/3.6*1000000+C33*'E Balans VL '!E21/100/3.6*1000000</f>
        <v>0</v>
      </c>
      <c r="K11" s="33"/>
      <c r="L11" s="33"/>
      <c r="M11" s="33"/>
      <c r="N11" s="33">
        <f>C33*'E Balans VL '!Y21/100/3.6*1000000</f>
        <v>0.19362251863734378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363.05873917999998</v>
      </c>
      <c r="C13" s="33"/>
      <c r="D13" s="37">
        <f>IF( ISERROR(IND_papier_gas_kWh/1000),0,IND_papier_gas_kWh/1000)*0.902</f>
        <v>995.99764080960006</v>
      </c>
      <c r="E13" s="33">
        <f>C35*'E Balans VL '!I23/100/3.6*1000000</f>
        <v>1.5570533120993115</v>
      </c>
      <c r="F13" s="33">
        <f>C35*'E Balans VL '!L23/100/3.6*1000000+C35*'E Balans VL '!N23/100/3.6*1000000</f>
        <v>9.1247929781836934</v>
      </c>
      <c r="G13" s="34"/>
      <c r="H13" s="33"/>
      <c r="I13" s="33"/>
      <c r="J13" s="40">
        <f>C35*'E Balans VL '!D23/100/3.6*1000000+C35*'E Balans VL '!E23/100/3.6*1000000</f>
        <v>24.304791292830437</v>
      </c>
      <c r="K13" s="33"/>
      <c r="L13" s="33"/>
      <c r="M13" s="33"/>
      <c r="N13" s="33">
        <f>C35*'E Balans VL '!Y23/100/3.6*1000000</f>
        <v>88.53682960993676</v>
      </c>
      <c r="O13" s="33"/>
      <c r="P13" s="33"/>
      <c r="R13" s="32"/>
    </row>
    <row r="14" spans="1:18">
      <c r="A14" s="6" t="s">
        <v>33</v>
      </c>
      <c r="B14" s="37">
        <f t="shared" si="0"/>
        <v>28.948562914</v>
      </c>
      <c r="C14" s="33"/>
      <c r="D14" s="37">
        <f>IF( ISERROR(IND_chemie_gas_kWh/1000),0,IND_chemie_gas_kWh/1000)*0.902</f>
        <v>0</v>
      </c>
      <c r="E14" s="33">
        <f>C36*'E Balans VL '!I24/100/3.6*1000000</f>
        <v>6.9399645175441171E-2</v>
      </c>
      <c r="F14" s="33">
        <f>C36*'E Balans VL '!L24/100/3.6*1000000+C36*'E Balans VL '!N24/100/3.6*1000000</f>
        <v>0.23231876567220494</v>
      </c>
      <c r="G14" s="34"/>
      <c r="H14" s="33"/>
      <c r="I14" s="33"/>
      <c r="J14" s="40">
        <f>C36*'E Balans VL '!D24/100/3.6*1000000+C36*'E Balans VL '!E24/100/3.6*1000000</f>
        <v>0</v>
      </c>
      <c r="K14" s="33"/>
      <c r="L14" s="33"/>
      <c r="M14" s="33"/>
      <c r="N14" s="33">
        <f>C36*'E Balans VL '!Y24/100/3.6*1000000</f>
        <v>0.59834435274698328</v>
      </c>
      <c r="O14" s="33"/>
      <c r="P14" s="33"/>
      <c r="R14" s="32"/>
    </row>
    <row r="15" spans="1:18">
      <c r="A15" s="6" t="s">
        <v>269</v>
      </c>
      <c r="B15" s="37">
        <f t="shared" si="0"/>
        <v>47357.026779</v>
      </c>
      <c r="C15" s="33"/>
      <c r="D15" s="37">
        <f>IF( ISERROR(IND_rest_gas_kWh/1000),0,IND_rest_gas_kWh/1000)*0.902</f>
        <v>70099.230684405993</v>
      </c>
      <c r="E15" s="33">
        <f>C37*'E Balans VL '!I15/100/3.6*1000000</f>
        <v>2570.2027033908275</v>
      </c>
      <c r="F15" s="33">
        <f>C37*'E Balans VL '!L15/100/3.6*1000000+C37*'E Balans VL '!N15/100/3.6*1000000</f>
        <v>10321.642134098991</v>
      </c>
      <c r="G15" s="34"/>
      <c r="H15" s="33"/>
      <c r="I15" s="33"/>
      <c r="J15" s="40">
        <f>C37*'E Balans VL '!D15/100/3.6*1000000+C37*'E Balans VL '!E15/100/3.6*1000000</f>
        <v>383.9288882517169</v>
      </c>
      <c r="K15" s="33"/>
      <c r="L15" s="33"/>
      <c r="M15" s="33"/>
      <c r="N15" s="33">
        <f>C37*'E Balans VL '!Y15/100/3.6*1000000</f>
        <v>2657.3017312624265</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108937.70702449301</v>
      </c>
      <c r="C18" s="21">
        <f>C5+C16</f>
        <v>0</v>
      </c>
      <c r="D18" s="21">
        <f>MAX((D5+D16),0)</f>
        <v>102644.12245342771</v>
      </c>
      <c r="E18" s="21">
        <f>MAX((E5+E16),0)</f>
        <v>11614.266717315522</v>
      </c>
      <c r="F18" s="21">
        <f>MAX((F5+F16),0)</f>
        <v>45176.627519323243</v>
      </c>
      <c r="G18" s="21"/>
      <c r="H18" s="21"/>
      <c r="I18" s="21"/>
      <c r="J18" s="21">
        <f>MAX((J5+J16),0)</f>
        <v>408.23367954454733</v>
      </c>
      <c r="K18" s="21"/>
      <c r="L18" s="21">
        <f>MAX((L5+L16),0)</f>
        <v>0</v>
      </c>
      <c r="M18" s="21"/>
      <c r="N18" s="21">
        <f>MAX((N5+N16),0)</f>
        <v>15438.877558024011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0.21687850625259161</v>
      </c>
      <c r="C20" s="25">
        <f ca="1">'EF ele_warmte'!B22</f>
        <v>0.23742927604321648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23626.247174054501</v>
      </c>
      <c r="C22" s="23">
        <f ca="1">C18*C20</f>
        <v>0</v>
      </c>
      <c r="D22" s="23">
        <f>D18*D20</f>
        <v>20734.1127355924</v>
      </c>
      <c r="E22" s="23">
        <f>E18*E20</f>
        <v>2636.4385448306239</v>
      </c>
      <c r="F22" s="23">
        <f>F18*F20</f>
        <v>12062.159547659307</v>
      </c>
      <c r="G22" s="23"/>
      <c r="H22" s="23"/>
      <c r="I22" s="23"/>
      <c r="J22" s="23">
        <f>J18*J20</f>
        <v>144.51472255876973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1818.5348386999999</v>
      </c>
      <c r="C30" s="39">
        <f>IF(ISERROR(B30*3.6/1000000/'E Balans VL '!Z18*100),0,B30*3.6/1000000/'E Balans VL '!Z18*100)</f>
        <v>0.38530854396114755</v>
      </c>
      <c r="D30" s="237" t="s">
        <v>659</v>
      </c>
    </row>
    <row r="31" spans="1:18">
      <c r="A31" s="6" t="s">
        <v>32</v>
      </c>
      <c r="B31" s="37">
        <f>IF( ISERROR(IND_ander_ele_kWh/1000),0,IND_ander_ele_kWh/1000)</f>
        <v>32512.383846000001</v>
      </c>
      <c r="C31" s="39">
        <f>IF(ISERROR(B31*3.6/1000000/'E Balans VL '!Z19*100),0,B31*3.6/1000000/'E Balans VL '!Z19*100)</f>
        <v>1.368520060814634</v>
      </c>
      <c r="D31" s="237" t="s">
        <v>659</v>
      </c>
    </row>
    <row r="32" spans="1:18">
      <c r="A32" s="171" t="s">
        <v>40</v>
      </c>
      <c r="B32" s="37">
        <f>IF( ISERROR(IND_voed_ele_kWh/1000),0,IND_voed_ele_kWh/1000)</f>
        <v>26761.416716</v>
      </c>
      <c r="C32" s="39">
        <f>IF(ISERROR(B32*3.6/1000000/'E Balans VL '!Z20*100),0,B32*3.6/1000000/'E Balans VL '!Z20*100)</f>
        <v>4.4707974470134237</v>
      </c>
      <c r="D32" s="237" t="s">
        <v>659</v>
      </c>
    </row>
    <row r="33" spans="1:5">
      <c r="A33" s="171" t="s">
        <v>39</v>
      </c>
      <c r="B33" s="37">
        <f>IF( ISERROR(IND_textiel_ele_kWh/1000),0,IND_textiel_ele_kWh/1000)</f>
        <v>96.337542698999997</v>
      </c>
      <c r="C33" s="39">
        <f>IF(ISERROR(B33*3.6/1000000/'E Balans VL '!Z21*100),0,B33*3.6/1000000/'E Balans VL '!Z21*100)</f>
        <v>5.6244740344907418E-3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363.05873917999998</v>
      </c>
      <c r="C35" s="39">
        <f>IF(ISERROR(B35*3.6/1000000/'E Balans VL '!Z22*100),0,B35*3.6/1000000/'E Balans VL '!Z22*100)</f>
        <v>4.6019653161062601E-2</v>
      </c>
      <c r="D35" s="237" t="s">
        <v>659</v>
      </c>
    </row>
    <row r="36" spans="1:5">
      <c r="A36" s="171" t="s">
        <v>33</v>
      </c>
      <c r="B36" s="37">
        <f>IF( ISERROR(IND_chemie_ele_kWh/1000),0,IND_chemie_ele_kWh/1000)</f>
        <v>28.948562914</v>
      </c>
      <c r="C36" s="39">
        <f>IF(ISERROR(B36*3.6/1000000/'E Balans VL '!Z24*100),0,B36*3.6/1000000/'E Balans VL '!Z24*100)</f>
        <v>9.4025025697181731E-4</v>
      </c>
      <c r="D36" s="237" t="s">
        <v>659</v>
      </c>
    </row>
    <row r="37" spans="1:5">
      <c r="A37" s="171" t="s">
        <v>269</v>
      </c>
      <c r="B37" s="37">
        <f>IF( ISERROR(IND_rest_ele_kWh/1000),0,IND_rest_ele_kWh/1000)</f>
        <v>47357.026779</v>
      </c>
      <c r="C37" s="39">
        <f>IF(ISERROR(B37*3.6/1000000/'E Balans VL '!Z15*100),0,B37*3.6/1000000/'E Balans VL '!Z15*100)</f>
        <v>0.38233161466811122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1561.0442388200001</v>
      </c>
      <c r="C5" s="17">
        <f>'Eigen informatie GS &amp; warmtenet'!B60</f>
        <v>0</v>
      </c>
      <c r="D5" s="30">
        <f>IF(ISERROR(SUM(LB_lb_gas_kWh,LB_rest_gas_kWh)/1000),0,SUM(LB_lb_gas_kWh,LB_rest_gas_kWh)/1000)*0.902</f>
        <v>1648.84762273814</v>
      </c>
      <c r="E5" s="17">
        <f>B17*'E Balans VL '!I25/3.6*1000000/100</f>
        <v>40.253337202252858</v>
      </c>
      <c r="F5" s="17">
        <f>B17*('E Balans VL '!L25/3.6*1000000+'E Balans VL '!N25/3.6*1000000)/100</f>
        <v>5705.9139793210579</v>
      </c>
      <c r="G5" s="18"/>
      <c r="H5" s="17"/>
      <c r="I5" s="17"/>
      <c r="J5" s="17">
        <f>('E Balans VL '!D25+'E Balans VL '!E25)/3.6*1000000*landbouw!B17/100</f>
        <v>224.73294479098905</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1561.0442388200001</v>
      </c>
      <c r="C8" s="21">
        <f>C5+C6</f>
        <v>0</v>
      </c>
      <c r="D8" s="21">
        <f>MAX((D5+D6),0)</f>
        <v>1648.84762273814</v>
      </c>
      <c r="E8" s="21">
        <f>MAX((E5+E6),0)</f>
        <v>40.253337202252858</v>
      </c>
      <c r="F8" s="21">
        <f>MAX((F5+F6),0)</f>
        <v>5705.9139793210579</v>
      </c>
      <c r="G8" s="21"/>
      <c r="H8" s="21"/>
      <c r="I8" s="21"/>
      <c r="J8" s="21">
        <f>MAX((J5+J6),0)</f>
        <v>224.73294479098905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0.21687850625259161</v>
      </c>
      <c r="C10" s="31">
        <f ca="1">'EF ele_warmte'!B22</f>
        <v>0.23742927604321648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338.5569427094955</v>
      </c>
      <c r="C12" s="23">
        <f ca="1">C8*C10</f>
        <v>0</v>
      </c>
      <c r="D12" s="23">
        <f>D8*D10</f>
        <v>333.0672197931043</v>
      </c>
      <c r="E12" s="23">
        <f>E8*E10</f>
        <v>9.1375075449113989</v>
      </c>
      <c r="F12" s="23">
        <f>F8*F10</f>
        <v>1523.4790324787225</v>
      </c>
      <c r="G12" s="23"/>
      <c r="H12" s="23"/>
      <c r="I12" s="23"/>
      <c r="J12" s="23">
        <f>J8*J10</f>
        <v>79.555462456010119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0.22011757779880264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51.381696318323797</v>
      </c>
      <c r="C26" s="247">
        <f>B26*'GWP N2O_CH4'!B5</f>
        <v>1079.0156226847998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6.0344345831304063</v>
      </c>
      <c r="C27" s="247">
        <f>B27*'GWP N2O_CH4'!B5</f>
        <v>126.72312624573853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0.62108706181619877</v>
      </c>
      <c r="C28" s="247">
        <f>B28*'GWP N2O_CH4'!B4</f>
        <v>192.53698916302162</v>
      </c>
      <c r="D28" s="50"/>
    </row>
    <row r="29" spans="1:4">
      <c r="A29" s="41" t="s">
        <v>276</v>
      </c>
      <c r="B29" s="247">
        <f>B34*'ha_N2O bodem landbouw'!B4</f>
        <v>7.0761606101931305</v>
      </c>
      <c r="C29" s="247">
        <f>B29*'GWP N2O_CH4'!B4</f>
        <v>2193.6097891598706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1.5925206670467501E-3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5.051854230637493E-4</v>
      </c>
      <c r="C5" s="437" t="s">
        <v>210</v>
      </c>
      <c r="D5" s="422">
        <f>SUM(D6:D11)</f>
        <v>1.023515475495796E-3</v>
      </c>
      <c r="E5" s="422">
        <f>SUM(E6:E11)</f>
        <v>5.1253500556003905E-3</v>
      </c>
      <c r="F5" s="435" t="s">
        <v>210</v>
      </c>
      <c r="G5" s="422">
        <f>SUM(G6:G11)</f>
        <v>1.7036852753106331</v>
      </c>
      <c r="H5" s="422">
        <f>SUM(H6:H11)</f>
        <v>0.35670533898239187</v>
      </c>
      <c r="I5" s="437" t="s">
        <v>210</v>
      </c>
      <c r="J5" s="437" t="s">
        <v>210</v>
      </c>
      <c r="K5" s="437" t="s">
        <v>210</v>
      </c>
      <c r="L5" s="437" t="s">
        <v>210</v>
      </c>
      <c r="M5" s="422">
        <f>SUM(M6:M11)</f>
        <v>6.4288353300376827E-2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1.3784384133927466E-4</v>
      </c>
      <c r="C6" s="423"/>
      <c r="D6" s="865">
        <f>vkm_GW_PW*SUMIFS(TableVerdeelsleutelVkm[CNG],TableVerdeelsleutelVkm[Voertuigtype],"Lichte voertuigen")*SUMIFS(TableECFTransport[EnergieConsumptieFactor (PJ per km)],TableECFTransport[Index],CONCATENATE($A6,"_CNG_CNG"))</f>
        <v>2.4848787709360378E-4</v>
      </c>
      <c r="E6" s="865">
        <f>vkm_GW_PW*SUMIFS(TableVerdeelsleutelVkm[LPG],TableVerdeelsleutelVkm[Voertuigtype],"Lichte voertuigen")*SUMIFS(TableECFTransport[EnergieConsumptieFactor (PJ per km)],TableECFTransport[Index],CONCATENATE($A6,"_LPG_LPG"))</f>
        <v>1.1225256666624083E-3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0.3066724799606983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8.5319508900605565E-2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1.220498014458501E-2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6.0413283961438816E-2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1.0901465451856924E-6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1.9006052999944677E-3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8.7138952122350652E-5</v>
      </c>
      <c r="C8" s="423"/>
      <c r="D8" s="425">
        <f>vkm_NGW_PW*SUMIFS(TableVerdeelsleutelVkm[CNG],TableVerdeelsleutelVkm[Voertuigtype],"Lichte voertuigen")*SUMIFS(TableECFTransport[EnergieConsumptieFactor (PJ per km)],TableECFTransport[Index],CONCATENATE($A8,"_CNG_CNG"))</f>
        <v>2.6699651126944315E-4</v>
      </c>
      <c r="E8" s="425">
        <f>vkm_NGW_PW*SUMIFS(TableVerdeelsleutelVkm[LPG],TableVerdeelsleutelVkm[Voertuigtype],"Lichte voertuigen")*SUMIFS(TableECFTransport[EnergieConsumptieFactor (PJ per km)],TableECFTransport[Index],CONCATENATE($A8,"_LPG_LPG"))</f>
        <v>1.1448820039890459E-3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0.29368819459523371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8.9086427454168143E-2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1.1909403623017191E-2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8.5826758409348371E-3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1.9118419225204816E-7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2.7001255140403748E-4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2.8020262960212397E-4</v>
      </c>
      <c r="C10" s="423"/>
      <c r="D10" s="425">
        <f>vkm_SW_PW*SUMIFS(TableVerdeelsleutelVkm[CNG],TableVerdeelsleutelVkm[Voertuigtype],"Lichte voertuigen")*SUMIFS(TableECFTransport[EnergieConsumptieFactor (PJ per km)],TableECFTransport[Index],CONCATENATE($A10,"_CNG_CNG"))</f>
        <v>5.0803108713274908E-4</v>
      </c>
      <c r="E10" s="425">
        <f>vkm_SW_PW*SUMIFS(TableVerdeelsleutelVkm[LPG],TableVerdeelsleutelVkm[Voertuigtype],"Lichte voertuigen")*SUMIFS(TableECFTransport[EnergieConsumptieFactor (PJ per km)],TableECFTransport[Index],CONCATENATE($A10,"_LPG_LPG"))</f>
        <v>2.857942384948936E-3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0.70074032463401859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0.18229169120512209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2.7508632245001635E-2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0.33358831631830854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6.4300917586028956E-6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1.0494719436374495E-2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140.32928418437479</v>
      </c>
      <c r="C14" s="21"/>
      <c r="D14" s="21">
        <f t="shared" ref="D14:M14" si="0">((D5)*10^9/3600)+D12</f>
        <v>284.30985430438778</v>
      </c>
      <c r="E14" s="21">
        <f t="shared" si="0"/>
        <v>1423.7083487778864</v>
      </c>
      <c r="F14" s="21"/>
      <c r="G14" s="21">
        <f t="shared" si="0"/>
        <v>473245.90980850923</v>
      </c>
      <c r="H14" s="21">
        <f t="shared" si="0"/>
        <v>99084.81638399775</v>
      </c>
      <c r="I14" s="21"/>
      <c r="J14" s="21"/>
      <c r="K14" s="21"/>
      <c r="L14" s="21"/>
      <c r="M14" s="21">
        <f t="shared" si="0"/>
        <v>17857.87591677134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0.21687850625259161</v>
      </c>
      <c r="C16" s="56">
        <f ca="1">'EF ele_warmte'!B22</f>
        <v>0.23742927604321648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30.434405537402633</v>
      </c>
      <c r="C18" s="23"/>
      <c r="D18" s="23">
        <f t="shared" ref="D18:M18" si="1">D14*D16</f>
        <v>57.430590569486334</v>
      </c>
      <c r="E18" s="23">
        <f t="shared" si="1"/>
        <v>323.18179517258022</v>
      </c>
      <c r="F18" s="23"/>
      <c r="G18" s="23">
        <f t="shared" si="1"/>
        <v>126356.65791887198</v>
      </c>
      <c r="H18" s="23">
        <f t="shared" si="1"/>
        <v>24672.119279615439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8.5838441279723926E-2</v>
      </c>
      <c r="H50" s="319">
        <f t="shared" si="2"/>
        <v>0</v>
      </c>
      <c r="I50" s="319">
        <f t="shared" si="2"/>
        <v>0</v>
      </c>
      <c r="J50" s="319">
        <f t="shared" si="2"/>
        <v>0</v>
      </c>
      <c r="K50" s="319">
        <f t="shared" si="2"/>
        <v>0</v>
      </c>
      <c r="L50" s="319">
        <f t="shared" si="2"/>
        <v>0</v>
      </c>
      <c r="M50" s="319">
        <f t="shared" si="2"/>
        <v>2.6591553400472289E-3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8.5838441279723926E-2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2.6591553400472289E-3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23844.011466589978</v>
      </c>
      <c r="H54" s="21">
        <f t="shared" si="3"/>
        <v>0</v>
      </c>
      <c r="I54" s="21">
        <f t="shared" si="3"/>
        <v>0</v>
      </c>
      <c r="J54" s="21">
        <f t="shared" si="3"/>
        <v>0</v>
      </c>
      <c r="K54" s="21">
        <f t="shared" si="3"/>
        <v>0</v>
      </c>
      <c r="L54" s="21">
        <f t="shared" si="3"/>
        <v>0</v>
      </c>
      <c r="M54" s="21">
        <f t="shared" si="3"/>
        <v>738.65426112423029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0.21687850625259161</v>
      </c>
      <c r="C56" s="56">
        <f ca="1">'EF ele_warmte'!B22</f>
        <v>0.23742927604321648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6366.3510615795249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12178.413699820223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43.00833333333334</v>
      </c>
      <c r="C8" s="544">
        <f>B49</f>
        <v>50.551670530488465</v>
      </c>
      <c r="D8" s="1009"/>
      <c r="E8" s="1009">
        <f>E49</f>
        <v>0</v>
      </c>
      <c r="F8" s="1010"/>
      <c r="G8" s="545"/>
      <c r="H8" s="1009">
        <f>I49</f>
        <v>0</v>
      </c>
      <c r="I8" s="1009">
        <f>G49+F49</f>
        <v>0</v>
      </c>
      <c r="J8" s="1009">
        <f>H49+D49+C49</f>
        <v>0</v>
      </c>
      <c r="K8" s="1009"/>
      <c r="L8" s="1009"/>
      <c r="M8" s="1009"/>
      <c r="N8" s="546"/>
      <c r="O8" s="547">
        <f>C8*$C$12+D8*$D$12+E8*$E$12+F8*$F$12+G8*$G$12+H8*$H$12+I8*$I$12+J8*$J$12</f>
        <v>10.211437447158671</v>
      </c>
      <c r="P8" s="1239"/>
      <c r="Q8" s="1240"/>
      <c r="S8" s="973"/>
      <c r="T8" s="1260"/>
      <c r="U8" s="1260"/>
    </row>
    <row r="9" spans="1:21" s="533" customFormat="1" ht="17.45" customHeight="1" thickBot="1">
      <c r="A9" s="548" t="s">
        <v>247</v>
      </c>
      <c r="B9" s="549">
        <f>N37+'Eigen informatie GS &amp; warmtenet'!B12</f>
        <v>1404</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13625.422033153556</v>
      </c>
      <c r="C10" s="557">
        <f t="shared" ref="C10:L10" si="0">SUM(C8:C9)</f>
        <v>50.551670530488465</v>
      </c>
      <c r="D10" s="557">
        <f t="shared" si="0"/>
        <v>0</v>
      </c>
      <c r="E10" s="557">
        <f t="shared" si="0"/>
        <v>0</v>
      </c>
      <c r="F10" s="557">
        <f t="shared" si="0"/>
        <v>0</v>
      </c>
      <c r="G10" s="557">
        <f t="shared" si="0"/>
        <v>0</v>
      </c>
      <c r="H10" s="557">
        <f t="shared" si="0"/>
        <v>0</v>
      </c>
      <c r="I10" s="557">
        <f t="shared" si="0"/>
        <v>0</v>
      </c>
      <c r="J10" s="557">
        <f t="shared" si="0"/>
        <v>4011.4285714285716</v>
      </c>
      <c r="K10" s="557">
        <f t="shared" si="0"/>
        <v>0</v>
      </c>
      <c r="L10" s="557">
        <f t="shared" si="0"/>
        <v>0</v>
      </c>
      <c r="M10" s="1012"/>
      <c r="N10" s="1012"/>
      <c r="O10" s="558">
        <f>SUM(O4:O9)</f>
        <v>10.211437447158671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61.443211068211077</v>
      </c>
      <c r="C17" s="569">
        <f>B50</f>
        <v>72.219886741068819</v>
      </c>
      <c r="D17" s="570"/>
      <c r="E17" s="570">
        <f>E50</f>
        <v>0</v>
      </c>
      <c r="F17" s="1015"/>
      <c r="G17" s="571"/>
      <c r="H17" s="569">
        <f>I50</f>
        <v>0</v>
      </c>
      <c r="I17" s="570">
        <f>G50+F50</f>
        <v>0</v>
      </c>
      <c r="J17" s="570">
        <f>H50+D50+C50</f>
        <v>0</v>
      </c>
      <c r="K17" s="570"/>
      <c r="L17" s="570"/>
      <c r="M17" s="570"/>
      <c r="N17" s="1016"/>
      <c r="O17" s="572">
        <f>C17*$C$22+E17*$E$22+H17*$H$22+I17*$I$22+J17*$J$22+D17*$D$22+F17*$F$22+G17*$G$22+K17*$K$22+L17*$L$22</f>
        <v>14.588417121695903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61.443211068211077</v>
      </c>
      <c r="C20" s="556">
        <f>SUM(C17:C19)</f>
        <v>72.219886741068819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14.588417121695903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24062</v>
      </c>
      <c r="C28" s="770">
        <v>3001</v>
      </c>
      <c r="D28" s="627" t="s">
        <v>896</v>
      </c>
      <c r="E28" s="626" t="s">
        <v>897</v>
      </c>
      <c r="F28" s="626" t="s">
        <v>898</v>
      </c>
      <c r="G28" s="626" t="s">
        <v>899</v>
      </c>
      <c r="H28" s="626" t="s">
        <v>900</v>
      </c>
      <c r="I28" s="626" t="s">
        <v>897</v>
      </c>
      <c r="J28" s="769">
        <v>40940</v>
      </c>
      <c r="K28" s="769">
        <v>41244</v>
      </c>
      <c r="L28" s="626" t="s">
        <v>901</v>
      </c>
      <c r="M28" s="626">
        <v>9.4</v>
      </c>
      <c r="N28" s="626">
        <v>42.300000000000004</v>
      </c>
      <c r="O28" s="626">
        <v>60.428571428571438</v>
      </c>
      <c r="P28" s="626">
        <v>120.85714285714288</v>
      </c>
      <c r="Q28" s="626">
        <v>0</v>
      </c>
      <c r="R28" s="626">
        <v>0</v>
      </c>
      <c r="S28" s="626">
        <v>0</v>
      </c>
      <c r="T28" s="626">
        <v>0</v>
      </c>
      <c r="U28" s="626">
        <v>0</v>
      </c>
      <c r="V28" s="626">
        <v>0</v>
      </c>
      <c r="W28" s="626">
        <v>0</v>
      </c>
      <c r="X28" s="626">
        <v>1500</v>
      </c>
      <c r="Y28" s="626" t="s">
        <v>50</v>
      </c>
      <c r="Z28" s="628" t="s">
        <v>155</v>
      </c>
    </row>
    <row r="29" spans="1:26" s="580" customFormat="1" ht="51">
      <c r="A29" s="579"/>
      <c r="B29" s="770">
        <v>24062</v>
      </c>
      <c r="C29" s="770">
        <v>3000</v>
      </c>
      <c r="D29" s="627"/>
      <c r="E29" s="626"/>
      <c r="F29" s="626" t="s">
        <v>902</v>
      </c>
      <c r="G29" s="626" t="s">
        <v>903</v>
      </c>
      <c r="H29" s="626" t="s">
        <v>903</v>
      </c>
      <c r="I29" s="626" t="s">
        <v>904</v>
      </c>
      <c r="J29" s="769">
        <v>42311</v>
      </c>
      <c r="K29" s="769">
        <v>42311</v>
      </c>
      <c r="L29" s="626" t="s">
        <v>901</v>
      </c>
      <c r="M29" s="626">
        <v>1.7</v>
      </c>
      <c r="N29" s="626">
        <v>0.70833333333333326</v>
      </c>
      <c r="O29" s="626">
        <v>1.0146396396396395</v>
      </c>
      <c r="P29" s="626">
        <v>1.9144144144144142</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11.1</v>
      </c>
      <c r="N30" s="584">
        <f>SUM(N28:N29)</f>
        <v>43.00833333333334</v>
      </c>
      <c r="O30" s="584">
        <f>SUM(O28:O29)</f>
        <v>61.443211068211077</v>
      </c>
      <c r="P30" s="584">
        <f>SUM(P28:P29)</f>
        <v>122.77155727155728</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11.1</v>
      </c>
      <c r="N32" s="584">
        <f ca="1">SUMIF($Z$28:AD29,"tertiair",N28:N29)</f>
        <v>43.00833333333334</v>
      </c>
      <c r="O32" s="584">
        <f ca="1">SUMIF($Z$28:AE29,"tertiair",O28:O29)</f>
        <v>61.443211068211077</v>
      </c>
      <c r="P32" s="584">
        <f ca="1">SUMIF($Z$28:AF29,"tertiair",P28:P29)</f>
        <v>122.77155727155728</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24062</v>
      </c>
      <c r="C36" s="770">
        <v>3010</v>
      </c>
      <c r="D36" s="629" t="s">
        <v>905</v>
      </c>
      <c r="E36" s="629" t="s">
        <v>906</v>
      </c>
      <c r="F36" s="629" t="s">
        <v>907</v>
      </c>
      <c r="G36" s="629" t="s">
        <v>908</v>
      </c>
      <c r="H36" s="629" t="s">
        <v>909</v>
      </c>
      <c r="I36" s="629" t="s">
        <v>910</v>
      </c>
      <c r="J36" s="769">
        <v>36898</v>
      </c>
      <c r="K36" s="769">
        <v>37316</v>
      </c>
      <c r="L36" s="629" t="s">
        <v>911</v>
      </c>
      <c r="M36" s="629">
        <v>312</v>
      </c>
      <c r="N36" s="629">
        <v>1404</v>
      </c>
      <c r="O36" s="629">
        <v>0</v>
      </c>
      <c r="P36" s="629">
        <v>0</v>
      </c>
      <c r="Q36" s="629">
        <v>4011.4285714285716</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312</v>
      </c>
      <c r="N37" s="584">
        <f>SUM(N36:N36)</f>
        <v>1404</v>
      </c>
      <c r="O37" s="584">
        <f>SUM(O36:O36)</f>
        <v>0</v>
      </c>
      <c r="P37" s="584">
        <f>SUM(P36:P36)</f>
        <v>0</v>
      </c>
      <c r="Q37" s="584">
        <f>SUM(Q36:Q36)</f>
        <v>4011.4285714285716</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312</v>
      </c>
      <c r="N39" s="584">
        <f>SUMIF($Z$36:$Z$37,"tertiair",N36:N37)</f>
        <v>1404</v>
      </c>
      <c r="O39" s="584">
        <f>SUMIF($Z$36:$Z$37,"tertiair",O36:O37)</f>
        <v>0</v>
      </c>
      <c r="P39" s="584">
        <f>SUMIF($Z$36:$Z$37,"tertiair",P36:P37)</f>
        <v>0</v>
      </c>
      <c r="Q39" s="584">
        <f>SUMIF($Z$36:$Z$37,"tertiair",Q36:Q37)</f>
        <v>4011.4285714285716</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0.58824607544340513</v>
      </c>
      <c r="C46" s="609">
        <f>IF(ISERROR(N30/(O30+N30)),0,N30/(N30+O30))</f>
        <v>0.41175392455659487</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50.551670530488465</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72.219886741068819</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2020-06-20T15:54:12Z</dcterms:modified>
</cp:coreProperties>
</file>