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F49" i="18"/>
  <c r="B48" i="18"/>
  <c r="C8" i="18" s="1"/>
  <c r="C10"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J15" i="16"/>
  <c r="B7" i="48"/>
  <c r="C24" i="14"/>
  <c r="C26" i="14" s="1"/>
  <c r="C11" i="14"/>
  <c r="B4" i="48"/>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O15" i="48"/>
  <c r="F10" i="14"/>
  <c r="E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E33" i="48" s="1"/>
  <c r="E15" i="48"/>
  <c r="J22" i="16"/>
  <c r="K43" i="14" s="1"/>
  <c r="K46" i="14" s="1"/>
  <c r="K61" i="14" s="1"/>
  <c r="J8" i="48"/>
  <c r="K13" i="14"/>
  <c r="K16" i="14" s="1"/>
  <c r="K27" i="14" s="1"/>
  <c r="E8" i="48"/>
  <c r="E26" i="48" s="1"/>
  <c r="F13" i="14"/>
  <c r="F16" i="14" s="1"/>
  <c r="F27" i="14" s="1"/>
  <c r="F63" i="14" s="1"/>
  <c r="N8" i="48"/>
  <c r="N26" i="48" s="1"/>
  <c r="O13" i="14"/>
  <c r="N22" i="16"/>
  <c r="O43" i="14" s="1"/>
  <c r="G13" i="14"/>
  <c r="F8" i="48"/>
  <c r="J26" i="48" l="1"/>
  <c r="J33" i="48" s="1"/>
  <c r="J15" i="48"/>
  <c r="R13" i="14"/>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<sst xmlns="http://schemas.openxmlformats.org/spreadsheetml/2006/main" count="2414" uniqueCount="900">
  <si>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</si>
  <si>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</si>
  <si>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</si>
  <si>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</si>
  <si>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</si>
  <si>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</si>
  <si>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</si>
  <si>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</si>
  <si>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</si>
  <si>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</si>
  <si>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</si>
  <si>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</si>
  <si>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</si>
  <si>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</si>
  <si>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</si>
  <si>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</si>
  <si>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</si>
  <si>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</si>
  <si>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</si>
  <si>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</si>
  <si>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</si>
  <si>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</si>
  <si>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</si>
  <si>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</si>
  <si>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</si>
  <si>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</si>
  <si>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</si>
  <si>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</si>
  <si>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</si>
  <si>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</si>
  <si>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</si>
  <si>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</si>
  <si>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</si>
  <si>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</si>
  <si>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</si>
  <si>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</si>
  <si>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</si>
  <si>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</si>
  <si>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</si>
  <si>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</si>
  <si>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</si>
  <si>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</si>
  <si>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</si>
  <si>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</si>
  <si>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</si>
  <si>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</si>
  <si>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</si>
  <si>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</si>
  <si>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</si>
  <si>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</si>
  <si>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</si>
  <si>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</si>
  <si>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</si>
  <si>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</si>
  <si>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</si>
  <si>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</si>
  <si>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</si>
  <si>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</si>
  <si>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</si>
  <si>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</si>
  <si>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</si>
  <si>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</si>
  <si>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</si>
  <si>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</si>
  <si>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</si>
  <si>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</si>
  <si>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</si>
  <si>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</si>
  <si>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</si>
  <si>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</si>
  <si>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</si>
  <si>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</si>
  <si>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</si>
  <si>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</si>
  <si>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</si>
  <si>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</si>
  <si>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</si>
  <si>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</si>
  <si>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</si>
  <si>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</si>
  <si>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</si>
  <si>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</si>
  <si>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</si>
  <si>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</si>
  <si>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</si>
  <si>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</si>
  <si>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</si>
  <si>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</si>
  <si>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</si>
  <si>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</si>
  <si>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</si>
  <si>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</si>
  <si>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</si>
  <si>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</si>
  <si>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</si>
  <si>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</si>
  <si>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</si>
  <si>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</si>
  <si>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</si>
  <si>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</si>
  <si>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</si>
  <si>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</si>
  <si>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</si>
  <si>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</si>
  <si>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</si>
  <si>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</si>
  <si>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</si>
  <si>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</si>
  <si>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</si>
  <si>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</si>
  <si>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</si>
  <si>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</si>
  <si>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</si>
  <si>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</si>
  <si>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</si>
  <si>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</si>
  <si>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</si>
  <si>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</si>
  <si>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</si>
  <si>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</si>
  <si>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</si>
  <si>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</si>
  <si>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</si>
  <si>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</si>
  <si>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</si>
  <si>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</si>
  <si>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</si>
  <si>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</si>
  <si>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</si>
  <si>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</si>
  <si>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</si>
  <si>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</si>
  <si>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</si>
  <si>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</si>
  <si>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</si>
  <si>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</si>
  <si>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</si>
  <si>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</si>
  <si>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</si>
  <si>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</si>
  <si>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</si>
  <si>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</si>
  <si>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</si>
  <si>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</si>
  <si>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</si>
  <si>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</si>
  <si>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</si>
  <si>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</si>
  <si>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</si>
  <si>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</si>
  <si>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</si>
  <si>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</si>
  <si>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</si>
  <si>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</si>
  <si>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</si>
  <si>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</si>
  <si>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</si>
  <si>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</si>
  <si>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</si>
  <si>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</si>
  <si>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</si>
  <si>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</si>
  <si>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</si>
  <si>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</si>
  <si>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</si>
  <si>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</si>
  <si>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</si>
  <si>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</si>
  <si>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</si>
  <si>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</si>
  <si>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</si>
  <si>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</si>
  <si>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</si>
  <si>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</si>
  <si>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</si>
  <si>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</si>
  <si>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</si>
  <si>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</si>
  <si>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</si>
  <si>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</si>
  <si>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</si>
  <si>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</si>
  <si>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</si>
  <si>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</si>
  <si>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</si>
  <si>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</si>
  <si>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</si>
  <si>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</si>
  <si>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</si>
  <si>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</si>
  <si>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</si>
  <si>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</si>
  <si>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</si>
  <si>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</si>
  <si>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</si>
  <si>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</si>
  <si>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</si>
  <si>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</si>
  <si>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</si>
  <si>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</si>
  <si>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</si>
  <si>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</si>
  <si>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</si>
  <si>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</si>
  <si>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</si>
  <si>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</si>
  <si>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</si>
  <si>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</si>
  <si>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</si>
  <si>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</si>
  <si>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</si>
  <si>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</si>
  <si>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</si>
  <si>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</si>
  <si>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</si>
  <si>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</si>
  <si>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</si>
  <si>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</si>
  <si>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</si>
  <si>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</si>
  <si>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</si>
  <si>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</si>
  <si>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</si>
  <si>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</si>
  <si>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</si>
  <si>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</si>
  <si>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</si>
  <si>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</si>
  <si>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</si>
  <si>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</si>
  <si>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</si>
  <si>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</si>
  <si>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</si>
  <si>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</si>
  <si>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</si>
  <si>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</si>
  <si>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</si>
  <si>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</si>
  <si>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</si>
  <si>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</si>
  <si>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</si>
  <si>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</si>
  <si>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</si>
  <si>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</si>
  <si>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</si>
  <si>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</si>
  <si>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</si>
  <si>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</si>
  <si>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</si>
  <si>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</si>
  <si>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</si>
  <si>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</si>
  <si>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</si>
  <si>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</si>
  <si>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</si>
  <si>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</si>
  <si>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</si>
  <si>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</si>
  <si>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</si>
  <si>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</si>
  <si>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</si>
  <si>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</si>
  <si>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</si>
  <si>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</si>
  <si>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</si>
  <si>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</si>
  <si>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</si>
  <si>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</si>
  <si>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</si>
  <si>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</si>
  <si>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</si>
  <si>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</si>
  <si>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</si>
  <si>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</si>
  <si>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</si>
  <si>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</si>
  <si>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</si>
  <si>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</si>
  <si>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</si>
  <si>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</si>
  <si>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</si>
  <si>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</si>
  <si>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</si>
  <si>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</si>
  <si>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</si>
  <si>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</si>
  <si>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</si>
  <si>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</si>
  <si>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</si>
  <si>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</si>
  <si>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</si>
  <si>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</si>
  <si>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</si>
  <si>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</si>
  <si>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</si>
  <si>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</si>
  <si>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</si>
  <si>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</si>
  <si>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</si>
  <si>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</si>
  <si>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</si>
  <si>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</si>
  <si>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</si>
  <si>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</si>
  <si>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</si>
  <si>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</si>
  <si>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</si>
  <si>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</si>
  <si>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</si>
  <si>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</si>
  <si>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</si>
  <si>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</si>
  <si>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</si>
  <si>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</si>
  <si>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</si>
  <si>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</si>
  <si>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</si>
  <si>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</si>
  <si>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</si>
  <si>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</si>
  <si>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</si>
  <si>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</si>
  <si>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</si>
  <si>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</si>
  <si>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</si>
  <si>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</si>
  <si>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</si>
  <si>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</si>
  <si>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</si>
  <si>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</si>
  <si>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</si>
  <si>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</si>
  <si>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</si>
  <si>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</si>
  <si>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</si>
  <si>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</si>
  <si>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</si>
  <si>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</si>
  <si>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</si>
  <si>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</si>
  <si>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</si>
  <si>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</si>
  <si>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</si>
  <si>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</si>
  <si>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</si>
  <si>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</si>
  <si>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</si>
  <si>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</si>
  <si>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</si>
  <si>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</si>
  <si>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</si>
  <si>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</si>
  <si>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</si>
  <si>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</si>
  <si>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</si>
  <si>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</si>
  <si>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</si>
  <si>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</si>
  <si>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</si>
  <si>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</si>
  <si>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</si>
  <si>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</si>
  <si>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</si>
  <si>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</si>
  <si>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</si>
  <si>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</si>
  <si>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</si>
  <si>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</si>
  <si>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</si>
  <si>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</si>
  <si>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</si>
  <si>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</si>
  <si>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</si>
  <si>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</si>
  <si>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</si>
  <si>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</si>
  <si>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</si>
  <si>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</si>
  <si>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</si>
  <si>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</si>
  <si>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</si>
  <si>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</si>
  <si>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</si>
  <si>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</si>
  <si>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</si>
  <si>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</si>
  <si>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</si>
  <si>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</si>
  <si>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</si>
  <si>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</si>
  <si>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</si>
  <si>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</si>
  <si>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</si>
  <si>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</si>
  <si>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</si>
  <si>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</si>
  <si>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</si>
  <si>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</si>
  <si>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</si>
  <si>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</si>
  <si>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</si>
  <si>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</si>
  <si>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</si>
  <si>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</si>
  <si>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</si>
  <si>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</si>
  <si>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</si>
  <si>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</si>
  <si>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</si>
  <si>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</si>
  <si>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</si>
  <si>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</si>
  <si>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</si>
  <si>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</si>
  <si>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</si>
  <si>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</si>
  <si>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</si>
  <si>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</si>
  <si>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</si>
  <si>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</si>
  <si>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</si>
  <si>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</si>
  <si>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</si>
  <si>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</si>
  <si>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</si>
  <si>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</si>
  <si>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</si>
  <si>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</si>
  <si>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</si>
  <si>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</si>
  <si>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</si>
  <si>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</si>
  <si>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</si>
  <si>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</si>
  <si>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</si>
  <si>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</si>
  <si>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</si>
  <si>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</si>
  <si>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</si>
  <si>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</si>
  <si>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</si>
  <si>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</si>
  <si>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</si>
  <si>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</si>
  <si>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</si>
  <si>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</si>
  <si>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</si>
  <si>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</si>
  <si>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</si>
  <si>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</si>
  <si>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</si>
  <si>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</si>
  <si>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</si>
  <si>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</si>
  <si>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</si>
  <si>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</si>
  <si>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</si>
  <si>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</si>
  <si>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</si>
  <si>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</si>
  <si>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</si>
  <si>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</si>
  <si>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</si>
  <si>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</si>
  <si>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</si>
  <si>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</si>
  <si>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</si>
  <si>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</si>
  <si>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</si>
  <si>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</si>
  <si>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</si>
  <si>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</si>
  <si>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</si>
  <si>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</si>
  <si>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</si>
  <si>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</si>
  <si>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</si>
  <si>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</si>
  <si>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</si>
  <si>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</si>
  <si>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</si>
  <si>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</si>
  <si>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</si>
  <si>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</si>
  <si>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</si>
  <si>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</si>
  <si>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</si>
  <si>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</si>
  <si>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</si>
  <si>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</si>
  <si>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</si>
  <si>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</si>
  <si>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</si>
  <si>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</si>
  <si>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</si>
  <si>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</si>
  <si>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</si>
  <si>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</si>
  <si>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</si>
  <si>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</si>
  <si>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</si>
  <si>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</si>
  <si>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</si>
  <si>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</si>
  <si>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</si>
  <si>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</si>
  <si>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</si>
  <si>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</si>
  <si>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</si>
  <si>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</si>
  <si>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</si>
  <si>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</si>
  <si>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</si>
  <si>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</si>
  <si>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</si>
  <si>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</si>
  <si>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</si>
  <si>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</si>
  <si>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</si>
  <si>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</si>
  <si>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</si>
  <si>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</si>
  <si>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</si>
  <si>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</si>
  <si>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</si>
  <si>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</si>
  <si>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</si>
  <si>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</si>
  <si>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</si>
  <si>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</si>
  <si>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</si>
  <si>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</si>
  <si>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</si>
  <si>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</si>
  <si>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</si>
  <si>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</si>
  <si>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</si>
  <si>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</si>
  <si>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</si>
  <si>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</si>
  <si>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</si>
  <si>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</si>
  <si>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</si>
  <si>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</si>
  <si>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</si>
  <si>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</si>
  <si>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</si>
  <si>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</si>
  <si>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</si>
  <si>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</si>
  <si>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</si>
  <si>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</si>
  <si>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</si>
  <si>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</si>
  <si>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</si>
  <si>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</si>
  <si>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</si>
  <si>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</si>
  <si>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</si>
  <si>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</si>
  <si>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</si>
  <si>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</si>
  <si>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</si>
  <si>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</si>
  <si>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</si>
  <si>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</si>
  <si>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</si>
  <si>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</si>
  <si>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</si>
  <si>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</si>
  <si>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</si>
  <si>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</si>
  <si>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</si>
  <si>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</si>
  <si>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</si>
  <si>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</si>
  <si>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</si>
  <si>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</si>
  <si>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</si>
  <si>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</si>
  <si>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</si>
  <si>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</si>
  <si>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</si>
  <si>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</si>
  <si>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</si>
  <si>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</si>
  <si>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</si>
  <si>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</si>
  <si>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</si>
  <si>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</si>
  <si>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</si>
  <si>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</si>
  <si>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</si>
  <si>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</si>
  <si>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</si>
  <si>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</si>
  <si>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</si>
  <si>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</si>
  <si>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</si>
  <si>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</si>
  <si>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</si>
  <si>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</si>
  <si>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</si>
  <si>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</si>
  <si>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</si>
  <si>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</si>
  <si>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</si>
  <si>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</si>
  <si>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</si>
  <si>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</si>
  <si>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</si>
  <si>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</si>
  <si>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</si>
  <si>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</si>
  <si>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</si>
  <si>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</si>
  <si>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</si>
  <si>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</si>
  <si>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</si>
  <si>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</si>
  <si>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</si>
  <si>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</si>
  <si>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</si>
  <si>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</si>
  <si>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</si>
  <si>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</si>
  <si>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</si>
  <si>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</si>
  <si>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</si>
  <si>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</si>
  <si>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</si>
  <si>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</si>
  <si>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</si>
  <si>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</si>
  <si>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</si>
  <si>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</si>
  <si>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</si>
  <si>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</si>
  <si>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</si>
  <si>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</si>
  <si>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</si>
  <si>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</si>
  <si>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</si>
  <si>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</si>
  <si>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</si>
  <si>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</si>
  <si>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</si>
  <si>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</si>
  <si>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</si>
  <si>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</si>
  <si>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</si>
  <si>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</si>
  <si>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</si>
  <si>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</si>
  <si>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</si>
  <si>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</si>
  <si>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</si>
  <si>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</si>
  <si>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</si>
  <si>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</si>
  <si>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</si>
  <si>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</si>
  <si>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</si>
  <si>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</si>
  <si>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</si>
  <si>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</si>
  <si>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</si>
  <si>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</si>
  <si>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</si>
  <si>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</si>
  <si>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</si>
  <si>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</si>
  <si>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</si>
  <si>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</si>
  <si>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</si>
  <si>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</si>
  <si>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</si>
  <si>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</si>
  <si>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</si>
  <si>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</si>
  <si>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</si>
  <si>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</si>
  <si>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</si>
  <si>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</si>
  <si>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</si>
  <si>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</si>
  <si>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</si>
  <si>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</si>
  <si>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</si>
  <si>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</si>
  <si>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</si>
  <si>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</si>
  <si>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</si>
  <si>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</si>
  <si>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</si>
  <si>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</si>
  <si>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</si>
  <si>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</si>
  <si>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</si>
  <si>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</si>
  <si>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</si>
  <si>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</si>
  <si>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</si>
  <si>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</si>
  <si>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</si>
  <si>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</si>
  <si>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</si>
  <si>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</si>
  <si>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</si>
  <si>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</si>
  <si>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</si>
  <si>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</si>
  <si>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</si>
  <si>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</si>
  <si>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</si>
  <si>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</si>
  <si>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</si>
  <si>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</si>
  <si>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</si>
  <si>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</si>
  <si>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</si>
  <si>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</si>
  <si>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</si>
  <si>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</si>
  <si>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</si>
  <si>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</si>
  <si>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</si>
  <si>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</si>
  <si>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</si>
  <si>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</si>
  <si>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</si>
  <si>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</si>
  <si>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</si>
  <si>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</si>
  <si>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</si>
  <si>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</si>
  <si>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</si>
  <si>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</si>
  <si>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</si>
  <si>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</si>
  <si>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</si>
  <si>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</si>
  <si>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</si>
  <si>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</si>
  <si>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</si>
  <si>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</si>
  <si>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</si>
  <si>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</si>
  <si>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</si>
  <si>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</si>
  <si>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</si>
  <si>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</si>
  <si>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</si>
  <si>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</si>
  <si>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</si>
  <si>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</si>
  <si>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</si>
  <si>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</si>
  <si>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</si>
  <si>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</si>
  <si>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</si>
  <si>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</si>
  <si>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</si>
  <si>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</si>
  <si>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</si>
  <si>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</si>
  <si>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</si>
  <si>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</si>
  <si>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</si>
  <si>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</si>
  <si>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</si>
  <si>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</si>
  <si>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</si>
  <si>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</si>
  <si>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</si>
  <si>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</si>
  <si>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</si>
  <si>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</si>
  <si>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</si>
  <si>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</si>
  <si>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</si>
  <si>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</si>
  <si>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</si>
  <si>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</si>
  <si>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</si>
  <si>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</si>
  <si>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</si>
  <si>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</si>
  <si>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</si>
  <si>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</si>
  <si>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</si>
  <si>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</si>
  <si>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</si>
  <si>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</si>
  <si>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</si>
  <si>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</si>
  <si>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</si>
  <si>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</si>
  <si>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</si>
  <si>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</si>
  <si>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</si>
  <si>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</si>
  <si>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</si>
  <si>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</si>
  <si>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</si>
  <si>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</si>
  <si>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</si>
  <si>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</si>
  <si>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</si>
  <si>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</si>
  <si>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</si>
  <si>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</si>
  <si>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</si>
  <si>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</si>
  <si>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</si>
  <si>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</si>
  <si>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</si>
  <si>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</si>
  <si>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</si>
  <si>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</si>
  <si>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</si>
  <si>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</si>
  <si>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</si>
  <si>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</si>
  <si>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</si>
  <si>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</si>
  <si>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</si>
  <si>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</si>
  <si>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</si>
  <si>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</si>
  <si>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</si>
  <si>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</si>
  <si>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</si>
  <si>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</si>
  <si>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</si>
  <si>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</si>
  <si>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</si>
  <si>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</si>
  <si>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</si>
  <si>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</si>
  <si>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</si>
  <si>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</si>
  <si>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</si>
  <si>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</si>
  <si>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</si>
  <si>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</si>
  <si>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</si>
  <si>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</si>
  <si>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</si>
  <si>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</si>
  <si>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</si>
  <si>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</si>
  <si>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</si>
  <si>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</si>
  <si>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</si>
  <si>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</si>
  <si>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</si>
  <si>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</si>
  <si>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</si>
  <si>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</si>
  <si>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</si>
  <si>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</si>
  <si>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</si>
  <si>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</si>
  <si>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</si>
  <si>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</si>
  <si>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</si>
  <si>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</si>
  <si>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</si>
  <si>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</si>
  <si>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</si>
  <si>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</si>
  <si>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</si>
  <si>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</si>
  <si>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</si>
  <si>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</si>
  <si>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</si>
  <si>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</si>
  <si>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</si>
  <si>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</si>
  <si>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</si>
  <si>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</si>
  <si>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</si>
  <si>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</si>
  <si>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</si>
  <si>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</si>
  <si>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</si>
  <si>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</si>
  <si>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</si>
  <si>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</si>
  <si>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24007</t>
  </si>
  <si>
    <t>BEGIJNENDIJK</t>
  </si>
  <si>
    <t>Paarden&amp;pony's 200 - 600 kg</t>
  </si>
  <si>
    <t>Paarden&amp;pony's &lt; 200 kg</t>
  </si>
  <si>
    <t>Fluvius</t>
  </si>
  <si>
    <t>referentietaak LNE (2017); Jaarverslag De Lijn</t>
  </si>
  <si>
    <t>WKK-0655 Ivan Stuyven</t>
  </si>
  <si>
    <t>brandstofcel</t>
  </si>
  <si>
    <t>Aarschotsesteenweg 2 , 3130 Betekom</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</si>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</sst>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105228.96724399911</c:v>
                </c:pt>
                <c:pt idx="1">
                  <c:v>11548.446155665684</c:v>
                </c:pt>
                <c:pt idx="2">
                  <c:v>544.322</c:v>
                </c:pt>
                <c:pt idx="3">
                  <c:v>824.03461450185364</c:v>
                </c:pt>
                <c:pt idx="4">
                  <c:v>2286.7291013763897</c:v>
                </c:pt>
                <c:pt idx="5">
                  <c:v>61399.923228586558</c:v>
                </c:pt>
                <c:pt idx="6">
                  <c:v>292.35304748630659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105228.96724399911</c:v>
                </c:pt>
                <c:pt idx="1">
                  <c:v>11548.446155665684</c:v>
                </c:pt>
                <c:pt idx="2">
                  <c:v>544.322</c:v>
                </c:pt>
                <c:pt idx="3">
                  <c:v>824.03461450185364</c:v>
                </c:pt>
                <c:pt idx="4">
                  <c:v>2286.7291013763897</c:v>
                </c:pt>
                <c:pt idx="5">
                  <c:v>61399.923228586558</c:v>
                </c:pt>
                <c:pt idx="6">
                  <c:v>292.35304748630659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22813.914244490974</c:v>
                </c:pt>
                <c:pt idx="2">
                  <c:v>2272.9345565787635</c:v>
                </c:pt>
                <c:pt idx="3">
                  <c:v>104.8144124694543</c:v>
                </c:pt>
                <c:pt idx="4">
                  <c:v>206.37883982532551</c:v>
                </c:pt>
                <c:pt idx="5">
                  <c:v>468.24973639544322</c:v>
                </c:pt>
                <c:pt idx="6">
                  <c:v>15700.750214232434</c:v>
                </c:pt>
                <c:pt idx="7">
                  <c:v>75.712787003491542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22813.914244490974</c:v>
                </c:pt>
                <c:pt idx="2">
                  <c:v>2272.9345565787635</c:v>
                </c:pt>
                <c:pt idx="3">
                  <c:v>104.8144124694543</c:v>
                </c:pt>
                <c:pt idx="4">
                  <c:v>206.37883982532551</c:v>
                </c:pt>
                <c:pt idx="5">
                  <c:v>468.24973639544322</c:v>
                </c:pt>
                <c:pt idx="6">
                  <c:v>15700.750214232434</c:v>
                </c:pt>
                <c:pt idx="7">
                  <c:v>75.712787003491542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24007</v>
      </c>
      <c r="B6" s="390"/>
      <c r="C6" s="391"/>
    </row>
    <row r="7" spans="1:7" s="388" customFormat="1" ht="15.75" customHeight="1">
      <c r="A7" s="392" t="str">
        <f>txtMunicipality</f>
        <v>BEGIJNENDIJK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7069.7063333333344</v>
      </c>
      <c r="D10" s="978">
        <f ca="1">tertiair!C16</f>
        <v>7.1024774774774784</v>
      </c>
      <c r="E10" s="978">
        <f ca="1">tertiair!D16</f>
        <v>2818.0709070990993</v>
      </c>
      <c r="F10" s="978">
        <f>tertiair!E16</f>
        <v>150.08593465828943</v>
      </c>
      <c r="G10" s="978">
        <f ca="1">tertiair!F16</f>
        <v>1541.1812239161434</v>
      </c>
      <c r="H10" s="978">
        <f>tertiair!G16</f>
        <v>0</v>
      </c>
      <c r="I10" s="978">
        <f>tertiair!H16</f>
        <v>0</v>
      </c>
      <c r="J10" s="978">
        <f>tertiair!I16</f>
        <v>0</v>
      </c>
      <c r="K10" s="978">
        <f>tertiair!J16</f>
        <v>0</v>
      </c>
      <c r="L10" s="978">
        <f>tertiair!K16</f>
        <v>0</v>
      </c>
      <c r="M10" s="978">
        <f ca="1">tertiair!L16</f>
        <v>0</v>
      </c>
      <c r="N10" s="978">
        <f>tertiair!M16</f>
        <v>0</v>
      </c>
      <c r="O10" s="978">
        <f ca="1">tertiair!N16</f>
        <v>506.62127918134195</v>
      </c>
      <c r="P10" s="978">
        <f>tertiair!O16</f>
        <v>0</v>
      </c>
      <c r="Q10" s="979">
        <f>tertiair!P16</f>
        <v>0</v>
      </c>
      <c r="R10" s="674">
        <f ca="1">SUM(C10:Q10)</f>
        <v>12092.768155665684</v>
      </c>
      <c r="S10" s="67"/>
    </row>
    <row r="11" spans="1:19" s="447" customFormat="1">
      <c r="A11" s="783" t="s">
        <v>224</v>
      </c>
      <c r="B11" s="788"/>
      <c r="C11" s="978">
        <f>huishoudens!B8</f>
        <v>17802.041775761343</v>
      </c>
      <c r="D11" s="978">
        <f>huishoudens!C8</f>
        <v>0</v>
      </c>
      <c r="E11" s="978">
        <f>huishoudens!D8</f>
        <v>17188.712244000002</v>
      </c>
      <c r="F11" s="978">
        <f>huishoudens!E8</f>
        <v>26692.976453556337</v>
      </c>
      <c r="G11" s="978">
        <f>huishoudens!F8</f>
        <v>36908.371290536488</v>
      </c>
      <c r="H11" s="978">
        <f>huishoudens!G8</f>
        <v>0</v>
      </c>
      <c r="I11" s="978">
        <f>huishoudens!H8</f>
        <v>0</v>
      </c>
      <c r="J11" s="978">
        <f>huishoudens!I8</f>
        <v>0</v>
      </c>
      <c r="K11" s="978">
        <f>huishoudens!J8</f>
        <v>0</v>
      </c>
      <c r="L11" s="978">
        <f>huishoudens!K8</f>
        <v>0</v>
      </c>
      <c r="M11" s="978">
        <f>huishoudens!L8</f>
        <v>0</v>
      </c>
      <c r="N11" s="978">
        <f>huishoudens!M8</f>
        <v>0</v>
      </c>
      <c r="O11" s="978">
        <f>huishoudens!N8</f>
        <v>5622.2254801449444</v>
      </c>
      <c r="P11" s="978">
        <f>huishoudens!O8</f>
        <v>137.57333333333335</v>
      </c>
      <c r="Q11" s="979">
        <f>huishoudens!P8</f>
        <v>877.06666666666661</v>
      </c>
      <c r="R11" s="674">
        <f>SUM(C11:Q11)</f>
        <v>105228.96724399911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970.17000000000007</v>
      </c>
      <c r="D13" s="978">
        <f>industrie!C18</f>
        <v>0</v>
      </c>
      <c r="E13" s="978">
        <f>industrie!D18</f>
        <v>463.22210000000007</v>
      </c>
      <c r="F13" s="978">
        <f>industrie!E18</f>
        <v>143.27740952168136</v>
      </c>
      <c r="G13" s="978">
        <f>industrie!F18</f>
        <v>581.19712676314862</v>
      </c>
      <c r="H13" s="978">
        <f>industrie!G18</f>
        <v>0</v>
      </c>
      <c r="I13" s="978">
        <f>industrie!H18</f>
        <v>0</v>
      </c>
      <c r="J13" s="978">
        <f>industrie!I18</f>
        <v>0</v>
      </c>
      <c r="K13" s="978">
        <f>industrie!J18</f>
        <v>0.45125826580277395</v>
      </c>
      <c r="L13" s="978">
        <f>industrie!K18</f>
        <v>0</v>
      </c>
      <c r="M13" s="978">
        <f>industrie!L18</f>
        <v>0</v>
      </c>
      <c r="N13" s="978">
        <f>industrie!M18</f>
        <v>0</v>
      </c>
      <c r="O13" s="978">
        <f>industrie!N18</f>
        <v>128.41120682575715</v>
      </c>
      <c r="P13" s="978">
        <f>industrie!O18</f>
        <v>0</v>
      </c>
      <c r="Q13" s="979">
        <f>industrie!P18</f>
        <v>0</v>
      </c>
      <c r="R13" s="674">
        <f>SUM(C13:Q13)</f>
        <v>2286.7291013763897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25841.91810909468</v>
      </c>
      <c r="D16" s="706">
        <f t="shared" ref="D16:R16" ca="1" si="0">SUM(D9:D15)</f>
        <v>7.1024774774774784</v>
      </c>
      <c r="E16" s="706">
        <f t="shared" ca="1" si="0"/>
        <v>20470.005251099101</v>
      </c>
      <c r="F16" s="706">
        <f t="shared" si="0"/>
        <v>26986.339797736309</v>
      </c>
      <c r="G16" s="706">
        <f t="shared" ca="1" si="0"/>
        <v>39030.749641215778</v>
      </c>
      <c r="H16" s="706">
        <f t="shared" si="0"/>
        <v>0</v>
      </c>
      <c r="I16" s="706">
        <f t="shared" si="0"/>
        <v>0</v>
      </c>
      <c r="J16" s="706">
        <f t="shared" si="0"/>
        <v>0</v>
      </c>
      <c r="K16" s="706">
        <f t="shared" si="0"/>
        <v>0.45125826580277395</v>
      </c>
      <c r="L16" s="706">
        <f t="shared" si="0"/>
        <v>0</v>
      </c>
      <c r="M16" s="706">
        <f t="shared" ca="1" si="0"/>
        <v>0</v>
      </c>
      <c r="N16" s="706">
        <f t="shared" si="0"/>
        <v>0</v>
      </c>
      <c r="O16" s="706">
        <f t="shared" ca="1" si="0"/>
        <v>6257.257966152044</v>
      </c>
      <c r="P16" s="706">
        <f t="shared" si="0"/>
        <v>137.57333333333335</v>
      </c>
      <c r="Q16" s="706">
        <f t="shared" si="0"/>
        <v>877.06666666666661</v>
      </c>
      <c r="R16" s="706">
        <f t="shared" ca="1" si="0"/>
        <v>119608.46450104119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283.56849064978104</v>
      </c>
      <c r="I19" s="978">
        <f>transport!H54</f>
        <v>0</v>
      </c>
      <c r="J19" s="978">
        <f>transport!I54</f>
        <v>0</v>
      </c>
      <c r="K19" s="978">
        <f>transport!J54</f>
        <v>0</v>
      </c>
      <c r="L19" s="978">
        <f>transport!K54</f>
        <v>0</v>
      </c>
      <c r="M19" s="978">
        <f>transport!L54</f>
        <v>0</v>
      </c>
      <c r="N19" s="978">
        <f>transport!M54</f>
        <v>8.7845568365255762</v>
      </c>
      <c r="O19" s="978">
        <f>transport!N54</f>
        <v>0</v>
      </c>
      <c r="P19" s="978">
        <f>transport!O54</f>
        <v>0</v>
      </c>
      <c r="Q19" s="979">
        <f>transport!P54</f>
        <v>0</v>
      </c>
      <c r="R19" s="674">
        <f>SUM(C19:Q19)</f>
        <v>292.35304748630659</v>
      </c>
      <c r="S19" s="67"/>
    </row>
    <row r="20" spans="1:19" s="447" customFormat="1">
      <c r="A20" s="783" t="s">
        <v>306</v>
      </c>
      <c r="B20" s="788"/>
      <c r="C20" s="978">
        <f>transport!B14</f>
        <v>13.794741361263055</v>
      </c>
      <c r="D20" s="978">
        <f>transport!C14</f>
        <v>0</v>
      </c>
      <c r="E20" s="978">
        <f>transport!D14</f>
        <v>31.17797748702916</v>
      </c>
      <c r="F20" s="978">
        <f>transport!E14</f>
        <v>137.32733670599688</v>
      </c>
      <c r="G20" s="978">
        <f>transport!F14</f>
        <v>0</v>
      </c>
      <c r="H20" s="978">
        <f>transport!G14</f>
        <v>48808.963084713178</v>
      </c>
      <c r="I20" s="978">
        <f>transport!H14</f>
        <v>10556.744996821813</v>
      </c>
      <c r="J20" s="978">
        <f>transport!I14</f>
        <v>0</v>
      </c>
      <c r="K20" s="978">
        <f>transport!J14</f>
        <v>0</v>
      </c>
      <c r="L20" s="978">
        <f>transport!K14</f>
        <v>0</v>
      </c>
      <c r="M20" s="978">
        <f>transport!L14</f>
        <v>0</v>
      </c>
      <c r="N20" s="978">
        <f>transport!M14</f>
        <v>1851.9150914972802</v>
      </c>
      <c r="O20" s="978">
        <f>transport!N14</f>
        <v>0</v>
      </c>
      <c r="P20" s="978">
        <f>transport!O14</f>
        <v>0</v>
      </c>
      <c r="Q20" s="979">
        <f>transport!P14</f>
        <v>0</v>
      </c>
      <c r="R20" s="674">
        <f>SUM(C20:Q20)</f>
        <v>61399.923228586558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13.794741361263055</v>
      </c>
      <c r="D22" s="786">
        <f t="shared" ref="D22:R22" si="1">SUM(D18:D21)</f>
        <v>0</v>
      </c>
      <c r="E22" s="786">
        <f t="shared" si="1"/>
        <v>31.17797748702916</v>
      </c>
      <c r="F22" s="786">
        <f t="shared" si="1"/>
        <v>137.32733670599688</v>
      </c>
      <c r="G22" s="786">
        <f t="shared" si="1"/>
        <v>0</v>
      </c>
      <c r="H22" s="786">
        <f t="shared" si="1"/>
        <v>49092.531575362962</v>
      </c>
      <c r="I22" s="786">
        <f t="shared" si="1"/>
        <v>10556.744996821813</v>
      </c>
      <c r="J22" s="786">
        <f t="shared" si="1"/>
        <v>0</v>
      </c>
      <c r="K22" s="786">
        <f t="shared" si="1"/>
        <v>0</v>
      </c>
      <c r="L22" s="786">
        <f t="shared" si="1"/>
        <v>0</v>
      </c>
      <c r="M22" s="786">
        <f t="shared" si="1"/>
        <v>0</v>
      </c>
      <c r="N22" s="786">
        <f t="shared" si="1"/>
        <v>1860.6996483338057</v>
      </c>
      <c r="O22" s="786">
        <f t="shared" si="1"/>
        <v>0</v>
      </c>
      <c r="P22" s="786">
        <f t="shared" si="1"/>
        <v>0</v>
      </c>
      <c r="Q22" s="786">
        <f t="shared" si="1"/>
        <v>0</v>
      </c>
      <c r="R22" s="786">
        <f t="shared" si="1"/>
        <v>61692.276276072866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159.26599999999999</v>
      </c>
      <c r="D24" s="978">
        <f>+landbouw!C8</f>
        <v>0</v>
      </c>
      <c r="E24" s="978">
        <f>+landbouw!D8</f>
        <v>55.585750000000004</v>
      </c>
      <c r="F24" s="978">
        <f>+landbouw!E8</f>
        <v>4.1068586292596656</v>
      </c>
      <c r="G24" s="978">
        <f>+landbouw!F8</f>
        <v>582.14756073631952</v>
      </c>
      <c r="H24" s="978">
        <f>+landbouw!G8</f>
        <v>0</v>
      </c>
      <c r="I24" s="978">
        <f>+landbouw!H8</f>
        <v>0</v>
      </c>
      <c r="J24" s="978">
        <f>+landbouw!I8</f>
        <v>0</v>
      </c>
      <c r="K24" s="978">
        <f>+landbouw!J8</f>
        <v>22.928445136274441</v>
      </c>
      <c r="L24" s="978">
        <f>+landbouw!K8</f>
        <v>0</v>
      </c>
      <c r="M24" s="978">
        <f>+landbouw!L8</f>
        <v>0</v>
      </c>
      <c r="N24" s="978">
        <f>+landbouw!M8</f>
        <v>0</v>
      </c>
      <c r="O24" s="978">
        <f>+landbouw!N8</f>
        <v>0</v>
      </c>
      <c r="P24" s="978">
        <f>+landbouw!O8</f>
        <v>0</v>
      </c>
      <c r="Q24" s="979">
        <f>+landbouw!P8</f>
        <v>0</v>
      </c>
      <c r="R24" s="674">
        <f>SUM(C24:Q24)</f>
        <v>824.03461450185364</v>
      </c>
      <c r="S24" s="67"/>
    </row>
    <row r="25" spans="1:19" s="447" customFormat="1" ht="15" thickBot="1">
      <c r="A25" s="805" t="s">
        <v>834</v>
      </c>
      <c r="B25" s="981"/>
      <c r="C25" s="982">
        <f>IF(Onbekend_ele_kWh="---",0,Onbekend_ele_kWh)/1000+IF(REST_rest_ele_kWh="---",0,REST_rest_ele_kWh)/1000</f>
        <v>299.50799999999998</v>
      </c>
      <c r="D25" s="982"/>
      <c r="E25" s="982">
        <f>IF(onbekend_gas_kWh="---",0,onbekend_gas_kWh)/1000+IF(REST_rest_gas_kWh="---",0,REST_rest_gas_kWh)/1000</f>
        <v>435.80599999999998</v>
      </c>
      <c r="F25" s="982"/>
      <c r="G25" s="982"/>
      <c r="H25" s="982"/>
      <c r="I25" s="982"/>
      <c r="J25" s="982"/>
      <c r="K25" s="982"/>
      <c r="L25" s="982"/>
      <c r="M25" s="982"/>
      <c r="N25" s="982"/>
      <c r="O25" s="982"/>
      <c r="P25" s="982"/>
      <c r="Q25" s="983"/>
      <c r="R25" s="674">
        <f>SUM(C25:Q25)</f>
        <v>735.31399999999996</v>
      </c>
      <c r="S25" s="67"/>
    </row>
    <row r="26" spans="1:19" s="447" customFormat="1" ht="15.75" thickBot="1">
      <c r="A26" s="679" t="s">
        <v>835</v>
      </c>
      <c r="B26" s="791"/>
      <c r="C26" s="786">
        <f>SUM(C24:C25)</f>
        <v>458.774</v>
      </c>
      <c r="D26" s="786">
        <f t="shared" ref="D26:R26" si="2">SUM(D24:D25)</f>
        <v>0</v>
      </c>
      <c r="E26" s="786">
        <f t="shared" si="2"/>
        <v>491.39175</v>
      </c>
      <c r="F26" s="786">
        <f t="shared" si="2"/>
        <v>4.1068586292596656</v>
      </c>
      <c r="G26" s="786">
        <f t="shared" si="2"/>
        <v>582.14756073631952</v>
      </c>
      <c r="H26" s="786">
        <f t="shared" si="2"/>
        <v>0</v>
      </c>
      <c r="I26" s="786">
        <f t="shared" si="2"/>
        <v>0</v>
      </c>
      <c r="J26" s="786">
        <f t="shared" si="2"/>
        <v>0</v>
      </c>
      <c r="K26" s="786">
        <f t="shared" si="2"/>
        <v>22.928445136274441</v>
      </c>
      <c r="L26" s="786">
        <f t="shared" si="2"/>
        <v>0</v>
      </c>
      <c r="M26" s="786">
        <f t="shared" si="2"/>
        <v>0</v>
      </c>
      <c r="N26" s="786">
        <f t="shared" si="2"/>
        <v>0</v>
      </c>
      <c r="O26" s="786">
        <f t="shared" si="2"/>
        <v>0</v>
      </c>
      <c r="P26" s="786">
        <f t="shared" si="2"/>
        <v>0</v>
      </c>
      <c r="Q26" s="786">
        <f t="shared" si="2"/>
        <v>0</v>
      </c>
      <c r="R26" s="786">
        <f t="shared" si="2"/>
        <v>1559.3486145018537</v>
      </c>
      <c r="S26" s="67"/>
    </row>
    <row r="27" spans="1:19" s="447" customFormat="1" ht="17.25" thickTop="1" thickBot="1">
      <c r="A27" s="680" t="s">
        <v>115</v>
      </c>
      <c r="B27" s="779"/>
      <c r="C27" s="681">
        <f ca="1">C22+C16+C26</f>
        <v>26314.486850455945</v>
      </c>
      <c r="D27" s="681">
        <f t="shared" ref="D27:R27" ca="1" si="3">D22+D16+D26</f>
        <v>7.1024774774774784</v>
      </c>
      <c r="E27" s="681">
        <f t="shared" ca="1" si="3"/>
        <v>20992.57497858613</v>
      </c>
      <c r="F27" s="681">
        <f t="shared" si="3"/>
        <v>27127.773993071565</v>
      </c>
      <c r="G27" s="681">
        <f t="shared" ca="1" si="3"/>
        <v>39612.897201952095</v>
      </c>
      <c r="H27" s="681">
        <f t="shared" si="3"/>
        <v>49092.531575362962</v>
      </c>
      <c r="I27" s="681">
        <f t="shared" si="3"/>
        <v>10556.744996821813</v>
      </c>
      <c r="J27" s="681">
        <f t="shared" si="3"/>
        <v>0</v>
      </c>
      <c r="K27" s="681">
        <f t="shared" si="3"/>
        <v>23.379703402077215</v>
      </c>
      <c r="L27" s="681">
        <f t="shared" si="3"/>
        <v>0</v>
      </c>
      <c r="M27" s="681">
        <f t="shared" ca="1" si="3"/>
        <v>0</v>
      </c>
      <c r="N27" s="681">
        <f t="shared" si="3"/>
        <v>1860.6996483338057</v>
      </c>
      <c r="O27" s="681">
        <f t="shared" ca="1" si="3"/>
        <v>6257.257966152044</v>
      </c>
      <c r="P27" s="681">
        <f t="shared" si="3"/>
        <v>137.57333333333335</v>
      </c>
      <c r="Q27" s="681">
        <f t="shared" si="3"/>
        <v>877.06666666666661</v>
      </c>
      <c r="R27" s="681">
        <f t="shared" ca="1" si="3"/>
        <v>182860.08939161591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1361.3396402495462</v>
      </c>
      <c r="D40" s="978">
        <f ca="1">tertiair!C20</f>
        <v>1.5941116116116119</v>
      </c>
      <c r="E40" s="978">
        <f ca="1">tertiair!D20</f>
        <v>569.25032323401808</v>
      </c>
      <c r="F40" s="978">
        <f>tertiair!E20</f>
        <v>34.069507167431702</v>
      </c>
      <c r="G40" s="978">
        <f ca="1">tertiair!F20</f>
        <v>411.49538678561032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2377.748969048218</v>
      </c>
    </row>
    <row r="41" spans="1:18">
      <c r="A41" s="796" t="s">
        <v>224</v>
      </c>
      <c r="B41" s="803"/>
      <c r="C41" s="978">
        <f ca="1">huishoudens!B12</f>
        <v>3427.9535816724401</v>
      </c>
      <c r="D41" s="978">
        <f ca="1">huishoudens!C12</f>
        <v>0</v>
      </c>
      <c r="E41" s="978">
        <f>huishoudens!D12</f>
        <v>3472.1198732880007</v>
      </c>
      <c r="F41" s="978">
        <f>huishoudens!E12</f>
        <v>6059.3056549572884</v>
      </c>
      <c r="G41" s="978">
        <f>huishoudens!F12</f>
        <v>9854.5351345732433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22813.914244490974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186.81552196216666</v>
      </c>
      <c r="D43" s="978">
        <f ca="1">industrie!C22</f>
        <v>0</v>
      </c>
      <c r="E43" s="978">
        <f>industrie!D22</f>
        <v>93.570864200000017</v>
      </c>
      <c r="F43" s="978">
        <f>industrie!E22</f>
        <v>32.523971961421672</v>
      </c>
      <c r="G43" s="978">
        <f>industrie!F22</f>
        <v>155.17963284576069</v>
      </c>
      <c r="H43" s="978">
        <f>industrie!G22</f>
        <v>0</v>
      </c>
      <c r="I43" s="978">
        <f>industrie!H22</f>
        <v>0</v>
      </c>
      <c r="J43" s="978">
        <f>industrie!I22</f>
        <v>0</v>
      </c>
      <c r="K43" s="978">
        <f>industrie!J22</f>
        <v>0.15974542609418196</v>
      </c>
      <c r="L43" s="978">
        <f>industrie!K22</f>
        <v>0</v>
      </c>
      <c r="M43" s="978">
        <f>industrie!L22</f>
        <v>0</v>
      </c>
      <c r="N43" s="978">
        <f>industrie!M22</f>
        <v>0</v>
      </c>
      <c r="O43" s="978">
        <f>industrie!N22</f>
        <v>0</v>
      </c>
      <c r="P43" s="978">
        <f>industrie!O22</f>
        <v>0</v>
      </c>
      <c r="Q43" s="748">
        <f>industrie!P22</f>
        <v>0</v>
      </c>
      <c r="R43" s="823">
        <f t="shared" ca="1" si="4"/>
        <v>468.24973639544322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4976.1087438841532</v>
      </c>
      <c r="D46" s="706">
        <f t="shared" ref="D46:Q46" ca="1" si="5">SUM(D39:D45)</f>
        <v>1.5941116116116119</v>
      </c>
      <c r="E46" s="706">
        <f t="shared" ca="1" si="5"/>
        <v>4134.9410607220188</v>
      </c>
      <c r="F46" s="706">
        <f t="shared" si="5"/>
        <v>6125.8991340861421</v>
      </c>
      <c r="G46" s="706">
        <f t="shared" ca="1" si="5"/>
        <v>10421.210154204615</v>
      </c>
      <c r="H46" s="706">
        <f t="shared" si="5"/>
        <v>0</v>
      </c>
      <c r="I46" s="706">
        <f t="shared" si="5"/>
        <v>0</v>
      </c>
      <c r="J46" s="706">
        <f t="shared" si="5"/>
        <v>0</v>
      </c>
      <c r="K46" s="706">
        <f t="shared" si="5"/>
        <v>0.15974542609418196</v>
      </c>
      <c r="L46" s="706">
        <f t="shared" si="5"/>
        <v>0</v>
      </c>
      <c r="M46" s="706">
        <f t="shared" ca="1" si="5"/>
        <v>0</v>
      </c>
      <c r="N46" s="706">
        <f t="shared" si="5"/>
        <v>0</v>
      </c>
      <c r="O46" s="706">
        <f t="shared" ca="1" si="5"/>
        <v>0</v>
      </c>
      <c r="P46" s="706">
        <f t="shared" si="5"/>
        <v>0</v>
      </c>
      <c r="Q46" s="706">
        <f t="shared" si="5"/>
        <v>0</v>
      </c>
      <c r="R46" s="706">
        <f ca="1">SUM(R39:R45)</f>
        <v>25659.912949934635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75.712787003491542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75.712787003491542</v>
      </c>
    </row>
    <row r="50" spans="1:18">
      <c r="A50" s="799" t="s">
        <v>306</v>
      </c>
      <c r="B50" s="809"/>
      <c r="C50" s="677">
        <f ca="1">transport!B18</f>
        <v>2.6563095207411558</v>
      </c>
      <c r="D50" s="677">
        <f>transport!C18</f>
        <v>0</v>
      </c>
      <c r="E50" s="677">
        <f>transport!D18</f>
        <v>6.2979514523798912</v>
      </c>
      <c r="F50" s="677">
        <f>transport!E18</f>
        <v>31.173305432261294</v>
      </c>
      <c r="G50" s="677">
        <f>transport!F18</f>
        <v>0</v>
      </c>
      <c r="H50" s="677">
        <f>transport!G18</f>
        <v>13031.99314361842</v>
      </c>
      <c r="I50" s="677">
        <f>transport!H18</f>
        <v>2628.6295042086317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15700.750214232434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2.6563095207411558</v>
      </c>
      <c r="D52" s="706">
        <f t="shared" ref="D52:Q52" ca="1" si="6">SUM(D48:D51)</f>
        <v>0</v>
      </c>
      <c r="E52" s="706">
        <f t="shared" si="6"/>
        <v>6.2979514523798912</v>
      </c>
      <c r="F52" s="706">
        <f t="shared" si="6"/>
        <v>31.173305432261294</v>
      </c>
      <c r="G52" s="706">
        <f t="shared" si="6"/>
        <v>0</v>
      </c>
      <c r="H52" s="706">
        <f t="shared" si="6"/>
        <v>13107.705930621911</v>
      </c>
      <c r="I52" s="706">
        <f t="shared" si="6"/>
        <v>2628.6295042086317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15776.463001235925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30.668193121645103</v>
      </c>
      <c r="D54" s="677">
        <f ca="1">+landbouw!C12</f>
        <v>0</v>
      </c>
      <c r="E54" s="677">
        <f>+landbouw!D12</f>
        <v>11.228321500000002</v>
      </c>
      <c r="F54" s="677">
        <f>+landbouw!E12</f>
        <v>0.93225690884194412</v>
      </c>
      <c r="G54" s="677">
        <f>+landbouw!F12</f>
        <v>155.43339871659731</v>
      </c>
      <c r="H54" s="677">
        <f>+landbouw!G12</f>
        <v>0</v>
      </c>
      <c r="I54" s="677">
        <f>+landbouw!H12</f>
        <v>0</v>
      </c>
      <c r="J54" s="677">
        <f>+landbouw!I12</f>
        <v>0</v>
      </c>
      <c r="K54" s="677">
        <f>+landbouw!J12</f>
        <v>8.1166695782411509</v>
      </c>
      <c r="L54" s="677">
        <f>+landbouw!K12</f>
        <v>0</v>
      </c>
      <c r="M54" s="677">
        <f>+landbouw!L12</f>
        <v>0</v>
      </c>
      <c r="N54" s="677">
        <f>+landbouw!M12</f>
        <v>0</v>
      </c>
      <c r="O54" s="677">
        <f>+landbouw!N12</f>
        <v>0</v>
      </c>
      <c r="P54" s="677">
        <f>+landbouw!O12</f>
        <v>0</v>
      </c>
      <c r="Q54" s="678">
        <f>+landbouw!P12</f>
        <v>0</v>
      </c>
      <c r="R54" s="705">
        <f ca="1">SUM(C54:Q54)</f>
        <v>206.37883982532551</v>
      </c>
    </row>
    <row r="55" spans="1:18" ht="15" thickBot="1">
      <c r="A55" s="799" t="s">
        <v>834</v>
      </c>
      <c r="B55" s="809"/>
      <c r="C55" s="677">
        <f ca="1">C25*'EF ele_warmte'!B12</f>
        <v>57.673132906443826</v>
      </c>
      <c r="D55" s="677"/>
      <c r="E55" s="677">
        <f>E25*EF_CO2_aardgas</f>
        <v>88.032812000000007</v>
      </c>
      <c r="F55" s="677"/>
      <c r="G55" s="677"/>
      <c r="H55" s="677"/>
      <c r="I55" s="677"/>
      <c r="J55" s="677"/>
      <c r="K55" s="677"/>
      <c r="L55" s="677"/>
      <c r="M55" s="677"/>
      <c r="N55" s="677"/>
      <c r="O55" s="677"/>
      <c r="P55" s="677"/>
      <c r="Q55" s="678"/>
      <c r="R55" s="705">
        <f ca="1">SUM(C55:Q55)</f>
        <v>145.70594490644385</v>
      </c>
    </row>
    <row r="56" spans="1:18" ht="15.75" thickBot="1">
      <c r="A56" s="797" t="s">
        <v>835</v>
      </c>
      <c r="B56" s="810"/>
      <c r="C56" s="706">
        <f ca="1">SUM(C54:C55)</f>
        <v>88.341326028088929</v>
      </c>
      <c r="D56" s="706">
        <f t="shared" ref="D56:Q56" ca="1" si="7">SUM(D54:D55)</f>
        <v>0</v>
      </c>
      <c r="E56" s="706">
        <f t="shared" si="7"/>
        <v>99.261133500000014</v>
      </c>
      <c r="F56" s="706">
        <f t="shared" si="7"/>
        <v>0.93225690884194412</v>
      </c>
      <c r="G56" s="706">
        <f t="shared" si="7"/>
        <v>155.43339871659731</v>
      </c>
      <c r="H56" s="706">
        <f t="shared" si="7"/>
        <v>0</v>
      </c>
      <c r="I56" s="706">
        <f t="shared" si="7"/>
        <v>0</v>
      </c>
      <c r="J56" s="706">
        <f t="shared" si="7"/>
        <v>0</v>
      </c>
      <c r="K56" s="706">
        <f t="shared" si="7"/>
        <v>8.1166695782411509</v>
      </c>
      <c r="L56" s="706">
        <f t="shared" si="7"/>
        <v>0</v>
      </c>
      <c r="M56" s="706">
        <f t="shared" si="7"/>
        <v>0</v>
      </c>
      <c r="N56" s="706">
        <f t="shared" si="7"/>
        <v>0</v>
      </c>
      <c r="O56" s="706">
        <f t="shared" si="7"/>
        <v>0</v>
      </c>
      <c r="P56" s="706">
        <f t="shared" si="7"/>
        <v>0</v>
      </c>
      <c r="Q56" s="707">
        <f t="shared" si="7"/>
        <v>0</v>
      </c>
      <c r="R56" s="708">
        <f ca="1">SUM(R54:R55)</f>
        <v>352.08478473176933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5067.106379432983</v>
      </c>
      <c r="D61" s="714">
        <f t="shared" ref="D61:Q61" ca="1" si="8">D46+D52+D56</f>
        <v>1.5941116116116119</v>
      </c>
      <c r="E61" s="714">
        <f t="shared" ca="1" si="8"/>
        <v>4240.5001456743985</v>
      </c>
      <c r="F61" s="714">
        <f t="shared" si="8"/>
        <v>6158.0046964272451</v>
      </c>
      <c r="G61" s="714">
        <f t="shared" ca="1" si="8"/>
        <v>10576.643552921212</v>
      </c>
      <c r="H61" s="714">
        <f t="shared" si="8"/>
        <v>13107.705930621911</v>
      </c>
      <c r="I61" s="714">
        <f t="shared" si="8"/>
        <v>2628.6295042086317</v>
      </c>
      <c r="J61" s="714">
        <f t="shared" si="8"/>
        <v>0</v>
      </c>
      <c r="K61" s="714">
        <f t="shared" si="8"/>
        <v>8.2764150043353322</v>
      </c>
      <c r="L61" s="714">
        <f t="shared" si="8"/>
        <v>0</v>
      </c>
      <c r="M61" s="714">
        <f t="shared" ca="1" si="8"/>
        <v>0</v>
      </c>
      <c r="N61" s="714">
        <f t="shared" si="8"/>
        <v>0</v>
      </c>
      <c r="O61" s="714">
        <f t="shared" ca="1" si="8"/>
        <v>0</v>
      </c>
      <c r="P61" s="714">
        <f t="shared" si="8"/>
        <v>0</v>
      </c>
      <c r="Q61" s="714">
        <f t="shared" si="8"/>
        <v>0</v>
      </c>
      <c r="R61" s="714">
        <f ca="1">R46+R52+R56</f>
        <v>41788.460735902328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0.192559574056265</v>
      </c>
      <c r="D63" s="755">
        <f t="shared" ca="1" si="9"/>
        <v>0.22444444444444445</v>
      </c>
      <c r="E63" s="989">
        <f t="shared" ca="1" si="9"/>
        <v>0.20200000000000001</v>
      </c>
      <c r="F63" s="755">
        <f t="shared" si="9"/>
        <v>0.22699999999999998</v>
      </c>
      <c r="G63" s="755">
        <f t="shared" ca="1" si="9"/>
        <v>0.26700000000000007</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3386.4809648030969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4.9583333333333339</v>
      </c>
      <c r="D76" s="999">
        <f>'lokale energieproductie'!C8</f>
        <v>5.5092592592592595</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1.1128703703703704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3386.4809648030969</v>
      </c>
      <c r="C78" s="729">
        <f>SUM(C72:C77)</f>
        <v>4.9583333333333339</v>
      </c>
      <c r="D78" s="730">
        <f t="shared" ref="D78:H78" si="10">SUM(D76:D77)</f>
        <v>5.5092592592592595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1.1128703703703704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7.1024774774774784</v>
      </c>
      <c r="D87" s="751">
        <f>'lokale energieproductie'!C17</f>
        <v>7.8916416416416428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1.5941116116116119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7.1024774774774784</v>
      </c>
      <c r="D90" s="729">
        <f t="shared" ref="D90:H90" si="12">SUM(D87:D89)</f>
        <v>7.8916416416416428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1.5941116116116119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17802.041775761343</v>
      </c>
      <c r="C4" s="451">
        <f>huishoudens!C8</f>
        <v>0</v>
      </c>
      <c r="D4" s="451">
        <f>huishoudens!D8</f>
        <v>17188.712244000002</v>
      </c>
      <c r="E4" s="451">
        <f>huishoudens!E8</f>
        <v>26692.976453556337</v>
      </c>
      <c r="F4" s="451">
        <f>huishoudens!F8</f>
        <v>36908.371290536488</v>
      </c>
      <c r="G4" s="451">
        <f>huishoudens!G8</f>
        <v>0</v>
      </c>
      <c r="H4" s="451">
        <f>huishoudens!H8</f>
        <v>0</v>
      </c>
      <c r="I4" s="451">
        <f>huishoudens!I8</f>
        <v>0</v>
      </c>
      <c r="J4" s="451">
        <f>huishoudens!J8</f>
        <v>0</v>
      </c>
      <c r="K4" s="451">
        <f>huishoudens!K8</f>
        <v>0</v>
      </c>
      <c r="L4" s="451">
        <f>huishoudens!L8</f>
        <v>0</v>
      </c>
      <c r="M4" s="451">
        <f>huishoudens!M8</f>
        <v>0</v>
      </c>
      <c r="N4" s="451">
        <f>huishoudens!N8</f>
        <v>5622.2254801449444</v>
      </c>
      <c r="O4" s="451">
        <f>huishoudens!O8</f>
        <v>137.57333333333335</v>
      </c>
      <c r="P4" s="452">
        <f>huishoudens!P8</f>
        <v>877.06666666666661</v>
      </c>
      <c r="Q4" s="453">
        <f>SUM(B4:P4)</f>
        <v>105228.96724399911</v>
      </c>
    </row>
    <row r="5" spans="1:17">
      <c r="A5" s="450" t="s">
        <v>155</v>
      </c>
      <c r="B5" s="451">
        <f ca="1">tertiair!B16</f>
        <v>6525.3843333333343</v>
      </c>
      <c r="C5" s="451">
        <f ca="1">tertiair!C16</f>
        <v>7.1024774774774784</v>
      </c>
      <c r="D5" s="451">
        <f ca="1">tertiair!D16</f>
        <v>2818.0709070990993</v>
      </c>
      <c r="E5" s="451">
        <f>tertiair!E16</f>
        <v>150.08593465828943</v>
      </c>
      <c r="F5" s="451">
        <f ca="1">tertiair!F16</f>
        <v>1541.1812239161434</v>
      </c>
      <c r="G5" s="451">
        <f>tertiair!G16</f>
        <v>0</v>
      </c>
      <c r="H5" s="451">
        <f>tertiair!H16</f>
        <v>0</v>
      </c>
      <c r="I5" s="451">
        <f>tertiair!I16</f>
        <v>0</v>
      </c>
      <c r="J5" s="451">
        <f>tertiair!J16</f>
        <v>0</v>
      </c>
      <c r="K5" s="451">
        <f>tertiair!K16</f>
        <v>0</v>
      </c>
      <c r="L5" s="451">
        <f ca="1">tertiair!L16</f>
        <v>0</v>
      </c>
      <c r="M5" s="451">
        <f>tertiair!M16</f>
        <v>0</v>
      </c>
      <c r="N5" s="451">
        <f ca="1">tertiair!N16</f>
        <v>506.62127918134195</v>
      </c>
      <c r="O5" s="451">
        <f>tertiair!O16</f>
        <v>0</v>
      </c>
      <c r="P5" s="452">
        <f>tertiair!P16</f>
        <v>0</v>
      </c>
      <c r="Q5" s="450">
        <f t="shared" ref="Q5:Q14" ca="1" si="0">SUM(B5:P5)</f>
        <v>11548.446155665684</v>
      </c>
    </row>
    <row r="6" spans="1:17">
      <c r="A6" s="450" t="s">
        <v>193</v>
      </c>
      <c r="B6" s="451">
        <f>'openbare verlichting'!B8</f>
        <v>544.322</v>
      </c>
      <c r="C6" s="451"/>
      <c r="D6" s="451"/>
      <c r="E6" s="451"/>
      <c r="F6" s="451"/>
      <c r="G6" s="451"/>
      <c r="H6" s="451"/>
      <c r="I6" s="451"/>
      <c r="J6" s="451"/>
      <c r="K6" s="451"/>
      <c r="L6" s="451"/>
      <c r="M6" s="451"/>
      <c r="N6" s="451"/>
      <c r="O6" s="451"/>
      <c r="P6" s="452"/>
      <c r="Q6" s="450">
        <f t="shared" si="0"/>
        <v>544.322</v>
      </c>
    </row>
    <row r="7" spans="1:17">
      <c r="A7" s="450" t="s">
        <v>111</v>
      </c>
      <c r="B7" s="451">
        <f>landbouw!B8</f>
        <v>159.26599999999999</v>
      </c>
      <c r="C7" s="451">
        <f>landbouw!C8</f>
        <v>0</v>
      </c>
      <c r="D7" s="451">
        <f>landbouw!D8</f>
        <v>55.585750000000004</v>
      </c>
      <c r="E7" s="451">
        <f>landbouw!E8</f>
        <v>4.1068586292596656</v>
      </c>
      <c r="F7" s="451">
        <f>landbouw!F8</f>
        <v>582.14756073631952</v>
      </c>
      <c r="G7" s="451">
        <f>landbouw!G8</f>
        <v>0</v>
      </c>
      <c r="H7" s="451">
        <f>landbouw!H8</f>
        <v>0</v>
      </c>
      <c r="I7" s="451">
        <f>landbouw!I8</f>
        <v>0</v>
      </c>
      <c r="J7" s="451">
        <f>landbouw!J8</f>
        <v>22.928445136274441</v>
      </c>
      <c r="K7" s="451">
        <f>landbouw!K8</f>
        <v>0</v>
      </c>
      <c r="L7" s="451">
        <f>landbouw!L8</f>
        <v>0</v>
      </c>
      <c r="M7" s="451">
        <f>landbouw!M8</f>
        <v>0</v>
      </c>
      <c r="N7" s="451">
        <f>landbouw!N8</f>
        <v>0</v>
      </c>
      <c r="O7" s="451">
        <f>landbouw!O8</f>
        <v>0</v>
      </c>
      <c r="P7" s="452">
        <f>landbouw!P8</f>
        <v>0</v>
      </c>
      <c r="Q7" s="450">
        <f t="shared" si="0"/>
        <v>824.03461450185364</v>
      </c>
    </row>
    <row r="8" spans="1:17">
      <c r="A8" s="450" t="s">
        <v>637</v>
      </c>
      <c r="B8" s="451">
        <f>industrie!B18</f>
        <v>970.17000000000007</v>
      </c>
      <c r="C8" s="451">
        <f>industrie!C18</f>
        <v>0</v>
      </c>
      <c r="D8" s="451">
        <f>industrie!D18</f>
        <v>463.22210000000007</v>
      </c>
      <c r="E8" s="451">
        <f>industrie!E18</f>
        <v>143.27740952168136</v>
      </c>
      <c r="F8" s="451">
        <f>industrie!F18</f>
        <v>581.19712676314862</v>
      </c>
      <c r="G8" s="451">
        <f>industrie!G18</f>
        <v>0</v>
      </c>
      <c r="H8" s="451">
        <f>industrie!H18</f>
        <v>0</v>
      </c>
      <c r="I8" s="451">
        <f>industrie!I18</f>
        <v>0</v>
      </c>
      <c r="J8" s="451">
        <f>industrie!J18</f>
        <v>0.45125826580277395</v>
      </c>
      <c r="K8" s="451">
        <f>industrie!K18</f>
        <v>0</v>
      </c>
      <c r="L8" s="451">
        <f>industrie!L18</f>
        <v>0</v>
      </c>
      <c r="M8" s="451">
        <f>industrie!M18</f>
        <v>0</v>
      </c>
      <c r="N8" s="451">
        <f>industrie!N18</f>
        <v>128.41120682575715</v>
      </c>
      <c r="O8" s="451">
        <f>industrie!O18</f>
        <v>0</v>
      </c>
      <c r="P8" s="452">
        <f>industrie!P18</f>
        <v>0</v>
      </c>
      <c r="Q8" s="450">
        <f t="shared" si="0"/>
        <v>2286.7291013763897</v>
      </c>
    </row>
    <row r="9" spans="1:17" s="456" customFormat="1">
      <c r="A9" s="454" t="s">
        <v>563</v>
      </c>
      <c r="B9" s="455">
        <f>transport!B14</f>
        <v>13.794741361263055</v>
      </c>
      <c r="C9" s="455">
        <f>transport!C14</f>
        <v>0</v>
      </c>
      <c r="D9" s="455">
        <f>transport!D14</f>
        <v>31.17797748702916</v>
      </c>
      <c r="E9" s="455">
        <f>transport!E14</f>
        <v>137.32733670599688</v>
      </c>
      <c r="F9" s="455">
        <f>transport!F14</f>
        <v>0</v>
      </c>
      <c r="G9" s="455">
        <f>transport!G14</f>
        <v>48808.963084713178</v>
      </c>
      <c r="H9" s="455">
        <f>transport!H14</f>
        <v>10556.744996821813</v>
      </c>
      <c r="I9" s="455">
        <f>transport!I14</f>
        <v>0</v>
      </c>
      <c r="J9" s="455">
        <f>transport!J14</f>
        <v>0</v>
      </c>
      <c r="K9" s="455">
        <f>transport!K14</f>
        <v>0</v>
      </c>
      <c r="L9" s="455">
        <f>transport!L14</f>
        <v>0</v>
      </c>
      <c r="M9" s="455">
        <f>transport!M14</f>
        <v>1851.9150914972802</v>
      </c>
      <c r="N9" s="455">
        <f>transport!N14</f>
        <v>0</v>
      </c>
      <c r="O9" s="455">
        <f>transport!O14</f>
        <v>0</v>
      </c>
      <c r="P9" s="455">
        <f>transport!P14</f>
        <v>0</v>
      </c>
      <c r="Q9" s="454">
        <f>SUM(B9:P9)</f>
        <v>61399.923228586558</v>
      </c>
    </row>
    <row r="10" spans="1:17">
      <c r="A10" s="450" t="s">
        <v>553</v>
      </c>
      <c r="B10" s="451">
        <f>transport!B54</f>
        <v>0</v>
      </c>
      <c r="C10" s="451">
        <f>transport!C54</f>
        <v>0</v>
      </c>
      <c r="D10" s="451">
        <f>transport!D54</f>
        <v>0</v>
      </c>
      <c r="E10" s="451">
        <f>transport!E54</f>
        <v>0</v>
      </c>
      <c r="F10" s="451">
        <f>transport!F54</f>
        <v>0</v>
      </c>
      <c r="G10" s="451">
        <f>transport!G54</f>
        <v>283.56849064978104</v>
      </c>
      <c r="H10" s="451">
        <f>transport!H54</f>
        <v>0</v>
      </c>
      <c r="I10" s="451">
        <f>transport!I54</f>
        <v>0</v>
      </c>
      <c r="J10" s="451">
        <f>transport!J54</f>
        <v>0</v>
      </c>
      <c r="K10" s="451">
        <f>transport!K54</f>
        <v>0</v>
      </c>
      <c r="L10" s="451">
        <f>transport!L54</f>
        <v>0</v>
      </c>
      <c r="M10" s="451">
        <f>transport!M54</f>
        <v>8.7845568365255762</v>
      </c>
      <c r="N10" s="451">
        <f>transport!N54</f>
        <v>0</v>
      </c>
      <c r="O10" s="451">
        <f>transport!O54</f>
        <v>0</v>
      </c>
      <c r="P10" s="452">
        <f>transport!P54</f>
        <v>0</v>
      </c>
      <c r="Q10" s="450">
        <f t="shared" si="0"/>
        <v>292.35304748630659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299.50799999999998</v>
      </c>
      <c r="C14" s="458"/>
      <c r="D14" s="458">
        <f>'SEAP template'!E25</f>
        <v>435.80599999999998</v>
      </c>
      <c r="E14" s="458"/>
      <c r="F14" s="458"/>
      <c r="G14" s="458"/>
      <c r="H14" s="458"/>
      <c r="I14" s="458"/>
      <c r="J14" s="458"/>
      <c r="K14" s="458"/>
      <c r="L14" s="458"/>
      <c r="M14" s="458"/>
      <c r="N14" s="458"/>
      <c r="O14" s="458"/>
      <c r="P14" s="459"/>
      <c r="Q14" s="450">
        <f t="shared" si="0"/>
        <v>735.31399999999996</v>
      </c>
    </row>
    <row r="15" spans="1:17" s="460" customFormat="1">
      <c r="A15" s="1004" t="s">
        <v>557</v>
      </c>
      <c r="B15" s="944">
        <f ca="1">SUM(B4:B14)</f>
        <v>26314.486850455942</v>
      </c>
      <c r="C15" s="944">
        <f t="shared" ref="C15:Q15" ca="1" si="1">SUM(C4:C14)</f>
        <v>7.1024774774774784</v>
      </c>
      <c r="D15" s="944">
        <f t="shared" ca="1" si="1"/>
        <v>20992.57497858613</v>
      </c>
      <c r="E15" s="944">
        <f t="shared" si="1"/>
        <v>27127.773993071565</v>
      </c>
      <c r="F15" s="944">
        <f t="shared" ca="1" si="1"/>
        <v>39612.897201952095</v>
      </c>
      <c r="G15" s="944">
        <f t="shared" si="1"/>
        <v>49092.531575362962</v>
      </c>
      <c r="H15" s="944">
        <f t="shared" si="1"/>
        <v>10556.744996821813</v>
      </c>
      <c r="I15" s="944">
        <f t="shared" si="1"/>
        <v>0</v>
      </c>
      <c r="J15" s="944">
        <f t="shared" si="1"/>
        <v>23.379703402077215</v>
      </c>
      <c r="K15" s="944">
        <f t="shared" si="1"/>
        <v>0</v>
      </c>
      <c r="L15" s="944">
        <f t="shared" ca="1" si="1"/>
        <v>0</v>
      </c>
      <c r="M15" s="944">
        <f t="shared" si="1"/>
        <v>1860.6996483338057</v>
      </c>
      <c r="N15" s="944">
        <f t="shared" ca="1" si="1"/>
        <v>6257.257966152044</v>
      </c>
      <c r="O15" s="944">
        <f t="shared" si="1"/>
        <v>137.57333333333335</v>
      </c>
      <c r="P15" s="944">
        <f t="shared" si="1"/>
        <v>877.06666666666661</v>
      </c>
      <c r="Q15" s="944">
        <f t="shared" ca="1" si="1"/>
        <v>182860.08939161591</v>
      </c>
    </row>
    <row r="17" spans="1:17">
      <c r="A17" s="461" t="s">
        <v>558</v>
      </c>
      <c r="B17" s="760">
        <f ca="1">huishoudens!B10</f>
        <v>0.19255957405626503</v>
      </c>
      <c r="C17" s="760">
        <f ca="1">huishoudens!C10</f>
        <v>0.22444444444444445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3427.9535816724401</v>
      </c>
      <c r="C22" s="451">
        <f t="shared" ref="C22:C32" ca="1" si="3">C4*$C$17</f>
        <v>0</v>
      </c>
      <c r="D22" s="451">
        <f t="shared" ref="D22:D32" si="4">D4*$D$17</f>
        <v>3472.1198732880007</v>
      </c>
      <c r="E22" s="451">
        <f t="shared" ref="E22:E32" si="5">E4*$E$17</f>
        <v>6059.3056549572884</v>
      </c>
      <c r="F22" s="451">
        <f t="shared" ref="F22:F32" si="6">F4*$F$17</f>
        <v>9854.5351345732433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22813.914244490974</v>
      </c>
    </row>
    <row r="23" spans="1:17">
      <c r="A23" s="450" t="s">
        <v>155</v>
      </c>
      <c r="B23" s="451">
        <f t="shared" ca="1" si="2"/>
        <v>1256.5252277800919</v>
      </c>
      <c r="C23" s="451">
        <f t="shared" ca="1" si="3"/>
        <v>1.5941116116116119</v>
      </c>
      <c r="D23" s="451">
        <f t="shared" ca="1" si="4"/>
        <v>569.25032323401808</v>
      </c>
      <c r="E23" s="451">
        <f t="shared" si="5"/>
        <v>34.069507167431702</v>
      </c>
      <c r="F23" s="451">
        <f t="shared" ca="1" si="6"/>
        <v>411.49538678561032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2272.9345565787635</v>
      </c>
    </row>
    <row r="24" spans="1:17">
      <c r="A24" s="450" t="s">
        <v>193</v>
      </c>
      <c r="B24" s="451">
        <f t="shared" ca="1" si="2"/>
        <v>104.8144124694543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104.8144124694543</v>
      </c>
    </row>
    <row r="25" spans="1:17">
      <c r="A25" s="450" t="s">
        <v>111</v>
      </c>
      <c r="B25" s="451">
        <f t="shared" ca="1" si="2"/>
        <v>30.668193121645103</v>
      </c>
      <c r="C25" s="451">
        <f t="shared" ca="1" si="3"/>
        <v>0</v>
      </c>
      <c r="D25" s="451">
        <f t="shared" si="4"/>
        <v>11.228321500000002</v>
      </c>
      <c r="E25" s="451">
        <f t="shared" si="5"/>
        <v>0.93225690884194412</v>
      </c>
      <c r="F25" s="451">
        <f t="shared" si="6"/>
        <v>155.43339871659731</v>
      </c>
      <c r="G25" s="451">
        <f t="shared" si="7"/>
        <v>0</v>
      </c>
      <c r="H25" s="451">
        <f t="shared" si="8"/>
        <v>0</v>
      </c>
      <c r="I25" s="451">
        <f t="shared" si="9"/>
        <v>0</v>
      </c>
      <c r="J25" s="451">
        <f t="shared" si="10"/>
        <v>8.1166695782411509</v>
      </c>
      <c r="K25" s="451">
        <f t="shared" si="11"/>
        <v>0</v>
      </c>
      <c r="L25" s="451">
        <f t="shared" si="12"/>
        <v>0</v>
      </c>
      <c r="M25" s="451">
        <f t="shared" si="13"/>
        <v>0</v>
      </c>
      <c r="N25" s="451">
        <f t="shared" si="14"/>
        <v>0</v>
      </c>
      <c r="O25" s="451">
        <f t="shared" si="15"/>
        <v>0</v>
      </c>
      <c r="P25" s="452">
        <f t="shared" si="16"/>
        <v>0</v>
      </c>
      <c r="Q25" s="450">
        <f t="shared" ca="1" si="17"/>
        <v>206.37883982532551</v>
      </c>
    </row>
    <row r="26" spans="1:17">
      <c r="A26" s="450" t="s">
        <v>637</v>
      </c>
      <c r="B26" s="451">
        <f t="shared" ca="1" si="2"/>
        <v>186.81552196216666</v>
      </c>
      <c r="C26" s="451">
        <f t="shared" ca="1" si="3"/>
        <v>0</v>
      </c>
      <c r="D26" s="451">
        <f t="shared" si="4"/>
        <v>93.570864200000017</v>
      </c>
      <c r="E26" s="451">
        <f t="shared" si="5"/>
        <v>32.523971961421672</v>
      </c>
      <c r="F26" s="451">
        <f t="shared" si="6"/>
        <v>155.17963284576069</v>
      </c>
      <c r="G26" s="451">
        <f t="shared" si="7"/>
        <v>0</v>
      </c>
      <c r="H26" s="451">
        <f t="shared" si="8"/>
        <v>0</v>
      </c>
      <c r="I26" s="451">
        <f t="shared" si="9"/>
        <v>0</v>
      </c>
      <c r="J26" s="451">
        <f t="shared" si="10"/>
        <v>0.15974542609418196</v>
      </c>
      <c r="K26" s="451">
        <f t="shared" si="11"/>
        <v>0</v>
      </c>
      <c r="L26" s="451">
        <f t="shared" si="12"/>
        <v>0</v>
      </c>
      <c r="M26" s="451">
        <f t="shared" si="13"/>
        <v>0</v>
      </c>
      <c r="N26" s="451">
        <f t="shared" si="14"/>
        <v>0</v>
      </c>
      <c r="O26" s="451">
        <f t="shared" si="15"/>
        <v>0</v>
      </c>
      <c r="P26" s="452">
        <f t="shared" si="16"/>
        <v>0</v>
      </c>
      <c r="Q26" s="450">
        <f t="shared" ca="1" si="17"/>
        <v>468.24973639544322</v>
      </c>
    </row>
    <row r="27" spans="1:17" s="456" customFormat="1">
      <c r="A27" s="454" t="s">
        <v>563</v>
      </c>
      <c r="B27" s="754">
        <f t="shared" ca="1" si="2"/>
        <v>2.6563095207411558</v>
      </c>
      <c r="C27" s="455">
        <f t="shared" ca="1" si="3"/>
        <v>0</v>
      </c>
      <c r="D27" s="455">
        <f t="shared" si="4"/>
        <v>6.2979514523798912</v>
      </c>
      <c r="E27" s="455">
        <f t="shared" si="5"/>
        <v>31.173305432261294</v>
      </c>
      <c r="F27" s="455">
        <f t="shared" si="6"/>
        <v>0</v>
      </c>
      <c r="G27" s="455">
        <f t="shared" si="7"/>
        <v>13031.99314361842</v>
      </c>
      <c r="H27" s="455">
        <f t="shared" si="8"/>
        <v>2628.6295042086317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15700.750214232434</v>
      </c>
    </row>
    <row r="28" spans="1:17">
      <c r="A28" s="450" t="s">
        <v>553</v>
      </c>
      <c r="B28" s="451">
        <f t="shared" ca="1" si="2"/>
        <v>0</v>
      </c>
      <c r="C28" s="451">
        <f t="shared" ca="1" si="3"/>
        <v>0</v>
      </c>
      <c r="D28" s="451">
        <f t="shared" si="4"/>
        <v>0</v>
      </c>
      <c r="E28" s="451">
        <f t="shared" si="5"/>
        <v>0</v>
      </c>
      <c r="F28" s="451">
        <f t="shared" si="6"/>
        <v>0</v>
      </c>
      <c r="G28" s="451">
        <f t="shared" si="7"/>
        <v>75.712787003491542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75.712787003491542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57.673132906443826</v>
      </c>
      <c r="C32" s="451">
        <f t="shared" ca="1" si="3"/>
        <v>0</v>
      </c>
      <c r="D32" s="451">
        <f t="shared" si="4"/>
        <v>88.032812000000007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145.70594490644385</v>
      </c>
    </row>
    <row r="33" spans="1:17" s="460" customFormat="1">
      <c r="A33" s="1004" t="s">
        <v>557</v>
      </c>
      <c r="B33" s="944">
        <f ca="1">SUM(B22:B32)</f>
        <v>5067.1063794329839</v>
      </c>
      <c r="C33" s="944">
        <f t="shared" ref="C33:Q33" ca="1" si="18">SUM(C22:C32)</f>
        <v>1.5941116116116119</v>
      </c>
      <c r="D33" s="944">
        <f t="shared" ca="1" si="18"/>
        <v>4240.5001456743994</v>
      </c>
      <c r="E33" s="944">
        <f t="shared" si="18"/>
        <v>6158.0046964272451</v>
      </c>
      <c r="F33" s="944">
        <f t="shared" ca="1" si="18"/>
        <v>10576.643552921212</v>
      </c>
      <c r="G33" s="944">
        <f t="shared" si="18"/>
        <v>13107.705930621911</v>
      </c>
      <c r="H33" s="944">
        <f t="shared" si="18"/>
        <v>2628.6295042086317</v>
      </c>
      <c r="I33" s="944">
        <f t="shared" si="18"/>
        <v>0</v>
      </c>
      <c r="J33" s="944">
        <f t="shared" si="18"/>
        <v>8.2764150043353322</v>
      </c>
      <c r="K33" s="944">
        <f t="shared" si="18"/>
        <v>0</v>
      </c>
      <c r="L33" s="944">
        <f t="shared" ca="1" si="18"/>
        <v>0</v>
      </c>
      <c r="M33" s="944">
        <f t="shared" si="18"/>
        <v>0</v>
      </c>
      <c r="N33" s="944">
        <f t="shared" ca="1" si="18"/>
        <v>0</v>
      </c>
      <c r="O33" s="944">
        <f t="shared" si="18"/>
        <v>0</v>
      </c>
      <c r="P33" s="944">
        <f t="shared" si="18"/>
        <v>0</v>
      </c>
      <c r="Q33" s="944">
        <f t="shared" ca="1" si="18"/>
        <v>41788.460735902328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3386.4809648030969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4.9583333333333339</v>
      </c>
      <c r="D8" s="1021">
        <f>'SEAP template'!D76</f>
        <v>5.5092592592592595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1.1128703703703704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3386.4809648030969</v>
      </c>
      <c r="C10" s="1025">
        <f>SUM(C4:C9)</f>
        <v>4.9583333333333339</v>
      </c>
      <c r="D10" s="1025">
        <f t="shared" ref="D10:H10" si="0">SUM(D8:D9)</f>
        <v>5.5092592592592595</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1.1128703703703704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0.19255957405626503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7.1024774774774784</v>
      </c>
      <c r="D17" s="1022">
        <f>'SEAP template'!D87</f>
        <v>7.8916416416416428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1.5941116116116119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7.1024774774774784</v>
      </c>
      <c r="D20" s="1025">
        <f t="shared" ref="D20:H20" si="2">SUM(D17:D19)</f>
        <v>7.8916416416416428</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1.5941116116116119</v>
      </c>
    </row>
    <row r="22" spans="1:16">
      <c r="A22" s="461" t="s">
        <v>857</v>
      </c>
      <c r="B22" s="760" t="s">
        <v>851</v>
      </c>
      <c r="C22" s="760">
        <f ca="1">'EF ele_warmte'!B22</f>
        <v>0.22444444444444445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0.19255957405626503</v>
      </c>
      <c r="C17" s="498">
        <f ca="1">'EF ele_warmte'!B22</f>
        <v>0.22444444444444445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0.19255957405626503</v>
      </c>
      <c r="C17" s="498">
        <f ca="1">'EF ele_warmte'!B22</f>
        <v>0.22444444444444445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0.19255957405626503</v>
      </c>
      <c r="C29" s="499">
        <f ca="1">'EF ele_warmte'!B22</f>
        <v>0.22444444444444445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4083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336.72</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35</v>
      </c>
      <c r="C17" s="330"/>
      <c r="D17" s="330"/>
      <c r="E17" s="330"/>
      <c r="F17" s="330"/>
    </row>
    <row r="18" spans="1:6">
      <c r="A18" s="1291" t="s">
        <v>8</v>
      </c>
      <c r="B18" s="1292">
        <v>30</v>
      </c>
      <c r="C18" s="330"/>
      <c r="D18" s="330"/>
      <c r="E18" s="330"/>
      <c r="F18" s="330"/>
    </row>
    <row r="19" spans="1:6">
      <c r="A19" s="1291" t="s">
        <v>9</v>
      </c>
      <c r="B19" s="1292">
        <v>22</v>
      </c>
      <c r="C19" s="330"/>
      <c r="D19" s="330"/>
      <c r="E19" s="330"/>
      <c r="F19" s="330"/>
    </row>
    <row r="20" spans="1:6">
      <c r="A20" s="1291" t="s">
        <v>10</v>
      </c>
      <c r="B20" s="1292">
        <v>8</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33</v>
      </c>
      <c r="C29" s="336"/>
      <c r="D29" s="336"/>
      <c r="E29" s="336"/>
      <c r="F29" s="336"/>
    </row>
    <row r="30" spans="1:6">
      <c r="A30" s="1286" t="s">
        <v>893</v>
      </c>
      <c r="B30" s="1295">
        <v>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2045</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1263</v>
      </c>
      <c r="D39" s="1292">
        <v>19056222</v>
      </c>
      <c r="E39" s="1292">
        <v>4060</v>
      </c>
      <c r="F39" s="1292">
        <v>15124086</v>
      </c>
    </row>
    <row r="40" spans="1:6">
      <c r="A40" s="1291" t="s">
        <v>29</v>
      </c>
      <c r="B40" s="1291" t="s">
        <v>28</v>
      </c>
      <c r="C40" s="1292">
        <v>0</v>
      </c>
      <c r="D40" s="1292">
        <v>0</v>
      </c>
      <c r="E40" s="1292">
        <v>0</v>
      </c>
      <c r="F40" s="1292">
        <v>0</v>
      </c>
    </row>
    <row r="41" spans="1:6">
      <c r="A41" s="1291" t="s">
        <v>31</v>
      </c>
      <c r="B41" s="1291" t="s">
        <v>32</v>
      </c>
      <c r="C41" s="1292">
        <v>18</v>
      </c>
      <c r="D41" s="1292">
        <v>349764</v>
      </c>
      <c r="E41" s="1292">
        <v>73</v>
      </c>
      <c r="F41" s="1292">
        <v>499399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214787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97080</v>
      </c>
      <c r="E48" s="1292">
        <v>5</v>
      </c>
      <c r="F48" s="1292">
        <v>55662</v>
      </c>
    </row>
    <row r="49" spans="1:6">
      <c r="A49" s="1291" t="s">
        <v>31</v>
      </c>
      <c r="B49" s="1291" t="s">
        <v>39</v>
      </c>
      <c r="C49" s="1292">
        <v>0</v>
      </c>
      <c r="D49" s="1292">
        <v>0</v>
      </c>
      <c r="E49" s="1292">
        <v>0</v>
      </c>
      <c r="F49" s="1292">
        <v>0</v>
      </c>
    </row>
    <row r="50" spans="1:6">
      <c r="A50" s="1291" t="s">
        <v>31</v>
      </c>
      <c r="B50" s="1291" t="s">
        <v>40</v>
      </c>
      <c r="C50" s="1292">
        <v>3</v>
      </c>
      <c r="D50" s="1292">
        <v>66706</v>
      </c>
      <c r="E50" s="1292">
        <v>8</v>
      </c>
      <c r="F50" s="1292">
        <v>200322</v>
      </c>
    </row>
    <row r="51" spans="1:6">
      <c r="A51" s="1291" t="s">
        <v>41</v>
      </c>
      <c r="B51" s="1291" t="s">
        <v>42</v>
      </c>
      <c r="C51" s="1292">
        <v>3</v>
      </c>
      <c r="D51" s="1292">
        <v>61625</v>
      </c>
      <c r="E51" s="1292">
        <v>22</v>
      </c>
      <c r="F51" s="1292">
        <v>159266</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544322</v>
      </c>
    </row>
    <row r="56" spans="1:6">
      <c r="A56" s="1291" t="s">
        <v>47</v>
      </c>
      <c r="B56" s="1291" t="s">
        <v>28</v>
      </c>
      <c r="C56" s="1292">
        <v>14</v>
      </c>
      <c r="D56" s="1292">
        <v>435806</v>
      </c>
      <c r="E56" s="1292">
        <v>59</v>
      </c>
      <c r="F56" s="1292">
        <v>299508</v>
      </c>
    </row>
    <row r="57" spans="1:6">
      <c r="A57" s="1291" t="s">
        <v>48</v>
      </c>
      <c r="B57" s="1291" t="s">
        <v>49</v>
      </c>
      <c r="C57" s="1292">
        <v>8</v>
      </c>
      <c r="D57" s="1292">
        <v>267086</v>
      </c>
      <c r="E57" s="1292">
        <v>39</v>
      </c>
      <c r="F57" s="1292">
        <v>611426</v>
      </c>
    </row>
    <row r="58" spans="1:6">
      <c r="A58" s="1291" t="s">
        <v>48</v>
      </c>
      <c r="B58" s="1291" t="s">
        <v>50</v>
      </c>
      <c r="C58" s="1292">
        <v>3</v>
      </c>
      <c r="D58" s="1292">
        <v>57014</v>
      </c>
      <c r="E58" s="1292">
        <v>21</v>
      </c>
      <c r="F58" s="1292">
        <v>525020</v>
      </c>
    </row>
    <row r="59" spans="1:6">
      <c r="A59" s="1291" t="s">
        <v>48</v>
      </c>
      <c r="B59" s="1291" t="s">
        <v>51</v>
      </c>
      <c r="C59" s="1292">
        <v>30</v>
      </c>
      <c r="D59" s="1292">
        <v>560600</v>
      </c>
      <c r="E59" s="1292">
        <v>101</v>
      </c>
      <c r="F59" s="1292">
        <v>3439559</v>
      </c>
    </row>
    <row r="60" spans="1:6">
      <c r="A60" s="1291" t="s">
        <v>48</v>
      </c>
      <c r="B60" s="1291" t="s">
        <v>52</v>
      </c>
      <c r="C60" s="1292">
        <v>8</v>
      </c>
      <c r="D60" s="1292">
        <v>318450</v>
      </c>
      <c r="E60" s="1292">
        <v>33</v>
      </c>
      <c r="F60" s="1292">
        <v>720268</v>
      </c>
    </row>
    <row r="61" spans="1:6">
      <c r="A61" s="1291" t="s">
        <v>48</v>
      </c>
      <c r="B61" s="1291" t="s">
        <v>53</v>
      </c>
      <c r="C61" s="1292">
        <v>30</v>
      </c>
      <c r="D61" s="1292">
        <v>1480941</v>
      </c>
      <c r="E61" s="1292">
        <v>136</v>
      </c>
      <c r="F61" s="1292">
        <v>1073691</v>
      </c>
    </row>
    <row r="62" spans="1:6">
      <c r="A62" s="1291" t="s">
        <v>48</v>
      </c>
      <c r="B62" s="1291" t="s">
        <v>54</v>
      </c>
      <c r="C62" s="1292">
        <v>0</v>
      </c>
      <c r="D62" s="1292">
        <v>0</v>
      </c>
      <c r="E62" s="1292">
        <v>0</v>
      </c>
      <c r="F62" s="1292">
        <v>0</v>
      </c>
    </row>
    <row r="63" spans="1:6">
      <c r="A63" s="1291" t="s">
        <v>48</v>
      </c>
      <c r="B63" s="1291" t="s">
        <v>28</v>
      </c>
      <c r="C63" s="1292">
        <v>0</v>
      </c>
      <c r="D63" s="1292">
        <v>455013</v>
      </c>
      <c r="E63" s="1292">
        <v>0</v>
      </c>
      <c r="F63" s="1292">
        <v>150462</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43047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42729915</v>
      </c>
      <c r="E73" s="449"/>
      <c r="F73" s="330"/>
    </row>
    <row r="74" spans="1:6">
      <c r="A74" s="1291" t="s">
        <v>63</v>
      </c>
      <c r="B74" s="1291" t="s">
        <v>664</v>
      </c>
      <c r="C74" s="1305" t="s">
        <v>666</v>
      </c>
      <c r="D74" s="1306">
        <v>4115278.3873445247</v>
      </c>
      <c r="E74" s="449"/>
      <c r="F74" s="330"/>
    </row>
    <row r="75" spans="1:6">
      <c r="A75" s="1291" t="s">
        <v>64</v>
      </c>
      <c r="B75" s="1291" t="s">
        <v>663</v>
      </c>
      <c r="C75" s="1305" t="s">
        <v>667</v>
      </c>
      <c r="D75" s="1306">
        <v>24315505</v>
      </c>
      <c r="E75" s="449"/>
      <c r="F75" s="330"/>
    </row>
    <row r="76" spans="1:6">
      <c r="A76" s="1291" t="s">
        <v>64</v>
      </c>
      <c r="B76" s="1291" t="s">
        <v>664</v>
      </c>
      <c r="C76" s="1305" t="s">
        <v>668</v>
      </c>
      <c r="D76" s="1306">
        <v>392305.38734452479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79325.225310950409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2677.9557757613443</v>
      </c>
      <c r="C91" s="330"/>
      <c r="D91" s="330"/>
      <c r="E91" s="330"/>
      <c r="F91" s="330"/>
    </row>
    <row r="92" spans="1:6">
      <c r="A92" s="1286" t="s">
        <v>68</v>
      </c>
      <c r="B92" s="1287">
        <v>708.52518904175281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158</v>
      </c>
      <c r="C97" s="330"/>
      <c r="D97" s="330"/>
      <c r="E97" s="330"/>
      <c r="F97" s="330"/>
    </row>
    <row r="98" spans="1:6">
      <c r="A98" s="1291" t="s">
        <v>71</v>
      </c>
      <c r="B98" s="1292">
        <v>0</v>
      </c>
      <c r="C98" s="330"/>
      <c r="D98" s="330"/>
      <c r="E98" s="330"/>
      <c r="F98" s="330"/>
    </row>
    <row r="99" spans="1:6">
      <c r="A99" s="1291" t="s">
        <v>72</v>
      </c>
      <c r="B99" s="1292">
        <v>129</v>
      </c>
      <c r="C99" s="330"/>
      <c r="D99" s="330"/>
      <c r="E99" s="330"/>
      <c r="F99" s="330"/>
    </row>
    <row r="100" spans="1:6">
      <c r="A100" s="1291" t="s">
        <v>73</v>
      </c>
      <c r="B100" s="1292">
        <v>217</v>
      </c>
      <c r="C100" s="330"/>
      <c r="D100" s="330"/>
      <c r="E100" s="330"/>
      <c r="F100" s="330"/>
    </row>
    <row r="101" spans="1:6">
      <c r="A101" s="1291" t="s">
        <v>74</v>
      </c>
      <c r="B101" s="1292">
        <v>34</v>
      </c>
      <c r="C101" s="330"/>
      <c r="D101" s="330"/>
      <c r="E101" s="330"/>
      <c r="F101" s="330"/>
    </row>
    <row r="102" spans="1:6">
      <c r="A102" s="1291" t="s">
        <v>75</v>
      </c>
      <c r="B102" s="1292">
        <v>22</v>
      </c>
      <c r="C102" s="330"/>
      <c r="D102" s="330"/>
      <c r="E102" s="330"/>
      <c r="F102" s="330"/>
    </row>
    <row r="103" spans="1:6">
      <c r="A103" s="1291" t="s">
        <v>76</v>
      </c>
      <c r="B103" s="1292">
        <v>93</v>
      </c>
      <c r="C103" s="330"/>
      <c r="D103" s="330"/>
      <c r="E103" s="330"/>
      <c r="F103" s="330"/>
    </row>
    <row r="104" spans="1:6">
      <c r="A104" s="1291" t="s">
        <v>77</v>
      </c>
      <c r="B104" s="1292">
        <v>2805</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16</v>
      </c>
      <c r="C123" s="1292">
        <v>9</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79</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28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26314.486850455945</v>
      </c>
      <c r="C3" s="43" t="s">
        <v>169</v>
      </c>
      <c r="D3" s="43"/>
      <c r="E3" s="154"/>
      <c r="F3" s="43"/>
      <c r="G3" s="43"/>
      <c r="H3" s="43"/>
      <c r="I3" s="43"/>
      <c r="J3" s="43"/>
      <c r="K3" s="96"/>
    </row>
    <row r="4" spans="1:11">
      <c r="A4" s="358" t="s">
        <v>170</v>
      </c>
      <c r="B4" s="49">
        <f>IF(ISERROR('SEAP template'!B78+'SEAP template'!C78),0,'SEAP template'!B78+'SEAP template'!C78)</f>
        <v>3391.4392981364304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1.1128703703703704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0.19255957405626503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1.5941116116116119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7.1024774774774784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0.22444444444444445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544.322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544.322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0.19255957405626503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104.8144124694543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15124.085999999999</v>
      </c>
      <c r="C5" s="17">
        <f>IF(ISERROR('Eigen informatie GS &amp; warmtenet'!B57),0,'Eigen informatie GS &amp; warmtenet'!B57)</f>
        <v>0</v>
      </c>
      <c r="D5" s="30">
        <f>(SUM(HH_hh_gas_kWh,HH_rest_gas_kWh)/1000)*0.902</f>
        <v>17188.712244000002</v>
      </c>
      <c r="E5" s="17">
        <f>B46*B57</f>
        <v>26692.976453556337</v>
      </c>
      <c r="F5" s="17">
        <f>B51*B62</f>
        <v>36908.371290536488</v>
      </c>
      <c r="G5" s="18"/>
      <c r="H5" s="17"/>
      <c r="I5" s="17"/>
      <c r="J5" s="17">
        <f>B50*B61+C50*C61</f>
        <v>0</v>
      </c>
      <c r="K5" s="17"/>
      <c r="L5" s="17"/>
      <c r="M5" s="17"/>
      <c r="N5" s="17">
        <f>B48*B59+C48*C59</f>
        <v>5622.2254801449444</v>
      </c>
      <c r="O5" s="17">
        <f>B69*B70*B71</f>
        <v>137.57333333333335</v>
      </c>
      <c r="P5" s="17">
        <f>B77*B78*B79/1000-B77*B78*B79/1000/B80</f>
        <v>877.06666666666661</v>
      </c>
    </row>
    <row r="6" spans="1:16">
      <c r="A6" s="16" t="s">
        <v>623</v>
      </c>
      <c r="B6" s="762">
        <f>kWh_PV_kleiner_dan_10kW</f>
        <v>2677.9557757613443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17802.041775761343</v>
      </c>
      <c r="C8" s="21">
        <f>C5</f>
        <v>0</v>
      </c>
      <c r="D8" s="21">
        <f>D5</f>
        <v>17188.712244000002</v>
      </c>
      <c r="E8" s="21">
        <f>E5</f>
        <v>26692.976453556337</v>
      </c>
      <c r="F8" s="21">
        <f>F5</f>
        <v>36908.371290536488</v>
      </c>
      <c r="G8" s="21"/>
      <c r="H8" s="21"/>
      <c r="I8" s="21"/>
      <c r="J8" s="21">
        <f>J5</f>
        <v>0</v>
      </c>
      <c r="K8" s="21"/>
      <c r="L8" s="21">
        <f>L5</f>
        <v>0</v>
      </c>
      <c r="M8" s="21">
        <f>M5</f>
        <v>0</v>
      </c>
      <c r="N8" s="21">
        <f>N5</f>
        <v>5622.2254801449444</v>
      </c>
      <c r="O8" s="21">
        <f>O5</f>
        <v>137.57333333333335</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0.19255957405626503</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3427.9535816724401</v>
      </c>
      <c r="C12" s="23">
        <f ca="1">C10*C8</f>
        <v>0</v>
      </c>
      <c r="D12" s="23">
        <f>D8*D10</f>
        <v>3472.1198732880007</v>
      </c>
      <c r="E12" s="23">
        <f>E10*E8</f>
        <v>6059.3056549572884</v>
      </c>
      <c r="F12" s="23">
        <f>F10*F8</f>
        <v>9854.5351345732433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158</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33.94736842105263</v>
      </c>
      <c r="D20" s="229"/>
      <c r="E20" s="15"/>
    </row>
    <row r="21" spans="1:7">
      <c r="A21" s="171" t="s">
        <v>73</v>
      </c>
      <c r="B21" s="37">
        <f>aantalw2001_elektriciteit</f>
        <v>217</v>
      </c>
      <c r="C21" s="167">
        <f>IF(ISERROR(B21/SUM($B$20,$B$21,$B$22)*100),0,B21/SUM($B$20,$B$21,$B$22)*100)</f>
        <v>57.10526315789474</v>
      </c>
      <c r="D21" s="229"/>
      <c r="E21" s="15"/>
    </row>
    <row r="22" spans="1:7">
      <c r="A22" s="171" t="s">
        <v>74</v>
      </c>
      <c r="B22" s="37">
        <f>aantalw2001_hout</f>
        <v>34</v>
      </c>
      <c r="C22" s="167">
        <f>IF(ISERROR(B22/SUM($B$20,$B$21,$B$22)*100),0,B22/SUM($B$20,$B$21,$B$22)*100)</f>
        <v>8.9473684210526319</v>
      </c>
      <c r="D22" s="229"/>
      <c r="E22" s="15"/>
    </row>
    <row r="23" spans="1:7">
      <c r="A23" s="171" t="s">
        <v>75</v>
      </c>
      <c r="B23" s="37">
        <f>aantalw2001_niet_gespec</f>
        <v>22</v>
      </c>
      <c r="C23" s="166" t="s">
        <v>110</v>
      </c>
      <c r="D23" s="228"/>
      <c r="E23" s="15"/>
    </row>
    <row r="24" spans="1:7">
      <c r="A24" s="171" t="s">
        <v>76</v>
      </c>
      <c r="B24" s="37">
        <f>aantalw2001_steenkool</f>
        <v>93</v>
      </c>
      <c r="C24" s="166" t="s">
        <v>110</v>
      </c>
      <c r="D24" s="229"/>
      <c r="E24" s="15"/>
    </row>
    <row r="25" spans="1:7">
      <c r="A25" s="171" t="s">
        <v>77</v>
      </c>
      <c r="B25" s="37">
        <f>aantalw2001_stookolie</f>
        <v>2805</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4083</v>
      </c>
      <c r="C28" s="36"/>
      <c r="D28" s="228"/>
    </row>
    <row r="29" spans="1:7" s="15" customFormat="1">
      <c r="A29" s="230" t="s">
        <v>696</v>
      </c>
      <c r="B29" s="37">
        <f>SUM(HH_hh_gas_aantal,HH_rest_gas_aantal)</f>
        <v>1263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1263</v>
      </c>
      <c r="C32" s="167">
        <f>IF(ISERROR(B32/SUM($B$32,$B$34,$B$35,$B$36,$B$38,$B$39)*100),0,B32/SUM($B$32,$B$34,$B$35,$B$36,$B$38,$B$39)*100)</f>
        <v>31.285608124845183</v>
      </c>
      <c r="D32" s="233"/>
      <c r="G32" s="15"/>
    </row>
    <row r="33" spans="1:7">
      <c r="A33" s="171" t="s">
        <v>71</v>
      </c>
      <c r="B33" s="34" t="s">
        <v>110</v>
      </c>
      <c r="C33" s="167"/>
      <c r="D33" s="233"/>
      <c r="G33" s="15"/>
    </row>
    <row r="34" spans="1:7">
      <c r="A34" s="171" t="s">
        <v>72</v>
      </c>
      <c r="B34" s="33">
        <f>IF((($B$28-$B$32-$B$39-$B$77-$B$38)*C20/100)&lt;0,0,($B$28-$B$32-$B$39-$B$77-$B$38)*C20/100)</f>
        <v>327.08289473684209</v>
      </c>
      <c r="C34" s="167">
        <f>IF(ISERROR(B34/SUM($B$32,$B$34,$B$35,$B$36,$B$38,$B$39)*100),0,B34/SUM($B$32,$B$34,$B$35,$B$36,$B$38,$B$39)*100)</f>
        <v>8.102127687313402</v>
      </c>
      <c r="D34" s="233"/>
      <c r="G34" s="15"/>
    </row>
    <row r="35" spans="1:7">
      <c r="A35" s="171" t="s">
        <v>73</v>
      </c>
      <c r="B35" s="33">
        <f>IF((($B$28-$B$32-$B$39-$B$77-$B$38)*C21/100)&lt;0,0,($B$28-$B$32-$B$39-$B$77-$B$38)*C21/100)</f>
        <v>550.20921052631581</v>
      </c>
      <c r="C35" s="167">
        <f>IF(ISERROR(B35/SUM($B$32,$B$34,$B$35,$B$36,$B$38,$B$39)*100),0,B35/SUM($B$32,$B$34,$B$35,$B$36,$B$38,$B$39)*100)</f>
        <v>13.629160528271386</v>
      </c>
      <c r="D35" s="233"/>
      <c r="G35" s="15"/>
    </row>
    <row r="36" spans="1:7">
      <c r="A36" s="171" t="s">
        <v>74</v>
      </c>
      <c r="B36" s="33">
        <f>IF((($B$28-$B$32-$B$39-$B$77-$B$38)*C22/100)&lt;0,0,($B$28-$B$32-$B$39-$B$77-$B$38)*C22/100)</f>
        <v>86.207894736842093</v>
      </c>
      <c r="C36" s="167">
        <f>IF(ISERROR(B36/SUM($B$32,$B$34,$B$35,$B$36,$B$38,$B$39)*100),0,B36/SUM($B$32,$B$34,$B$35,$B$36,$B$38,$B$39)*100)</f>
        <v>2.1354445067337648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1810.5</v>
      </c>
      <c r="C39" s="167">
        <f>IF(ISERROR(B39/SUM($B$32,$B$34,$B$35,$B$36,$B$38,$B$39)*100),0,B39/SUM($B$32,$B$34,$B$35,$B$36,$B$38,$B$39)*100)</f>
        <v>44.847659152836265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1263</v>
      </c>
      <c r="C44" s="34" t="s">
        <v>110</v>
      </c>
      <c r="D44" s="174"/>
    </row>
    <row r="45" spans="1:7">
      <c r="A45" s="171" t="s">
        <v>71</v>
      </c>
      <c r="B45" s="33" t="str">
        <f t="shared" si="0"/>
        <v>-</v>
      </c>
      <c r="C45" s="34" t="s">
        <v>110</v>
      </c>
      <c r="D45" s="174"/>
    </row>
    <row r="46" spans="1:7">
      <c r="A46" s="171" t="s">
        <v>72</v>
      </c>
      <c r="B46" s="33">
        <f t="shared" si="0"/>
        <v>327.08289473684209</v>
      </c>
      <c r="C46" s="34" t="s">
        <v>110</v>
      </c>
      <c r="D46" s="174"/>
    </row>
    <row r="47" spans="1:7">
      <c r="A47" s="171" t="s">
        <v>73</v>
      </c>
      <c r="B47" s="33">
        <f t="shared" si="0"/>
        <v>550.20921052631581</v>
      </c>
      <c r="C47" s="34" t="s">
        <v>110</v>
      </c>
      <c r="D47" s="174"/>
    </row>
    <row r="48" spans="1:7">
      <c r="A48" s="171" t="s">
        <v>74</v>
      </c>
      <c r="B48" s="33">
        <f t="shared" si="0"/>
        <v>86.207894736842093</v>
      </c>
      <c r="C48" s="33">
        <f>B48*10</f>
        <v>862.07894736842093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1810.5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6520.4260000000013</v>
      </c>
      <c r="C5" s="17">
        <f>IF(ISERROR('Eigen informatie GS &amp; warmtenet'!B58),0,'Eigen informatie GS &amp; warmtenet'!B58)</f>
        <v>0</v>
      </c>
      <c r="D5" s="30">
        <f>SUM(D6:D12)</f>
        <v>2831.4718080000002</v>
      </c>
      <c r="E5" s="17">
        <f>SUM(E6:E12)</f>
        <v>150.08593465828943</v>
      </c>
      <c r="F5" s="17">
        <f>SUM(F6:F12)</f>
        <v>1541.1812239161434</v>
      </c>
      <c r="G5" s="18"/>
      <c r="H5" s="17"/>
      <c r="I5" s="17"/>
      <c r="J5" s="17">
        <f>SUM(J6:J12)</f>
        <v>0</v>
      </c>
      <c r="K5" s="17"/>
      <c r="L5" s="17"/>
      <c r="M5" s="17"/>
      <c r="N5" s="17">
        <f>SUM(N6:N12)</f>
        <v>506.62127918134195</v>
      </c>
      <c r="O5" s="17">
        <f>B38*B39*B40</f>
        <v>0</v>
      </c>
      <c r="P5" s="17">
        <f>B46*B47*B48/1000-B46*B47*B48/1000/B49</f>
        <v>0</v>
      </c>
      <c r="R5" s="32"/>
    </row>
    <row r="6" spans="1:18">
      <c r="A6" s="32" t="s">
        <v>53</v>
      </c>
      <c r="B6" s="37">
        <f>B26</f>
        <v>1073.691</v>
      </c>
      <c r="C6" s="33"/>
      <c r="D6" s="37">
        <f>IF(ISERROR(TER_kantoor_gas_kWh/1000),0,TER_kantoor_gas_kWh/1000)*0.902</f>
        <v>1335.8087820000001</v>
      </c>
      <c r="E6" s="33">
        <f>$C$26*'E Balans VL '!I12/100/3.6*1000000</f>
        <v>14.055937785530325</v>
      </c>
      <c r="F6" s="33">
        <f>$C$26*('E Balans VL '!L12+'E Balans VL '!N12)/100/3.6*1000000</f>
        <v>273.78010989166268</v>
      </c>
      <c r="G6" s="34"/>
      <c r="H6" s="33"/>
      <c r="I6" s="33"/>
      <c r="J6" s="33">
        <f>$C$26*('E Balans VL '!D12+'E Balans VL '!E12)/100/3.6*1000000</f>
        <v>0</v>
      </c>
      <c r="K6" s="33"/>
      <c r="L6" s="33"/>
      <c r="M6" s="33"/>
      <c r="N6" s="33">
        <f>$C$26*'E Balans VL '!Y12/100/3.6*1000000</f>
        <v>1.0773065969325937</v>
      </c>
      <c r="O6" s="33"/>
      <c r="P6" s="33"/>
      <c r="R6" s="32"/>
    </row>
    <row r="7" spans="1:18">
      <c r="A7" s="32" t="s">
        <v>52</v>
      </c>
      <c r="B7" s="37">
        <f t="shared" ref="B7:B12" si="0">B27</f>
        <v>720.26800000000003</v>
      </c>
      <c r="C7" s="33"/>
      <c r="D7" s="37">
        <f>IF(ISERROR(TER_horeca_gas_kWh/1000),0,TER_horeca_gas_kWh/1000)*0.902</f>
        <v>287.24189999999999</v>
      </c>
      <c r="E7" s="33">
        <f>$C$27*'E Balans VL '!I9/100/3.6*1000000</f>
        <v>23.836489556728932</v>
      </c>
      <c r="F7" s="33">
        <f>$C$27*('E Balans VL '!L9+'E Balans VL '!N9)/100/3.6*1000000</f>
        <v>309.7124795986615</v>
      </c>
      <c r="G7" s="34"/>
      <c r="H7" s="33"/>
      <c r="I7" s="33"/>
      <c r="J7" s="33">
        <f>$C$27*('E Balans VL '!D9+'E Balans VL '!E9)/100/3.6*1000000</f>
        <v>0</v>
      </c>
      <c r="K7" s="33"/>
      <c r="L7" s="33"/>
      <c r="M7" s="33"/>
      <c r="N7" s="33">
        <f>$C$27*'E Balans VL '!Y9/100/3.6*1000000</f>
        <v>0.17337896703918806</v>
      </c>
      <c r="O7" s="33"/>
      <c r="P7" s="33"/>
      <c r="R7" s="32"/>
    </row>
    <row r="8" spans="1:18">
      <c r="A8" s="6" t="s">
        <v>51</v>
      </c>
      <c r="B8" s="37">
        <f t="shared" si="0"/>
        <v>3439.5590000000002</v>
      </c>
      <c r="C8" s="33"/>
      <c r="D8" s="37">
        <f>IF(ISERROR(TER_handel_gas_kWh/1000),0,TER_handel_gas_kWh/1000)*0.902</f>
        <v>505.66120000000001</v>
      </c>
      <c r="E8" s="33">
        <f>$C$28*'E Balans VL '!I13/100/3.6*1000000</f>
        <v>108.55773752971405</v>
      </c>
      <c r="F8" s="33">
        <f>$C$28*('E Balans VL '!L13+'E Balans VL '!N13)/100/3.6*1000000</f>
        <v>674.5580867736652</v>
      </c>
      <c r="G8" s="34"/>
      <c r="H8" s="33"/>
      <c r="I8" s="33"/>
      <c r="J8" s="33">
        <f>$C$28*('E Balans VL '!D13+'E Balans VL '!E13)/100/3.6*1000000</f>
        <v>0</v>
      </c>
      <c r="K8" s="33"/>
      <c r="L8" s="33"/>
      <c r="M8" s="33"/>
      <c r="N8" s="33">
        <f>$C$28*'E Balans VL '!Y13/100/3.6*1000000</f>
        <v>4.0820887508181558</v>
      </c>
      <c r="O8" s="33"/>
      <c r="P8" s="33"/>
      <c r="R8" s="32"/>
    </row>
    <row r="9" spans="1:18">
      <c r="A9" s="32" t="s">
        <v>50</v>
      </c>
      <c r="B9" s="37">
        <f t="shared" si="0"/>
        <v>525.02</v>
      </c>
      <c r="C9" s="33"/>
      <c r="D9" s="37">
        <f>IF(ISERROR(TER_gezond_gas_kWh/1000),0,TER_gezond_gas_kWh/1000)*0.902</f>
        <v>51.426628000000001</v>
      </c>
      <c r="E9" s="33">
        <f>$C$29*'E Balans VL '!I10/100/3.6*1000000</f>
        <v>6.7217919119309938E-2</v>
      </c>
      <c r="F9" s="33">
        <f>$C$29*('E Balans VL '!L10+'E Balans VL '!N10)/100/3.6*1000000</f>
        <v>109.38367160486806</v>
      </c>
      <c r="G9" s="34"/>
      <c r="H9" s="33"/>
      <c r="I9" s="33"/>
      <c r="J9" s="33">
        <f>$C$29*('E Balans VL '!D10+'E Balans VL '!E10)/100/3.6*1000000</f>
        <v>0</v>
      </c>
      <c r="K9" s="33"/>
      <c r="L9" s="33"/>
      <c r="M9" s="33"/>
      <c r="N9" s="33">
        <f>$C$29*'E Balans VL '!Y10/100/3.6*1000000</f>
        <v>6.166608057076175</v>
      </c>
      <c r="O9" s="33"/>
      <c r="P9" s="33"/>
      <c r="R9" s="32"/>
    </row>
    <row r="10" spans="1:18">
      <c r="A10" s="32" t="s">
        <v>49</v>
      </c>
      <c r="B10" s="37">
        <f t="shared" si="0"/>
        <v>611.42600000000004</v>
      </c>
      <c r="C10" s="33"/>
      <c r="D10" s="37">
        <f>IF(ISERROR(TER_ander_gas_kWh/1000),0,TER_ander_gas_kWh/1000)*0.902</f>
        <v>240.91157200000001</v>
      </c>
      <c r="E10" s="33">
        <f>$C$30*'E Balans VL '!I14/100/3.6*1000000</f>
        <v>0.91944091764524027</v>
      </c>
      <c r="F10" s="33">
        <f>$C$30*('E Balans VL '!L14+'E Balans VL '!N14)/100/3.6*1000000</f>
        <v>134.98315172930234</v>
      </c>
      <c r="G10" s="34"/>
      <c r="H10" s="33"/>
      <c r="I10" s="33"/>
      <c r="J10" s="33">
        <f>$C$30*('E Balans VL '!D14+'E Balans VL '!E14)/100/3.6*1000000</f>
        <v>0</v>
      </c>
      <c r="K10" s="33"/>
      <c r="L10" s="33"/>
      <c r="M10" s="33"/>
      <c r="N10" s="33">
        <f>$C$30*'E Balans VL '!Y14/100/3.6*1000000</f>
        <v>481.84483541838796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150.46199999999999</v>
      </c>
      <c r="C12" s="33"/>
      <c r="D12" s="37">
        <f>IF(ISERROR(TER_rest_gas_kWh/1000),0,TER_rest_gas_kWh/1000)*0.902</f>
        <v>410.42172599999998</v>
      </c>
      <c r="E12" s="33">
        <f>$C$32*'E Balans VL '!I8/100/3.6*1000000</f>
        <v>2.6491109495515728</v>
      </c>
      <c r="F12" s="33">
        <f>$C$32*('E Balans VL '!L8+'E Balans VL '!N8)/100/3.6*1000000</f>
        <v>38.763724317983588</v>
      </c>
      <c r="G12" s="34"/>
      <c r="H12" s="33"/>
      <c r="I12" s="33"/>
      <c r="J12" s="33">
        <f>$C$32*('E Balans VL '!D8+'E Balans VL '!E8)/100/3.6*1000000</f>
        <v>0</v>
      </c>
      <c r="K12" s="33"/>
      <c r="L12" s="33"/>
      <c r="M12" s="33"/>
      <c r="N12" s="33">
        <f>$C$32*'E Balans VL '!Y8/100/3.6*1000000</f>
        <v>13.277061391087891</v>
      </c>
      <c r="O12" s="33"/>
      <c r="P12" s="33"/>
      <c r="R12" s="32"/>
    </row>
    <row r="13" spans="1:18">
      <c r="A13" s="16" t="s">
        <v>490</v>
      </c>
      <c r="B13" s="247">
        <f ca="1">'lokale energieproductie'!N38+'lokale energieproductie'!N31</f>
        <v>4.9583333333333339</v>
      </c>
      <c r="C13" s="247">
        <f ca="1">'lokale energieproductie'!O38+'lokale energieproductie'!O31</f>
        <v>7.1024774774774784</v>
      </c>
      <c r="D13" s="308">
        <f ca="1">('lokale energieproductie'!P31+'lokale energieproductie'!P38)*(-1)</f>
        <v>-13.400900900900902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6525.3843333333343</v>
      </c>
      <c r="C16" s="21">
        <f t="shared" ca="1" si="1"/>
        <v>7.1024774774774784</v>
      </c>
      <c r="D16" s="21">
        <f t="shared" ca="1" si="1"/>
        <v>2818.0709070990993</v>
      </c>
      <c r="E16" s="21">
        <f t="shared" si="1"/>
        <v>150.08593465828943</v>
      </c>
      <c r="F16" s="21">
        <f t="shared" ca="1" si="1"/>
        <v>1541.1812239161434</v>
      </c>
      <c r="G16" s="21">
        <f t="shared" si="1"/>
        <v>0</v>
      </c>
      <c r="H16" s="21">
        <f t="shared" si="1"/>
        <v>0</v>
      </c>
      <c r="I16" s="21">
        <f t="shared" si="1"/>
        <v>0</v>
      </c>
      <c r="J16" s="21">
        <f t="shared" si="1"/>
        <v>0</v>
      </c>
      <c r="K16" s="21">
        <f t="shared" si="1"/>
        <v>0</v>
      </c>
      <c r="L16" s="21">
        <f t="shared" ca="1" si="1"/>
        <v>0</v>
      </c>
      <c r="M16" s="21">
        <f t="shared" si="1"/>
        <v>0</v>
      </c>
      <c r="N16" s="21">
        <f t="shared" ca="1" si="1"/>
        <v>506.62127918134195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0.19255957405626503</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1256.5252277800919</v>
      </c>
      <c r="C20" s="23">
        <f t="shared" ref="C20:P20" ca="1" si="2">C16*C18</f>
        <v>1.5941116116116119</v>
      </c>
      <c r="D20" s="23">
        <f t="shared" ca="1" si="2"/>
        <v>569.25032323401808</v>
      </c>
      <c r="E20" s="23">
        <f t="shared" si="2"/>
        <v>34.069507167431702</v>
      </c>
      <c r="F20" s="23">
        <f t="shared" ca="1" si="2"/>
        <v>411.49538678561032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1073.691</v>
      </c>
      <c r="C26" s="39">
        <f>IF(ISERROR(B26*3.6/1000000/'E Balans VL '!Z12*100),0,B26*3.6/1000000/'E Balans VL '!Z12*100)</f>
        <v>2.2999295338057734E-2</v>
      </c>
      <c r="D26" s="237" t="s">
        <v>659</v>
      </c>
      <c r="F26" s="6"/>
    </row>
    <row r="27" spans="1:18">
      <c r="A27" s="231" t="s">
        <v>52</v>
      </c>
      <c r="B27" s="33">
        <f>IF(ISERROR(TER_horeca_ele_kWh/1000),0,TER_horeca_ele_kWh/1000)</f>
        <v>720.26800000000003</v>
      </c>
      <c r="C27" s="39">
        <f>IF(ISERROR(B27*3.6/1000000/'E Balans VL '!Z9*100),0,B27*3.6/1000000/'E Balans VL '!Z9*100)</f>
        <v>5.7799003373986933E-2</v>
      </c>
      <c r="D27" s="237" t="s">
        <v>659</v>
      </c>
      <c r="F27" s="6"/>
    </row>
    <row r="28" spans="1:18">
      <c r="A28" s="171" t="s">
        <v>51</v>
      </c>
      <c r="B28" s="33">
        <f>IF(ISERROR(TER_handel_ele_kWh/1000),0,TER_handel_ele_kWh/1000)</f>
        <v>3439.5590000000002</v>
      </c>
      <c r="C28" s="39">
        <f>IF(ISERROR(B28*3.6/1000000/'E Balans VL '!Z13*100),0,B28*3.6/1000000/'E Balans VL '!Z13*100)</f>
        <v>0.10144726197648289</v>
      </c>
      <c r="D28" s="237" t="s">
        <v>659</v>
      </c>
      <c r="F28" s="6"/>
    </row>
    <row r="29" spans="1:18">
      <c r="A29" s="231" t="s">
        <v>50</v>
      </c>
      <c r="B29" s="33">
        <f>IF(ISERROR(TER_gezond_ele_kWh/1000),0,TER_gezond_ele_kWh/1000)</f>
        <v>525.02</v>
      </c>
      <c r="C29" s="39">
        <f>IF(ISERROR(B29*3.6/1000000/'E Balans VL '!Z10*100),0,B29*3.6/1000000/'E Balans VL '!Z10*100)</f>
        <v>5.6058059685942567E-2</v>
      </c>
      <c r="D29" s="237" t="s">
        <v>659</v>
      </c>
      <c r="F29" s="6"/>
    </row>
    <row r="30" spans="1:18">
      <c r="A30" s="231" t="s">
        <v>49</v>
      </c>
      <c r="B30" s="33">
        <f>IF(ISERROR(TER_ander_ele_kWh/1000),0,TER_ander_ele_kWh/1000)</f>
        <v>611.42600000000004</v>
      </c>
      <c r="C30" s="39">
        <f>IF(ISERROR(B30*3.6/1000000/'E Balans VL '!Z14*100),0,B30*3.6/1000000/'E Balans VL '!Z14*100)</f>
        <v>4.618340675305474E-2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150.46199999999999</v>
      </c>
      <c r="C32" s="39">
        <f>IF(ISERROR(B32*3.6/1000000/'E Balans VL '!Z8*100),0,B32*3.6/1000000/'E Balans VL '!Z8*100)</f>
        <v>1.2475394968235202E-3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970.17000000000007</v>
      </c>
      <c r="C5" s="17">
        <f>IF(ISERROR('Eigen informatie GS &amp; warmtenet'!B59),0,'Eigen informatie GS &amp; warmtenet'!B59)</f>
        <v>0</v>
      </c>
      <c r="D5" s="30">
        <f>SUM(D6:D15)</f>
        <v>463.22210000000007</v>
      </c>
      <c r="E5" s="17">
        <f>SUM(E6:E15)</f>
        <v>143.27740952168136</v>
      </c>
      <c r="F5" s="17">
        <f>SUM(F6:F15)</f>
        <v>581.19712676314862</v>
      </c>
      <c r="G5" s="18"/>
      <c r="H5" s="17"/>
      <c r="I5" s="17"/>
      <c r="J5" s="17">
        <f>SUM(J6:J15)</f>
        <v>0.45125826580277395</v>
      </c>
      <c r="K5" s="17"/>
      <c r="L5" s="17"/>
      <c r="M5" s="17"/>
      <c r="N5" s="17">
        <f>SUM(N6:N15)</f>
        <v>128.41120682575715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214.78700000000001</v>
      </c>
      <c r="C8" s="33"/>
      <c r="D8" s="37">
        <f>IF( ISERROR(IND_metaal_Gas_kWH/1000),0,IND_metaal_Gas_kWH/1000)*0.902</f>
        <v>0</v>
      </c>
      <c r="E8" s="33">
        <f>C30*'E Balans VL '!I18/100/3.6*1000000</f>
        <v>7.7286860347219317</v>
      </c>
      <c r="F8" s="33">
        <f>C30*'E Balans VL '!L18/100/3.6*1000000+C30*'E Balans VL '!N18/100/3.6*1000000</f>
        <v>93.790520254570112</v>
      </c>
      <c r="G8" s="34"/>
      <c r="H8" s="33"/>
      <c r="I8" s="33"/>
      <c r="J8" s="40">
        <f>C30*'E Balans VL '!D18/100/3.6*1000000+C30*'E Balans VL '!E18/100/3.6*1000000</f>
        <v>0</v>
      </c>
      <c r="K8" s="33"/>
      <c r="L8" s="33"/>
      <c r="M8" s="33"/>
      <c r="N8" s="33">
        <f>C30*'E Balans VL '!Y18/100/3.6*1000000</f>
        <v>10.764978476767293</v>
      </c>
      <c r="O8" s="33"/>
      <c r="P8" s="33"/>
      <c r="R8" s="32"/>
    </row>
    <row r="9" spans="1:18">
      <c r="A9" s="6" t="s">
        <v>32</v>
      </c>
      <c r="B9" s="37">
        <f t="shared" si="0"/>
        <v>499.399</v>
      </c>
      <c r="C9" s="33"/>
      <c r="D9" s="37">
        <f>IF( ISERROR(IND_andere_gas_kWh/1000),0,IND_andere_gas_kWh/1000)*0.902</f>
        <v>315.48712800000004</v>
      </c>
      <c r="E9" s="33">
        <f>C31*'E Balans VL '!I19/100/3.6*1000000</f>
        <v>127.43532558114563</v>
      </c>
      <c r="F9" s="33">
        <f>C31*'E Balans VL '!L19/100/3.6*1000000+C31*'E Balans VL '!N19/100/3.6*1000000</f>
        <v>429.94500271187445</v>
      </c>
      <c r="G9" s="34"/>
      <c r="H9" s="33"/>
      <c r="I9" s="33"/>
      <c r="J9" s="40">
        <f>C31*'E Balans VL '!D19/100/3.6*1000000+C31*'E Balans VL '!E19/100/3.6*1000000</f>
        <v>0</v>
      </c>
      <c r="K9" s="33"/>
      <c r="L9" s="33"/>
      <c r="M9" s="33"/>
      <c r="N9" s="33">
        <f>C31*'E Balans VL '!Y19/100/3.6*1000000</f>
        <v>39.396737274581405</v>
      </c>
      <c r="O9" s="33"/>
      <c r="P9" s="33"/>
      <c r="R9" s="32"/>
    </row>
    <row r="10" spans="1:18">
      <c r="A10" s="6" t="s">
        <v>40</v>
      </c>
      <c r="B10" s="37">
        <f t="shared" si="0"/>
        <v>200.322</v>
      </c>
      <c r="C10" s="33"/>
      <c r="D10" s="37">
        <f>IF( ISERROR(IND_voed_gas_kWh/1000),0,IND_voed_gas_kWh/1000)*0.902</f>
        <v>60.168812000000003</v>
      </c>
      <c r="E10" s="33">
        <f>C32*'E Balans VL '!I20/100/3.6*1000000</f>
        <v>5.0924603046470827</v>
      </c>
      <c r="F10" s="33">
        <f>C32*'E Balans VL '!L20/100/3.6*1000000+C32*'E Balans VL '!N20/100/3.6*1000000</f>
        <v>45.329861507448165</v>
      </c>
      <c r="G10" s="34"/>
      <c r="H10" s="33"/>
      <c r="I10" s="33"/>
      <c r="J10" s="40">
        <f>C32*'E Balans VL '!D20/100/3.6*1000000+C32*'E Balans VL '!E20/100/3.6*1000000</f>
        <v>0</v>
      </c>
      <c r="K10" s="33"/>
      <c r="L10" s="33"/>
      <c r="M10" s="33"/>
      <c r="N10" s="33">
        <f>C32*'E Balans VL '!Y20/100/3.6*1000000</f>
        <v>75.126179941389452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55.661999999999999</v>
      </c>
      <c r="C15" s="33"/>
      <c r="D15" s="37">
        <f>IF( ISERROR(IND_rest_gas_kWh/1000),0,IND_rest_gas_kWh/1000)*0.902</f>
        <v>87.566159999999996</v>
      </c>
      <c r="E15" s="33">
        <f>C37*'E Balans VL '!I15/100/3.6*1000000</f>
        <v>3.0209376011667164</v>
      </c>
      <c r="F15" s="33">
        <f>C37*'E Balans VL '!L15/100/3.6*1000000+C37*'E Balans VL '!N15/100/3.6*1000000</f>
        <v>12.131742289255891</v>
      </c>
      <c r="G15" s="34"/>
      <c r="H15" s="33"/>
      <c r="I15" s="33"/>
      <c r="J15" s="40">
        <f>C37*'E Balans VL '!D15/100/3.6*1000000+C37*'E Balans VL '!E15/100/3.6*1000000</f>
        <v>0.45125826580277395</v>
      </c>
      <c r="K15" s="33"/>
      <c r="L15" s="33"/>
      <c r="M15" s="33"/>
      <c r="N15" s="33">
        <f>C37*'E Balans VL '!Y15/100/3.6*1000000</f>
        <v>3.1233111330189911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970.17000000000007</v>
      </c>
      <c r="C18" s="21">
        <f>C5+C16</f>
        <v>0</v>
      </c>
      <c r="D18" s="21">
        <f>MAX((D5+D16),0)</f>
        <v>463.22210000000007</v>
      </c>
      <c r="E18" s="21">
        <f>MAX((E5+E16),0)</f>
        <v>143.27740952168136</v>
      </c>
      <c r="F18" s="21">
        <f>MAX((F5+F16),0)</f>
        <v>581.19712676314862</v>
      </c>
      <c r="G18" s="21"/>
      <c r="H18" s="21"/>
      <c r="I18" s="21"/>
      <c r="J18" s="21">
        <f>MAX((J5+J16),0)</f>
        <v>0.45125826580277395</v>
      </c>
      <c r="K18" s="21"/>
      <c r="L18" s="21">
        <f>MAX((L5+L16),0)</f>
        <v>0</v>
      </c>
      <c r="M18" s="21"/>
      <c r="N18" s="21">
        <f>MAX((N5+N16),0)</f>
        <v>128.41120682575715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0.19255957405626503</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186.81552196216666</v>
      </c>
      <c r="C22" s="23">
        <f ca="1">C18*C20</f>
        <v>0</v>
      </c>
      <c r="D22" s="23">
        <f>D18*D20</f>
        <v>93.570864200000017</v>
      </c>
      <c r="E22" s="23">
        <f>E18*E20</f>
        <v>32.523971961421672</v>
      </c>
      <c r="F22" s="23">
        <f>F18*F20</f>
        <v>155.17963284576069</v>
      </c>
      <c r="G22" s="23"/>
      <c r="H22" s="23"/>
      <c r="I22" s="23"/>
      <c r="J22" s="23">
        <f>J18*J20</f>
        <v>0.15974542609418196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214.78700000000001</v>
      </c>
      <c r="C30" s="39">
        <f>IF(ISERROR(B30*3.6/1000000/'E Balans VL '!Z18*100),0,B30*3.6/1000000/'E Balans VL '!Z18*100)</f>
        <v>4.5508760388084948E-2</v>
      </c>
      <c r="D30" s="237" t="s">
        <v>659</v>
      </c>
    </row>
    <row r="31" spans="1:18">
      <c r="A31" s="6" t="s">
        <v>32</v>
      </c>
      <c r="B31" s="37">
        <f>IF( ISERROR(IND_ander_ele_kWh/1000),0,IND_ander_ele_kWh/1000)</f>
        <v>499.399</v>
      </c>
      <c r="C31" s="39">
        <f>IF(ISERROR(B31*3.6/1000000/'E Balans VL '!Z19*100),0,B31*3.6/1000000/'E Balans VL '!Z19*100)</f>
        <v>2.1020837877898352E-2</v>
      </c>
      <c r="D31" s="237" t="s">
        <v>659</v>
      </c>
    </row>
    <row r="32" spans="1:18">
      <c r="A32" s="171" t="s">
        <v>40</v>
      </c>
      <c r="B32" s="37">
        <f>IF( ISERROR(IND_voed_ele_kWh/1000),0,IND_voed_ele_kWh/1000)</f>
        <v>200.322</v>
      </c>
      <c r="C32" s="39">
        <f>IF(ISERROR(B32*3.6/1000000/'E Balans VL '!Z20*100),0,B32*3.6/1000000/'E Balans VL '!Z20*100)</f>
        <v>3.3466056587548525E-2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55.661999999999999</v>
      </c>
      <c r="C37" s="39">
        <f>IF(ISERROR(B37*3.6/1000000/'E Balans VL '!Z15*100),0,B37*3.6/1000000/'E Balans VL '!Z15*100)</f>
        <v>4.4938087931426906E-4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159.26599999999999</v>
      </c>
      <c r="C5" s="17">
        <f>'Eigen informatie GS &amp; warmtenet'!B60</f>
        <v>0</v>
      </c>
      <c r="D5" s="30">
        <f>IF(ISERROR(SUM(LB_lb_gas_kWh,LB_rest_gas_kWh)/1000),0,SUM(LB_lb_gas_kWh,LB_rest_gas_kWh)/1000)*0.902</f>
        <v>55.585750000000004</v>
      </c>
      <c r="E5" s="17">
        <f>B17*'E Balans VL '!I25/3.6*1000000/100</f>
        <v>4.1068586292596656</v>
      </c>
      <c r="F5" s="17">
        <f>B17*('E Balans VL '!L25/3.6*1000000+'E Balans VL '!N25/3.6*1000000)/100</f>
        <v>582.14756073631952</v>
      </c>
      <c r="G5" s="18"/>
      <c r="H5" s="17"/>
      <c r="I5" s="17"/>
      <c r="J5" s="17">
        <f>('E Balans VL '!D25+'E Balans VL '!E25)/3.6*1000000*landbouw!B17/100</f>
        <v>22.928445136274441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159.26599999999999</v>
      </c>
      <c r="C8" s="21">
        <f>C5+C6</f>
        <v>0</v>
      </c>
      <c r="D8" s="21">
        <f>MAX((D5+D6),0)</f>
        <v>55.585750000000004</v>
      </c>
      <c r="E8" s="21">
        <f>MAX((E5+E6),0)</f>
        <v>4.1068586292596656</v>
      </c>
      <c r="F8" s="21">
        <f>MAX((F5+F6),0)</f>
        <v>582.14756073631952</v>
      </c>
      <c r="G8" s="21"/>
      <c r="H8" s="21"/>
      <c r="I8" s="21"/>
      <c r="J8" s="21">
        <f>MAX((J5+J6),0)</f>
        <v>22.928445136274441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0.19255957405626503</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30.668193121645103</v>
      </c>
      <c r="C12" s="23">
        <f ca="1">C8*C10</f>
        <v>0</v>
      </c>
      <c r="D12" s="23">
        <f>D8*D10</f>
        <v>11.228321500000002</v>
      </c>
      <c r="E12" s="23">
        <f>E8*E10</f>
        <v>0.93225690884194412</v>
      </c>
      <c r="F12" s="23">
        <f>F8*F10</f>
        <v>155.43339871659731</v>
      </c>
      <c r="G12" s="23"/>
      <c r="H12" s="23"/>
      <c r="I12" s="23"/>
      <c r="J12" s="23">
        <f>J8*J10</f>
        <v>8.1166695782411509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2.2457560954328895E-2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6.2965472761961792</v>
      </c>
      <c r="C26" s="247">
        <f>B26*'GWP N2O_CH4'!B5</f>
        <v>132.22749280011976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0.3243348353035912</v>
      </c>
      <c r="C27" s="247">
        <f>B27*'GWP N2O_CH4'!B5</f>
        <v>6.8110315413754154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8.8528628120326608E-2</v>
      </c>
      <c r="C28" s="247">
        <f>B28*'GWP N2O_CH4'!B4</f>
        <v>27.443874717301249</v>
      </c>
      <c r="D28" s="50"/>
    </row>
    <row r="29" spans="1:4">
      <c r="A29" s="41" t="s">
        <v>276</v>
      </c>
      <c r="B29" s="247">
        <f>B34*'ha_N2O bodem landbouw'!B4</f>
        <v>2.2213689849753235</v>
      </c>
      <c r="C29" s="247">
        <f>B29*'GWP N2O_CH4'!B4</f>
        <v>688.62438534235025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4.9992873432155079E-4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4.9661068900546995E-5</v>
      </c>
      <c r="C5" s="437" t="s">
        <v>210</v>
      </c>
      <c r="D5" s="422">
        <f>SUM(D6:D11)</f>
        <v>1.1224071895330498E-4</v>
      </c>
      <c r="E5" s="422">
        <f>SUM(E6:E11)</f>
        <v>4.9437841214158883E-4</v>
      </c>
      <c r="F5" s="435" t="s">
        <v>210</v>
      </c>
      <c r="G5" s="422">
        <f>SUM(G6:G11)</f>
        <v>0.17571226710496746</v>
      </c>
      <c r="H5" s="422">
        <f>SUM(H6:H11)</f>
        <v>3.8004281988558528E-2</v>
      </c>
      <c r="I5" s="437" t="s">
        <v>210</v>
      </c>
      <c r="J5" s="437" t="s">
        <v>210</v>
      </c>
      <c r="K5" s="437" t="s">
        <v>210</v>
      </c>
      <c r="L5" s="437" t="s">
        <v>210</v>
      </c>
      <c r="M5" s="422">
        <f>SUM(M6:M11)</f>
        <v>6.6668943293902083E-3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3.1650383470332748E-5</v>
      </c>
      <c r="C6" s="423"/>
      <c r="D6" s="865">
        <f>vkm_GW_PW*SUMIFS(TableVerdeelsleutelVkm[CNG],TableVerdeelsleutelVkm[Voertuigtype],"Lichte voertuigen")*SUMIFS(TableECFTransport[EnergieConsumptieFactor (PJ per km)],TableECFTransport[Index],CONCATENATE($A6,"_CNG_CNG"))</f>
        <v>5.7055407926307128E-5</v>
      </c>
      <c r="E6" s="865">
        <f>vkm_GW_PW*SUMIFS(TableVerdeelsleutelVkm[LPG],TableVerdeelsleutelVkm[Voertuigtype],"Lichte voertuigen")*SUMIFS(TableECFTransport[EnergieConsumptieFactor (PJ per km)],TableECFTransport[Index],CONCATENATE($A6,"_LPG_LPG"))</f>
        <v>2.5774359927847824E-4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7.0415199520332178E-2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1.9590248994571763E-2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2.8023907203306437E-3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3.9719976283857296E-2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7.1673963210381017E-7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1.2495926804598062E-3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1.801068543021425E-5</v>
      </c>
      <c r="C8" s="423"/>
      <c r="D8" s="425">
        <f>vkm_NGW_PW*SUMIFS(TableVerdeelsleutelVkm[CNG],TableVerdeelsleutelVkm[Voertuigtype],"Lichte voertuigen")*SUMIFS(TableECFTransport[EnergieConsumptieFactor (PJ per km)],TableECFTransport[Index],CONCATENATE($A8,"_CNG_CNG"))</f>
        <v>5.5185311026997845E-5</v>
      </c>
      <c r="E8" s="425">
        <f>vkm_NGW_PW*SUMIFS(TableVerdeelsleutelVkm[LPG],TableVerdeelsleutelVkm[Voertuigtype],"Lichte voertuigen")*SUMIFS(TableECFTransport[EnergieConsumptieFactor (PJ per km)],TableECFTransport[Index],CONCATENATE($A8,"_LPG_LPG"))</f>
        <v>2.3663481286311061E-4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6.0702195270782577E-2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1.8413207663155705E-2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2.4615458080611847E-3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4.8748960299954134E-3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1.085911989547859E-7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1.5336512053857359E-4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13.794741361263055</v>
      </c>
      <c r="C14" s="21"/>
      <c r="D14" s="21">
        <f t="shared" ref="D14:M14" si="0">((D5)*10^9/3600)+D12</f>
        <v>31.17797748702916</v>
      </c>
      <c r="E14" s="21">
        <f t="shared" si="0"/>
        <v>137.32733670599688</v>
      </c>
      <c r="F14" s="21"/>
      <c r="G14" s="21">
        <f t="shared" si="0"/>
        <v>48808.963084713178</v>
      </c>
      <c r="H14" s="21">
        <f t="shared" si="0"/>
        <v>10556.744996821813</v>
      </c>
      <c r="I14" s="21"/>
      <c r="J14" s="21"/>
      <c r="K14" s="21"/>
      <c r="L14" s="21"/>
      <c r="M14" s="21">
        <f t="shared" si="0"/>
        <v>1851.9150914972802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0.19255957405626503</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2.6563095207411558</v>
      </c>
      <c r="C18" s="23"/>
      <c r="D18" s="23">
        <f t="shared" ref="D18:M18" si="1">D14*D16</f>
        <v>6.2979514523798912</v>
      </c>
      <c r="E18" s="23">
        <f t="shared" si="1"/>
        <v>31.173305432261294</v>
      </c>
      <c r="F18" s="23"/>
      <c r="G18" s="23">
        <f t="shared" si="1"/>
        <v>13031.99314361842</v>
      </c>
      <c r="H18" s="23">
        <f t="shared" si="1"/>
        <v>2628.6295042086317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1.0208465663392118E-3</v>
      </c>
      <c r="H50" s="319">
        <f t="shared" si="2"/>
        <v>0</v>
      </c>
      <c r="I50" s="319">
        <f t="shared" si="2"/>
        <v>0</v>
      </c>
      <c r="J50" s="319">
        <f t="shared" si="2"/>
        <v>0</v>
      </c>
      <c r="K50" s="319">
        <f t="shared" si="2"/>
        <v>0</v>
      </c>
      <c r="L50" s="319">
        <f t="shared" si="2"/>
        <v>0</v>
      </c>
      <c r="M50" s="319">
        <f t="shared" si="2"/>
        <v>3.1624404611492071E-5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1.0208465663392118E-3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3.1624404611492071E-5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283.56849064978104</v>
      </c>
      <c r="H54" s="21">
        <f t="shared" si="3"/>
        <v>0</v>
      </c>
      <c r="I54" s="21">
        <f t="shared" si="3"/>
        <v>0</v>
      </c>
      <c r="J54" s="21">
        <f t="shared" si="3"/>
        <v>0</v>
      </c>
      <c r="K54" s="21">
        <f t="shared" si="3"/>
        <v>0</v>
      </c>
      <c r="L54" s="21">
        <f t="shared" si="3"/>
        <v>0</v>
      </c>
      <c r="M54" s="21">
        <f t="shared" si="3"/>
        <v>8.7845568365255762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0.19255957405626503</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75.712787003491542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3386.4809648030969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4.9583333333333339</v>
      </c>
      <c r="C8" s="544">
        <f>B48</f>
        <v>5.5092592592592595</v>
      </c>
      <c r="D8" s="1009"/>
      <c r="E8" s="1009">
        <f>E48</f>
        <v>0</v>
      </c>
      <c r="F8" s="1010"/>
      <c r="G8" s="545"/>
      <c r="H8" s="1009">
        <f>I48</f>
        <v>0</v>
      </c>
      <c r="I8" s="1009">
        <f>G48+F48</f>
        <v>0</v>
      </c>
      <c r="J8" s="1009">
        <f>H48+D48+C48</f>
        <v>0</v>
      </c>
      <c r="K8" s="1009"/>
      <c r="L8" s="1009"/>
      <c r="M8" s="1009"/>
      <c r="N8" s="546"/>
      <c r="O8" s="547">
        <f>C8*$C$12+D8*$D$12+E8*$E$12+F8*$F$12+G8*$G$12+H8*$H$12+I8*$I$12+J8*$J$12</f>
        <v>1.1128703703703704</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3391.4392981364304</v>
      </c>
      <c r="C10" s="557">
        <f t="shared" ref="C10:L10" si="0">SUM(C8:C9)</f>
        <v>5.5092592592592595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1.1128703703703704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7.1024774774774784</v>
      </c>
      <c r="C17" s="569">
        <f>B49</f>
        <v>7.8916416416416428</v>
      </c>
      <c r="D17" s="570"/>
      <c r="E17" s="570">
        <f>E49</f>
        <v>0</v>
      </c>
      <c r="F17" s="1015"/>
      <c r="G17" s="571"/>
      <c r="H17" s="569">
        <f>I49</f>
        <v>0</v>
      </c>
      <c r="I17" s="570">
        <f>G49+F49</f>
        <v>0</v>
      </c>
      <c r="J17" s="570">
        <f>H49+D49+C49</f>
        <v>0</v>
      </c>
      <c r="K17" s="570"/>
      <c r="L17" s="570"/>
      <c r="M17" s="570"/>
      <c r="N17" s="1016"/>
      <c r="O17" s="572">
        <f>C17*$C$22+E17*$E$22+H17*$H$22+I17*$I$22+J17*$J$22+D17*$D$22+F17*$F$22+G17*$G$22+K17*$K$22+L17*$L$22</f>
        <v>1.5941116116116119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7.1024774774774784</v>
      </c>
      <c r="C20" s="556">
        <f>SUM(C17:C19)</f>
        <v>7.8916416416416428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1.5941116116116119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24007</v>
      </c>
      <c r="C28" s="770">
        <v>3130</v>
      </c>
      <c r="D28" s="627"/>
      <c r="E28" s="626"/>
      <c r="F28" s="626" t="s">
        <v>896</v>
      </c>
      <c r="G28" s="626" t="s">
        <v>897</v>
      </c>
      <c r="H28" s="626" t="s">
        <v>897</v>
      </c>
      <c r="I28" s="626" t="s">
        <v>898</v>
      </c>
      <c r="J28" s="769">
        <v>41736</v>
      </c>
      <c r="K28" s="769">
        <v>42153</v>
      </c>
      <c r="L28" s="626" t="s">
        <v>899</v>
      </c>
      <c r="M28" s="626">
        <v>1.7</v>
      </c>
      <c r="N28" s="626">
        <v>4.9583333333333339</v>
      </c>
      <c r="O28" s="626">
        <v>7.1024774774774784</v>
      </c>
      <c r="P28" s="626">
        <v>13.400900900900902</v>
      </c>
      <c r="Q28" s="626">
        <v>0</v>
      </c>
      <c r="R28" s="626">
        <v>0</v>
      </c>
      <c r="S28" s="626">
        <v>0</v>
      </c>
      <c r="T28" s="626">
        <v>0</v>
      </c>
      <c r="U28" s="626">
        <v>0</v>
      </c>
      <c r="V28" s="626">
        <v>0</v>
      </c>
      <c r="W28" s="626">
        <v>0</v>
      </c>
      <c r="X28" s="626">
        <v>1100</v>
      </c>
      <c r="Y28" s="626" t="s">
        <v>51</v>
      </c>
      <c r="Z28" s="628" t="s">
        <v>155</v>
      </c>
    </row>
    <row r="29" spans="1:26" s="564" customFormat="1">
      <c r="A29" s="582" t="s">
        <v>279</v>
      </c>
      <c r="B29" s="583"/>
      <c r="C29" s="583"/>
      <c r="D29" s="583"/>
      <c r="E29" s="583"/>
      <c r="F29" s="583"/>
      <c r="G29" s="583"/>
      <c r="H29" s="583"/>
      <c r="I29" s="583"/>
      <c r="J29" s="583"/>
      <c r="K29" s="583"/>
      <c r="L29" s="584"/>
      <c r="M29" s="584">
        <f>SUM(M28:M28)</f>
        <v>1.7</v>
      </c>
      <c r="N29" s="584">
        <f>SUM(N28:N28)</f>
        <v>4.9583333333333339</v>
      </c>
      <c r="O29" s="584">
        <f>SUM(O28:O28)</f>
        <v>7.1024774774774784</v>
      </c>
      <c r="P29" s="584">
        <f>SUM(P28:P28)</f>
        <v>13.400900900900902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1.7</v>
      </c>
      <c r="N31" s="584">
        <f ca="1">SUMIF($Z$28:AD28,"tertiair",N28:N28)</f>
        <v>4.9583333333333339</v>
      </c>
      <c r="O31" s="584">
        <f ca="1">SUMIF($Z$28:AE28,"tertiair",O28:O28)</f>
        <v>7.1024774774774784</v>
      </c>
      <c r="P31" s="584">
        <f ca="1">SUMIF($Z$28:AF28,"tertiair",P28:P28)</f>
        <v>13.400900900900902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0.58888888888888891</v>
      </c>
      <c r="C45" s="609">
        <f>IF(ISERROR(N29/(O29+N29)),0,N29/(N29+O29))</f>
        <v>0.41111111111111109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5.5092592592592595</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7.8916416416416428</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2020-06-20T15:53:35Z</dcterms:modified>
</cp:coreProperties>
</file>